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3.xml" ContentType="application/vnd.openxmlformats-officedocument.spreadsheetml.comments+xml"/>
  <Override PartName="/xl/drawings/drawing2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showInkAnnotation="0" codeName="ThisWorkbook" autoCompressPictures="0"/>
  <mc:AlternateContent xmlns:mc="http://schemas.openxmlformats.org/markup-compatibility/2006">
    <mc:Choice Requires="x15">
      <x15ac:absPath xmlns:x15ac="http://schemas.microsoft.com/office/spreadsheetml/2010/11/ac" url="/Users/jbrowning/Bridgewater Group Dropbox/John Browning/CSRM_Confidential/CAO_Post_Call_In/ATEI/5_9_22_EI_Submittal_to_DEQ/Response_2/To_DEQ_WIP/"/>
    </mc:Choice>
  </mc:AlternateContent>
  <xr:revisionPtr revIDLastSave="0" documentId="13_ncr:1_{413B278F-3E81-4446-AB6A-CED0E26C2882}" xr6:coauthVersionLast="47" xr6:coauthVersionMax="47" xr10:uidLastSave="{00000000-0000-0000-0000-000000000000}"/>
  <bookViews>
    <workbookView xWindow="0" yWindow="500" windowWidth="38400" windowHeight="19600" activeTab="34" xr2:uid="{44E7BADC-5D98-784D-85A8-37FFB56D24C0}"/>
  </bookViews>
  <sheets>
    <sheet name="AQ520" sheetId="48" state="hidden" r:id="rId1"/>
    <sheet name="WLOC Tracking" sheetId="65" r:id="rId2"/>
    <sheet name="Tabl_B1_Scrap" sheetId="34" r:id="rId3"/>
    <sheet name="Tabl_B2_Melt_Shop" sheetId="36" r:id="rId4"/>
    <sheet name="Tabl_B3_Billet_Cut_Casting" sheetId="39" r:id="rId5"/>
    <sheet name="Tabl_B4_Scrap_Billet_Cut" sheetId="40" r:id="rId6"/>
    <sheet name="Tabl_B5_Slag_Handling" sheetId="41" r:id="rId7"/>
    <sheet name="Tabl_B6_Slag_Handling_Encl" sheetId="43" r:id="rId8"/>
    <sheet name="Tabl_B7_Reheat_Furnace" sheetId="44" r:id="rId9"/>
    <sheet name="Tabl_B8_TTO" sheetId="45" r:id="rId10"/>
    <sheet name="Tabl_B9_GDF" sheetId="46" r:id="rId11"/>
    <sheet name="Tabl_B10_Unpv_Roads" sheetId="63" r:id="rId12"/>
    <sheet name="Tabl_B11_Welding" sheetId="64" r:id="rId13"/>
    <sheet name="Steel Composition" sheetId="47" r:id="rId14"/>
    <sheet name="SlagComposition" sheetId="42" r:id="rId15"/>
    <sheet name="Filter_Analysis" sheetId="13" r:id="rId16"/>
    <sheet name="Filter Data" sheetId="15" r:id="rId17"/>
    <sheet name="BC Acetone No Blank" sheetId="20" r:id="rId18"/>
    <sheet name="BC Filter Reagent Blank" sheetId="21" r:id="rId19"/>
    <sheet name="BC Filter No Blank" sheetId="50" state="hidden" r:id="rId20"/>
    <sheet name="BC Summary" sheetId="22" r:id="rId21"/>
    <sheet name="RM Acetone No Blank" sheetId="23" r:id="rId22"/>
    <sheet name="RM Filter Reagent Blank" sheetId="24" state="hidden" r:id="rId23"/>
    <sheet name="RM Filter No Blank" sheetId="51" r:id="rId24"/>
    <sheet name="RM Summary" sheetId="25" r:id="rId25"/>
    <sheet name="Organic TAC EFs" sheetId="52" r:id="rId26"/>
    <sheet name="Dioxins Furans" sheetId="53" r:id="rId27"/>
    <sheet name="PCBs" sheetId="54" r:id="rId28"/>
    <sheet name="PAHs" sheetId="55" r:id="rId29"/>
    <sheet name="Hexachlorobenzene" sheetId="56" r:id="rId30"/>
    <sheet name="PBDEs" sheetId="57" r:id="rId31"/>
    <sheet name="Recommended Emission Factors" sheetId="58" r:id="rId32"/>
    <sheet name="Horizontal tank" sheetId="60" r:id="rId33"/>
    <sheet name="Tables" sheetId="61" r:id="rId34"/>
    <sheet name="Table 7-1-7" sheetId="62"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0" hidden="1">'AQ520'!$M$23:$X$474</definedName>
    <definedName name="_xlnm._FilterDatabase" localSheetId="25" hidden="1">'Organic TAC EFs'!$A$4:$P$58</definedName>
    <definedName name="_xlnm._FilterDatabase" localSheetId="28" hidden="1">PAHs!$B$4:$L$26</definedName>
    <definedName name="_xlnm._FilterDatabase" localSheetId="3" hidden="1">Tabl_B2_Melt_Shop!$A$50:$M$201</definedName>
    <definedName name="_xlnm._FilterDatabase" localSheetId="34" hidden="1">'Table 7-1-7'!$A$2:$Q$1212</definedName>
    <definedName name="_rk1">[1]Rank!$B$6</definedName>
    <definedName name="_rk2">[1]Rank!$F$6</definedName>
    <definedName name="_rk3">[1]Rank!$J$6</definedName>
    <definedName name="_rk4">[1]Rank!$N$6</definedName>
    <definedName name="_rk6">[1]Rank!$V$6</definedName>
    <definedName name="_rk7">[1]Rank!$Z$6</definedName>
    <definedName name="all_fuels">'[2]Fuel Lookup'!$B$5:$B$35</definedName>
    <definedName name="AP_EF_UNITS" localSheetId="11">[3]EGen!$E$97</definedName>
    <definedName name="AP_EF_UNITS" localSheetId="12">[3]EGen!$E$97</definedName>
    <definedName name="AP_EF_UNITS">'[4]EGEN EF Ref2'!$D$97</definedName>
    <definedName name="AP_LgGen_CO_EF" localSheetId="11">[3]EGen!$C$102</definedName>
    <definedName name="AP_LgGen_CO_EF" localSheetId="12">[3]EGen!$C$102</definedName>
    <definedName name="AP_LgGen_CO_EF">'[4]EGEN EF Ref2'!$C$102</definedName>
    <definedName name="AP_LgGen_LowNOX_EF" localSheetId="11">[3]EGen!$C$100</definedName>
    <definedName name="AP_LgGen_LowNOX_EF" localSheetId="12">[3]EGen!$C$100</definedName>
    <definedName name="AP_LgGen_LowNOX_EF">'[4]EGEN EF Ref2'!$C$100</definedName>
    <definedName name="AP_LgGen_NOX_EF" localSheetId="11">[3]EGen!$C$99</definedName>
    <definedName name="AP_LgGen_NOX_EF" localSheetId="12">[3]EGen!$C$99</definedName>
    <definedName name="AP_LgGen_NOX_EF">'[4]EGEN EF Ref2'!$C$99</definedName>
    <definedName name="AP_LgGen_PM_EF" localSheetId="11">[3]EGen!$C$97</definedName>
    <definedName name="AP_LgGen_PM_EF" localSheetId="12">[3]EGen!$C$97</definedName>
    <definedName name="AP_LgGen_PM_EF">'[4]EGEN EF Ref2'!$C$97</definedName>
    <definedName name="AP_LgGen_SO2_EF" localSheetId="11">[3]EGen!$C$98</definedName>
    <definedName name="AP_LgGen_SO2_EF" localSheetId="12">[3]EGen!$C$98</definedName>
    <definedName name="AP_LgGen_SO2_EF">'[4]EGEN EF Ref2'!$C$98</definedName>
    <definedName name="AP_LgGen_VOC_EF" localSheetId="11">[3]EGen!$C$103</definedName>
    <definedName name="AP_LgGen_VOC_EF" localSheetId="12">[3]EGen!$C$103</definedName>
    <definedName name="AP_LgGen_VOC_EF">'[4]EGEN EF Ref2'!$C$103</definedName>
    <definedName name="AP_SmGen_CO_EF" localSheetId="11">[3]EGen!$C$93</definedName>
    <definedName name="AP_SmGen_CO_EF" localSheetId="12">[3]EGen!$C$93</definedName>
    <definedName name="AP_SmGen_CO_EF">'[4]EGEN EF Ref2'!$C$93</definedName>
    <definedName name="AP_SmGen_NOX_EF" localSheetId="11">[3]EGen!$C$92</definedName>
    <definedName name="AP_SmGen_NOX_EF" localSheetId="12">[3]EGen!$C$92</definedName>
    <definedName name="AP_SmGen_NOX_EF">'[4]EGEN EF Ref2'!$C$92</definedName>
    <definedName name="AP_SmGen_PM_EF" localSheetId="11">[3]EGen!$C$90</definedName>
    <definedName name="AP_SmGen_PM_EF" localSheetId="12">[3]EGen!$C$90</definedName>
    <definedName name="AP_SmGen_PM_EF">'[4]EGEN EF Ref2'!$C$90</definedName>
    <definedName name="AP_SmGen_SO2_EF" localSheetId="11">[3]EGen!$C$91</definedName>
    <definedName name="AP_SmGen_SO2_EF" localSheetId="12">[3]EGen!$C$91</definedName>
    <definedName name="AP_SmGen_SO2_EF">'[4]EGEN EF Ref2'!$C$91</definedName>
    <definedName name="AP_SmGen_VOC_EF" localSheetId="11">[3]EGen!$C$94</definedName>
    <definedName name="AP_SmGen_VOC_EF" localSheetId="12">[3]EGen!$C$94</definedName>
    <definedName name="AP_SmGen_VOC_EF">'[4]EGEN EF Ref2'!$C$94</definedName>
    <definedName name="AT_List">[5]!Table13[[CAS Code]:[Pollutant Common Name]]</definedName>
    <definedName name="AT_List_Number">[5]!Table13[[CAS Code]:[Pollutant Common Name]]</definedName>
    <definedName name="BTUwT_25K_Munter">'[6]NG Usage vs Oxidizer Temp'!$C$19</definedName>
    <definedName name="BTUwT_44K_Munter">'[6]NG Usage vs Oxidizer Temp'!$H$19</definedName>
    <definedName name="BTUwT_90K_Anguil">'[6]NG Usage vs Oxidizer Temp'!$V$4</definedName>
    <definedName name="chemical">'[7]GWGs Summary'!#REF!</definedName>
    <definedName name="CO_POU_tpy_scrubber" localSheetId="11">'[8]14_Manufacturing - Scrubbers'!$BO$85:$BO$304</definedName>
    <definedName name="CO_POU_tpy_scrubber" localSheetId="12">'[8]14_Manufacturing - Scrubbers'!$BO$85:$BO$304</definedName>
    <definedName name="CO_POU_tpy_scrubber">'[4]14_Manufacturing - Scrubbers'!$BO$85:$BO$192</definedName>
    <definedName name="CO_tpy_boilers" localSheetId="11">'[8]1_Boilers'!$AB$35:$AB$102</definedName>
    <definedName name="CO_tpy_boilers" localSheetId="12">'[8]1_Boilers'!$AB$35:$AB$102</definedName>
    <definedName name="CO_tpy_boilers">'[4]1_Boilers'!$AB$35:$AB$101</definedName>
    <definedName name="CO_tpy_BSSW" localSheetId="11">'[8]3_BSSW'!$R$20:$R$23</definedName>
    <definedName name="CO_tpy_BSSW" localSheetId="12">'[8]3_BSSW'!$R$20:$R$23</definedName>
    <definedName name="CO_tpy_BSSW">'[4]3_BSSW'!$R$20:$R$23</definedName>
    <definedName name="CO_tpy_EGens" localSheetId="11">'[8]4_ EGENs Fire Pumps'!$AH$21:$AH$90</definedName>
    <definedName name="CO_tpy_EGens" localSheetId="12">'[8]4_ EGENs Fire Pumps'!$AH$21:$AH$90</definedName>
    <definedName name="CO_tpy_EGens">'[4]4_ EGENs Fire Pumps'!$AH$22:$AH$91</definedName>
    <definedName name="CO_tpy_Heaters" localSheetId="11">'[8]5_Heaters'!$AA$27:$AA$100</definedName>
    <definedName name="CO_tpy_Heaters" localSheetId="12">'[8]5_Heaters'!$AA$27:$AA$100</definedName>
    <definedName name="CO_tpy_Heaters">'[4]5_Heaters'!$AA$28:$AA$101</definedName>
    <definedName name="CO_tpy_RCTO" localSheetId="11">'[8]2_ RCTOs - Combustion'!$X$32:$X$72</definedName>
    <definedName name="CO_tpy_RCTO" localSheetId="12">'[8]2_ RCTOs - Combustion'!$X$32:$X$72</definedName>
    <definedName name="CO_tpy_RCTO">'[4]2_ RCTOs - Combustion'!$X$32:$X$72</definedName>
    <definedName name="CO_tpy_scrubber" localSheetId="11">'[8]14_Manufacturing - Scrubbers'!$AS$85:$AS$304</definedName>
    <definedName name="CO_tpy_scrubber" localSheetId="12">'[8]14_Manufacturing - Scrubbers'!$AS$85:$AS$304</definedName>
    <definedName name="CO_tpy_scrubber">'[4]14_Manufacturing - Scrubbers'!$AS$85:$AS$192</definedName>
    <definedName name="CO_tpy_TXMW" localSheetId="11">'[8]6_TMXW'!$Z$31:$Z$39</definedName>
    <definedName name="CO_tpy_TXMW" localSheetId="12">'[8]6_TMXW'!$Z$31:$Z$39</definedName>
    <definedName name="CO_tpy_TXMW">'[4]6_TMXW'!$Z$31:$Z$39</definedName>
    <definedName name="d" localSheetId="11">Tabl_B10_Unpv_Roads!d</definedName>
    <definedName name="d" localSheetId="12">Tabl_B11_Welding!d</definedName>
    <definedName name="d">[0]!d</definedName>
    <definedName name="EF">[3]Model!$E$1</definedName>
    <definedName name="EFCO_VOC_D1B">'[6]Emission Factors'!$E$8</definedName>
    <definedName name="EFCO_VOC_D1C">'[6]Emission Factors'!$E$9</definedName>
    <definedName name="EFCO_VOC_D1D">'[6]Emission Factors'!$E$10</definedName>
    <definedName name="EFCO_VOC_D1X">'[6]Emission Factors'!$E$11</definedName>
    <definedName name="EFCO_VOC_F15">'[6]Emission Factors'!$E$4</definedName>
    <definedName name="EFNOX_VOC_D1B">'[6]Emission Factors'!$F$8</definedName>
    <definedName name="EFNOX_VOC_D1C">'[6]Emission Factors'!$F$9</definedName>
    <definedName name="EFNOX_VOC_D1D">'[6]Emission Factors'!$F$10</definedName>
    <definedName name="EFNOX_VOC_D1X">'[6]Emission Factors'!$F$11</definedName>
    <definedName name="EFNOx_VOC_F15">'[6]Emission Factors'!$F$4</definedName>
    <definedName name="egwgws">'[7]GWGs Summary'!#REF!</definedName>
    <definedName name="Emission_Unit_Ozone">#REF!</definedName>
    <definedName name="Emissions_Unit_boilers" localSheetId="11">'[8]1_Boilers'!$A$35:$A$102</definedName>
    <definedName name="Emissions_Unit_boilers" localSheetId="12">'[8]1_Boilers'!$A$35:$A$102</definedName>
    <definedName name="Emissions_Unit_boilers">'[4]1_Boilers'!$A$35:$A$101</definedName>
    <definedName name="Emissions_Unit_BSSW" localSheetId="11">'[8]3_BSSW'!$A$20:$A$23</definedName>
    <definedName name="Emissions_Unit_BSSW" localSheetId="12">'[8]3_BSSW'!$A$20:$A$23</definedName>
    <definedName name="Emissions_Unit_BSSW">'[4]3_BSSW'!$A$20:$A$23</definedName>
    <definedName name="Emissions_Unit_EGens" localSheetId="11">'[8]4_ EGENs Fire Pumps'!$A$21:$A$90</definedName>
    <definedName name="Emissions_Unit_EGens" localSheetId="12">'[8]4_ EGENs Fire Pumps'!$A$21:$A$90</definedName>
    <definedName name="Emissions_Unit_EGens">'[4]4_ EGENs Fire Pumps'!$A$22:$A$91</definedName>
    <definedName name="Emissions_Unit_Heaters" localSheetId="11">'[8]5_Heaters'!$A$27:$A$100</definedName>
    <definedName name="Emissions_Unit_Heaters" localSheetId="12">'[8]5_Heaters'!$A$27:$A$100</definedName>
    <definedName name="Emissions_Unit_Heaters">'[4]5_Heaters'!$A$28:$A$101</definedName>
    <definedName name="Emissions_Unit_RCTO" localSheetId="11">'[8]2_ RCTOs - Combustion'!$A$32:$A$72</definedName>
    <definedName name="Emissions_Unit_RCTO" localSheetId="12">'[8]2_ RCTOs - Combustion'!$A$32:$A$72</definedName>
    <definedName name="Emissions_Unit_RCTO">'[4]2_ RCTOs - Combustion'!$A$32:$A$72</definedName>
    <definedName name="Emissions_Unit_Scrubber" localSheetId="11">'[8]14_Manufacturing - Scrubbers'!$A$85:$A$304</definedName>
    <definedName name="Emissions_Unit_Scrubber" localSheetId="12">'[8]14_Manufacturing - Scrubbers'!$A$85:$A$304</definedName>
    <definedName name="Emissions_Unit_Scrubber">'[4]14_Manufacturing - Scrubbers'!$A$85:$A$192</definedName>
    <definedName name="Emissions_Unit_TXMW" localSheetId="11">'[8]6_TMXW'!$A$31:$A$39</definedName>
    <definedName name="Emissions_Unit_TXMW" localSheetId="12">'[8]6_TMXW'!$A$31:$A$39</definedName>
    <definedName name="Emissions_Unit_TXMW">'[4]6_TMXW'!$A$31:$A$39</definedName>
    <definedName name="Emissions_Units_CTs" localSheetId="11">'[8]7_Cooling Towers'!$A$24:$A$105</definedName>
    <definedName name="Emissions_Units_CTs" localSheetId="12">'[8]7_Cooling Towers'!$A$24:$A$105</definedName>
    <definedName name="Emissions_Units_CTs">'[4]7_Cooling Towers'!$A$24:$A$105</definedName>
    <definedName name="endrep" localSheetId="11">#REF!</definedName>
    <definedName name="endrep" localSheetId="12">#REF!</definedName>
    <definedName name="endrep">#REF!</definedName>
    <definedName name="ess" localSheetId="11">Tabl_B10_Unpv_Roads!ess</definedName>
    <definedName name="ess" localSheetId="12">Tabl_B11_Welding!ess</definedName>
    <definedName name="ess">[0]!ess</definedName>
    <definedName name="EssAliasTable">"Default"</definedName>
    <definedName name="EssOptions">"110000000013010_0"</definedName>
    <definedName name="first" localSheetId="11">#REF!</definedName>
    <definedName name="first" localSheetId="12">#REF!</definedName>
    <definedName name="first">#REF!</definedName>
    <definedName name="firsthc" localSheetId="11">#REF!</definedName>
    <definedName name="firsthc" localSheetId="12">#REF!</definedName>
    <definedName name="firsthc">#REF!</definedName>
    <definedName name="firsttotil" localSheetId="11">#REF!</definedName>
    <definedName name="firsttotil" localSheetId="12">#REF!</definedName>
    <definedName name="firsttotil">#REF!</definedName>
    <definedName name="Fluoride_tpy_scrubber" localSheetId="11">'[8]14_Manufacturing - Scrubbers'!$AI$85:$AI$304</definedName>
    <definedName name="Fluoride_tpy_scrubber" localSheetId="12">'[8]14_Manufacturing - Scrubbers'!$AI$85:$AI$304</definedName>
    <definedName name="Fluoride_tpy_scrubber">'[4]14_Manufacturing - Scrubbers'!$AI$85:$AI$192</definedName>
    <definedName name="Future_OnOff" localSheetId="11">[9]Assumptions!$B$18</definedName>
    <definedName name="Future_OnOff" localSheetId="12">[9]Assumptions!$B$18</definedName>
    <definedName name="Future_OnOff">[6]Assumptions!$B$18</definedName>
    <definedName name="gotovard" localSheetId="11">Tabl_B10_Unpv_Roads!gotovard</definedName>
    <definedName name="gotovard" localSheetId="12">Tabl_B11_Welding!gotovard</definedName>
    <definedName name="gotovard">[0]!gotovard</definedName>
    <definedName name="Gotovaru" localSheetId="11">Tabl_B10_Unpv_Roads!Gotovaru</definedName>
    <definedName name="Gotovaru" localSheetId="12">Tabl_B11_Welding!Gotovaru</definedName>
    <definedName name="Gotovaru">[0]!Gotovaru</definedName>
    <definedName name="HF_tpy_scrubber" localSheetId="11">'[8]14_Manufacturing - Scrubbers'!$AK$85:$AK$304</definedName>
    <definedName name="HF_tpy_scrubber" localSheetId="12">'[8]14_Manufacturing - Scrubbers'!$AK$85:$AK$304</definedName>
    <definedName name="HF_tpy_scrubber">'[4]14_Manufacturing - Scrubbers'!$AK$85:$AK$192</definedName>
    <definedName name="hh">#REF!</definedName>
    <definedName name="last" localSheetId="11">#REF!</definedName>
    <definedName name="last" localSheetId="12">#REF!</definedName>
    <definedName name="last">#REF!</definedName>
    <definedName name="lasthc" localSheetId="11">#REF!</definedName>
    <definedName name="lasthc" localSheetId="12">#REF!</definedName>
    <definedName name="lasthc">#REF!</definedName>
    <definedName name="Lead_tpy_boilers" localSheetId="11">'[8]1_Boilers'!$AJ$35:$AJ$102</definedName>
    <definedName name="Lead_tpy_boilers" localSheetId="12">'[8]1_Boilers'!$AJ$35:$AJ$102</definedName>
    <definedName name="Lead_tpy_boilers">'[4]1_Boilers'!$AJ$35:$AJ$101</definedName>
    <definedName name="Lead_tpy_BSSW" localSheetId="11">'[8]3_BSSW'!$AB$20:$AB$23</definedName>
    <definedName name="Lead_tpy_BSSW" localSheetId="12">'[8]3_BSSW'!$AB$20:$AB$23</definedName>
    <definedName name="Lead_tpy_BSSW">'[4]3_BSSW'!$AB$20:$AB$23</definedName>
    <definedName name="Lead_tpy_Heaters" localSheetId="11">'[8]5_Heaters'!$AK$27:$AK$100</definedName>
    <definedName name="Lead_tpy_Heaters" localSheetId="12">'[8]5_Heaters'!$AK$27:$AK$100</definedName>
    <definedName name="Lead_tpy_Heaters">'[4]5_Heaters'!$AK$28:$AK$101</definedName>
    <definedName name="Lead_tpy_RCTO" localSheetId="11">'[8]2_ RCTOs - Combustion'!$AO$32:$AO$72</definedName>
    <definedName name="Lead_tpy_RCTO" localSheetId="12">'[8]2_ RCTOs - Combustion'!$AO$32:$AO$72</definedName>
    <definedName name="Lead_tpy_RCTO">'[4]2_ RCTOs - Combustion'!$AO$32:$AO$72</definedName>
    <definedName name="Lead_tpy_scrubbers" localSheetId="11">'[8]14_Manufacturing - Scrubbers'!$BN$85:$BN$304</definedName>
    <definedName name="Lead_tpy_scrubbers" localSheetId="12">'[8]14_Manufacturing - Scrubbers'!$BN$85:$BN$304</definedName>
    <definedName name="Lead_tpy_scrubbers">'[4]14_Manufacturing - Scrubbers'!$BN$85:$BN$192</definedName>
    <definedName name="Lead_tpy_TMXW" localSheetId="11">'[8]6_TMXW'!$AJ$31:$AJ$39</definedName>
    <definedName name="Lead_tpy_TMXW" localSheetId="12">'[8]6_TMXW'!$AJ$31:$AJ$39</definedName>
    <definedName name="Lead_tpy_TMXW">'[4]6_TMXW'!$AJ$31:$AJ$39</definedName>
    <definedName name="mqy">'[10]Wafer Starts'!$AC$25</definedName>
    <definedName name="NG_heatcontent">[6]Assumptions1!$P$17</definedName>
    <definedName name="NOx_POU_tpy_scrubber" localSheetId="11">'[8]14_Manufacturing - Scrubbers'!$BP$85:$BP$304</definedName>
    <definedName name="NOx_POU_tpy_scrubber" localSheetId="12">'[8]14_Manufacturing - Scrubbers'!$BP$85:$BP$304</definedName>
    <definedName name="NOx_POU_tpy_scrubber">'[4]14_Manufacturing - Scrubbers'!$BP$85:$BP$192</definedName>
    <definedName name="NOx_tpy_boilers" localSheetId="11">'[8]1_Boilers'!$Y$35:$Y$102</definedName>
    <definedName name="NOx_tpy_boilers" localSheetId="12">'[8]1_Boilers'!$Y$35:$Y$102</definedName>
    <definedName name="NOx_tpy_boilers">'[4]1_Boilers'!$Y$35:$Y$101</definedName>
    <definedName name="NOx_tpy_BSSW" localSheetId="11">'[8]3_BSSW'!$T$20:$T$23</definedName>
    <definedName name="NOx_tpy_BSSW" localSheetId="12">'[8]3_BSSW'!$T$20:$T$23</definedName>
    <definedName name="NOx_tpy_BSSW">'[4]3_BSSW'!$T$20:$T$23</definedName>
    <definedName name="NOx_tpy_EGens" localSheetId="11">'[8]4_ EGENs Fire Pumps'!$AA$21:$AA$90</definedName>
    <definedName name="NOx_tpy_EGens" localSheetId="12">'[8]4_ EGENs Fire Pumps'!$AA$21:$AA$90</definedName>
    <definedName name="NOx_tpy_EGens">'[4]4_ EGENs Fire Pumps'!$AA$22:$AA$91</definedName>
    <definedName name="NOx_tpy_Heaters" localSheetId="11">'[8]5_Heaters'!$AC$27:$AC$100</definedName>
    <definedName name="NOx_tpy_Heaters" localSheetId="12">'[8]5_Heaters'!$AC$27:$AC$100</definedName>
    <definedName name="NOx_tpy_Heaters">'[4]5_Heaters'!$AC$28:$AC$101</definedName>
    <definedName name="NOx_tpy_RCTO" localSheetId="11">'[8]2_ RCTOs - Combustion'!$U$32:$U$72</definedName>
    <definedName name="NOx_tpy_RCTO" localSheetId="12">'[8]2_ RCTOs - Combustion'!$U$32:$U$72</definedName>
    <definedName name="NOx_tpy_RCTO">'[4]2_ RCTOs - Combustion'!$U$32:$U$72</definedName>
    <definedName name="NOx_tpy_scrubber" localSheetId="11">'[8]14_Manufacturing - Scrubbers'!$AU$85:$AU$304</definedName>
    <definedName name="NOx_tpy_scrubber" localSheetId="12">'[8]14_Manufacturing - Scrubbers'!$AU$85:$AU$304</definedName>
    <definedName name="NOx_tpy_scrubber">'[4]14_Manufacturing - Scrubbers'!$AU$85:$AU$192</definedName>
    <definedName name="NOx_tpy_TXMW" localSheetId="11">'[8]6_TMXW'!$AB$31:$AB$39</definedName>
    <definedName name="NOx_tpy_TXMW" localSheetId="12">'[8]6_TMXW'!$AB$31:$AB$39</definedName>
    <definedName name="NOx_tpy_TXMW">'[4]6_TMXW'!$AB$31:$AB$39</definedName>
    <definedName name="Ozone_tpy_Ozone">#REF!</definedName>
    <definedName name="PM_drift_tpy_scrubbers">'[4]14_Manufacturing - Scrubbers'!$BQ$85:$BQ$192</definedName>
    <definedName name="PM10_tpy_boilers" localSheetId="11">'[8]1_Boilers'!$AD$35:$AD$102</definedName>
    <definedName name="PM10_tpy_boilers" localSheetId="12">'[8]1_Boilers'!$AD$35:$AD$102</definedName>
    <definedName name="PM10_tpy_boilers">'[4]1_Boilers'!$AD$35:$AD$101</definedName>
    <definedName name="PM10_tpy_BSSW" localSheetId="11">'[8]3_BSSW'!$V$20:$V$23</definedName>
    <definedName name="PM10_tpy_BSSW" localSheetId="12">'[8]3_BSSW'!$V$20:$V$23</definedName>
    <definedName name="PM10_tpy_BSSW">'[4]3_BSSW'!$V$20:$V$23</definedName>
    <definedName name="PM10_tpy_CTs" localSheetId="11">'[8]7_Cooling Towers'!$AO$24:$AO$105</definedName>
    <definedName name="PM10_tpy_CTs" localSheetId="12">'[8]7_Cooling Towers'!$AO$24:$AO$105</definedName>
    <definedName name="PM10_tpy_CTs">'[4]7_Cooling Towers'!$AO$24:$AO$105</definedName>
    <definedName name="PM10_tpy_EGens" localSheetId="11">'[8]4_ EGENs Fire Pumps'!$AM$21:$AM$90</definedName>
    <definedName name="PM10_tpy_EGens" localSheetId="12">'[8]4_ EGENs Fire Pumps'!$AM$21:$AM$90</definedName>
    <definedName name="PM10_tpy_EGens">'[4]4_ EGENs Fire Pumps'!$AM$22:$AM$91</definedName>
    <definedName name="PM10_tpy_Heaters" localSheetId="11">'[8]5_Heaters'!$AE$27:$AE$100</definedName>
    <definedName name="PM10_tpy_Heaters" localSheetId="12">'[8]5_Heaters'!$AE$27:$AE$100</definedName>
    <definedName name="PM10_tpy_Heaters">'[4]5_Heaters'!$AE$28:$AE$101</definedName>
    <definedName name="PM10_tpy_RCTO" localSheetId="11">'[8]2_ RCTOs - Combustion'!$AK$32:$AK$72</definedName>
    <definedName name="PM10_tpy_RCTO" localSheetId="12">'[8]2_ RCTOs - Combustion'!$AK$32:$AK$72</definedName>
    <definedName name="PM10_tpy_RCTO">'[4]2_ RCTOs - Combustion'!$AK$32:$AK$72</definedName>
    <definedName name="PM10_tpy_scrubber" localSheetId="11">'[8]14_Manufacturing - Scrubbers'!$BH$85:$BH$304</definedName>
    <definedName name="PM10_tpy_scrubber" localSheetId="12">'[8]14_Manufacturing - Scrubbers'!$BH$85:$BH$304</definedName>
    <definedName name="PM10_tpy_scrubber">'[4]14_Manufacturing - Scrubbers'!$BH$85:$BH$192</definedName>
    <definedName name="PM10_tpy_TMXW" localSheetId="11">'[8]6_TMXW'!$AD$31:$AD$39</definedName>
    <definedName name="PM10_tpy_TMXW" localSheetId="12">'[8]6_TMXW'!$AD$31:$AD$39</definedName>
    <definedName name="PM10_tpy_TMXW">'[4]6_TMXW'!$AD$31:$AD$39</definedName>
    <definedName name="PM2.5_POU_tpy_scrubber" localSheetId="11">'[8]14_Manufacturing - Scrubbers'!$AY$85:$AY$304</definedName>
    <definedName name="PM2.5_POU_tpy_scrubber" localSheetId="12">'[8]14_Manufacturing - Scrubbers'!$AY$85:$AY$304</definedName>
    <definedName name="PM2.5_POU_tpy_scrubber">'[4]14_Manufacturing - Scrubbers'!$AY$85:$AY$192</definedName>
    <definedName name="PM2.5_tpy_boilers" localSheetId="11">'[8]1_Boilers'!$AF$35:$AF$102</definedName>
    <definedName name="PM2.5_tpy_boilers" localSheetId="12">'[8]1_Boilers'!$AF$35:$AF$102</definedName>
    <definedName name="PM2.5_tpy_boilers">'[4]1_Boilers'!$AF$35:$AF$101</definedName>
    <definedName name="PM2.5_tpy_BSSW" localSheetId="11">'[8]3_BSSW'!$X$20:$X$23</definedName>
    <definedName name="PM2.5_tpy_BSSW" localSheetId="12">'[8]3_BSSW'!$X$20:$X$23</definedName>
    <definedName name="PM2.5_tpy_BSSW">'[4]3_BSSW'!$X$20:$X$23</definedName>
    <definedName name="PM2.5_tpy_CTs" localSheetId="11">'[8]7_Cooling Towers'!$AQ$24:$AQ$105</definedName>
    <definedName name="PM2.5_tpy_CTs" localSheetId="12">'[8]7_Cooling Towers'!$AQ$24:$AQ$105</definedName>
    <definedName name="PM2.5_tpy_CTs">'[4]7_Cooling Towers'!$AQ$24:$AQ$105</definedName>
    <definedName name="PM2.5_tpy_EGens" localSheetId="11">'[8]4_ EGENs Fire Pumps'!$AR$21:$AR$90</definedName>
    <definedName name="PM2.5_tpy_EGens" localSheetId="12">'[8]4_ EGENs Fire Pumps'!$AR$21:$AR$90</definedName>
    <definedName name="PM2.5_tpy_EGens">'[4]4_ EGENs Fire Pumps'!$AR$22:$AR$91</definedName>
    <definedName name="PM2.5_tpy_Heaters" localSheetId="11">'[8]5_Heaters'!$AG$27:$AG$100</definedName>
    <definedName name="PM2.5_tpy_Heaters" localSheetId="12">'[8]5_Heaters'!$AG$27:$AG$100</definedName>
    <definedName name="PM2.5_tpy_Heaters">'[4]5_Heaters'!$AG$28:$AG$101</definedName>
    <definedName name="PM2.5_tpy_RCTO" localSheetId="11">'[8]2_ RCTOs - Combustion'!$AM$32:$AM$72</definedName>
    <definedName name="PM2.5_tpy_RCTO" localSheetId="12">'[8]2_ RCTOs - Combustion'!$AM$32:$AM$72</definedName>
    <definedName name="PM2.5_tpy_RCTO">'[4]2_ RCTOs - Combustion'!$AM$32:$AM$72</definedName>
    <definedName name="PM2.5_tpy_scrubber" localSheetId="11">'[8]14_Manufacturing - Scrubbers'!$BJ$85:$BJ$304</definedName>
    <definedName name="PM2.5_tpy_scrubber" localSheetId="12">'[8]14_Manufacturing - Scrubbers'!$BJ$85:$BJ$304</definedName>
    <definedName name="PM2.5_tpy_scrubber">'[4]14_Manufacturing - Scrubbers'!$BJ$85:$BJ$192</definedName>
    <definedName name="PM2.5_tpy_TXMW" localSheetId="11">'[8]6_TMXW'!$AF$31:$AF$39</definedName>
    <definedName name="PM2.5_tpy_TXMW" localSheetId="12">'[8]6_TMXW'!$AF$31:$AF$39</definedName>
    <definedName name="PM2.5_tpy_TXMW">'[4]6_TMXW'!$AF$31:$AF$39</definedName>
    <definedName name="_xlnm.Print_Area" localSheetId="32">'Horizontal tank'!$B$1:$L$84</definedName>
    <definedName name="_xlnm.Print_Area" localSheetId="33">Tables!$B$1:$G$38</definedName>
    <definedName name="printdollardetail" localSheetId="11">Tabl_B10_Unpv_Roads!printdollardetail</definedName>
    <definedName name="printdollardetail" localSheetId="12">Tabl_B11_Welding!printdollardetail</definedName>
    <definedName name="printdollardetail">[0]!printdollardetail</definedName>
    <definedName name="printunitsdetail" localSheetId="11">Tabl_B10_Unpv_Roads!printunitsdetail</definedName>
    <definedName name="printunitsdetail" localSheetId="12">Tabl_B11_Welding!printunitsdetail</definedName>
    <definedName name="printunitsdetail">[0]!printunitsdetail</definedName>
    <definedName name="process_POU_scalar" localSheetId="11">[9]Model!$I$4</definedName>
    <definedName name="process_POU_scalar" localSheetId="12">[9]Model!$I$4</definedName>
    <definedName name="process_POU_scalar">[6]Model!$I$4</definedName>
    <definedName name="process_scalar" localSheetId="11">[9]Model!$I$3</definedName>
    <definedName name="process_scalar" localSheetId="12">[9]Model!$I$3</definedName>
    <definedName name="process_scalar">[6]Model!$I$3</definedName>
    <definedName name="Rank1">[1]Rank!$A$6:$C$15</definedName>
    <definedName name="Rank10">[1]Rank!$I$19:$K$43</definedName>
    <definedName name="Rank11">[1]Rank!$M$19:$O$43</definedName>
    <definedName name="Rank12">[1]Rank!$Q$19:$S$43</definedName>
    <definedName name="Rank13">[1]Rank!$U$19:$W$43</definedName>
    <definedName name="Rank14">[1]Rank!$Y$19:$AA$43</definedName>
    <definedName name="Rank15">[1]Rank!$A$48:$B$60</definedName>
    <definedName name="Rank16">[1]Rank!$E$48:$G$60</definedName>
    <definedName name="Rank17">[1]Rank!$I$48:$K$60</definedName>
    <definedName name="Rank18">[1]Rank!$M$48:$O$60</definedName>
    <definedName name="Rank19">[1]Rank!$Q$48:$S$60</definedName>
    <definedName name="Rank2">[1]Rank!$E$6:$G$15</definedName>
    <definedName name="Rank20">[1]Rank!$U$48:$W$60</definedName>
    <definedName name="Rank21">[1]Rank!$Y$48:$AA$60</definedName>
    <definedName name="Rank22">[1]Rank!$A$63:$C$78</definedName>
    <definedName name="Rank23">[1]Rank!$E$63:$G$78</definedName>
    <definedName name="Rank24">[1]Rank!$I$63:$K$78</definedName>
    <definedName name="Rank25">[1]Rank!$M$63:$O$78</definedName>
    <definedName name="Rank26">[1]Rank!$Q$63:$S$78</definedName>
    <definedName name="Rank27">[1]Rank!$U$63:$W$78</definedName>
    <definedName name="Rank28">[1]Rank!$Y$63:$AA$78</definedName>
    <definedName name="Rank3">[1]Rank!$I$6:$K$15</definedName>
    <definedName name="Rank4">[1]Rank!$M$6:$O$15</definedName>
    <definedName name="Rank5">[1]Rank!$Q$6:$S$15</definedName>
    <definedName name="Rank6">[1]Rank!$U$6:$W$15</definedName>
    <definedName name="Rank7">[1]Rank!$Y$6:$AA$15</definedName>
    <definedName name="Rank8">[1]Rank!$A$19:$C$43</definedName>
    <definedName name="Rank9">[1]Rank!$E$19:$G$43</definedName>
    <definedName name="RCTO_T">[6]Assumptions1!$P$18</definedName>
    <definedName name="RCTO_Utilize" localSheetId="11">[9]Pareto!$B$29</definedName>
    <definedName name="RCTO_Utilize" localSheetId="12">[9]Pareto!$B$29</definedName>
    <definedName name="RCTO_Utilize">[6]Pareto!$B$29</definedName>
    <definedName name="Reisman2.5from10">'[3]CoolingTower PTE'!$E$10</definedName>
    <definedName name="sheet100" localSheetId="11">Tabl_B10_Unpv_Roads!sheet100</definedName>
    <definedName name="sheet100" localSheetId="12">Tabl_B11_Welding!sheet100</definedName>
    <definedName name="sheet100">[0]!sheet100</definedName>
    <definedName name="SO2_POU_tpy_scrubber" localSheetId="11">'[8]14_Manufacturing - Scrubbers'!$BA$85:$BA$304</definedName>
    <definedName name="SO2_POU_tpy_scrubber" localSheetId="12">'[8]14_Manufacturing - Scrubbers'!$BA$85:$BA$304</definedName>
    <definedName name="SO2_POU_tpy_scrubber">'[4]14_Manufacturing - Scrubbers'!$BA$85:$BA$192</definedName>
    <definedName name="SO2_tpy_boilers" localSheetId="11">'[8]1_Boilers'!$AH$35:$AH$102</definedName>
    <definedName name="SO2_tpy_boilers" localSheetId="12">'[8]1_Boilers'!$AH$35:$AH$102</definedName>
    <definedName name="SO2_tpy_boilers">'[4]1_Boilers'!$AH$35:$AH$101</definedName>
    <definedName name="SO2_tpy_BSSW" localSheetId="11">'[8]3_BSSW'!$Z$20:$Z$23</definedName>
    <definedName name="SO2_tpy_BSSW" localSheetId="12">'[8]3_BSSW'!$Z$20:$Z$23</definedName>
    <definedName name="SO2_tpy_BSSW">'[4]3_BSSW'!$Z$20:$Z$23</definedName>
    <definedName name="SO2_tpy_EGens" localSheetId="11">'[8]4_ EGENs Fire Pumps'!$AV$21:$AV$90</definedName>
    <definedName name="SO2_tpy_EGens" localSheetId="12">'[8]4_ EGENs Fire Pumps'!$AV$21:$AV$90</definedName>
    <definedName name="SO2_tpy_EGens">'[4]4_ EGENs Fire Pumps'!$AV$22:$AV$91</definedName>
    <definedName name="SO2_tpy_Heaters" localSheetId="11">'[8]5_Heaters'!$AI$27:$AI$100</definedName>
    <definedName name="SO2_tpy_Heaters" localSheetId="12">'[8]5_Heaters'!$AI$27:$AI$100</definedName>
    <definedName name="SO2_tpy_Heaters">'[4]5_Heaters'!$AI$28:$AI$101</definedName>
    <definedName name="SO2_tpy_RCTO" localSheetId="11">'[8]2_ RCTOs - Combustion'!$AD$32:$AD$72</definedName>
    <definedName name="SO2_tpy_RCTO" localSheetId="12">'[8]2_ RCTOs - Combustion'!$AD$32:$AD$72</definedName>
    <definedName name="SO2_tpy_RCTO">'[4]2_ RCTOs - Combustion'!$AD$32:$AD$72</definedName>
    <definedName name="SO2_tpy_scrubber" localSheetId="11">'[8]14_Manufacturing - Scrubbers'!$BL$85:$BL$304</definedName>
    <definedName name="SO2_tpy_scrubber" localSheetId="12">'[8]14_Manufacturing - Scrubbers'!$BL$85:$BL$304</definedName>
    <definedName name="SO2_tpy_scrubber">'[4]14_Manufacturing - Scrubbers'!$BL$85:$BL$192</definedName>
    <definedName name="SO2_tpy_TMXW" localSheetId="11">'[8]6_TMXW'!$AH$31:$AH$39</definedName>
    <definedName name="SO2_tpy_TMXW" localSheetId="12">'[8]6_TMXW'!$AH$31:$AH$39</definedName>
    <definedName name="SO2_tpy_TMXW">'[4]6_TMXW'!$AH$31:$AH$39</definedName>
    <definedName name="Title1" localSheetId="34">#REF!</definedName>
    <definedName name="Title1">#REF!</definedName>
    <definedName name="units">'[2]Units Lookup'!$B$4:$B$12</definedName>
    <definedName name="version_date">[11]constants!$A$9</definedName>
    <definedName name="version_number">[11]constants!$A$10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49" i="36" l="1"/>
  <c r="I77" i="34" l="1"/>
  <c r="H77" i="34"/>
  <c r="B25" i="39" l="1"/>
  <c r="B24" i="39"/>
  <c r="F88" i="34"/>
  <c r="D82" i="34"/>
  <c r="E82" i="34" s="1"/>
  <c r="D81" i="34"/>
  <c r="E81" i="34" s="1"/>
  <c r="D80" i="34"/>
  <c r="E80" i="34" s="1"/>
  <c r="D79" i="34"/>
  <c r="E79" i="34" s="1"/>
  <c r="D78" i="34"/>
  <c r="E78" i="34" s="1"/>
  <c r="D77" i="34"/>
  <c r="F77" i="34" s="1"/>
  <c r="G62" i="34"/>
  <c r="E77" i="34" l="1"/>
  <c r="F78" i="34"/>
  <c r="F82" i="34"/>
  <c r="F81" i="34"/>
  <c r="F80" i="34"/>
  <c r="F79" i="34"/>
  <c r="Y70" i="63"/>
  <c r="Y69" i="63"/>
  <c r="Y68" i="63"/>
  <c r="Y67" i="63"/>
  <c r="Y66" i="63"/>
  <c r="Y65" i="63"/>
  <c r="Y64" i="63"/>
  <c r="Y63" i="63"/>
  <c r="Y62" i="63"/>
  <c r="Y61" i="63"/>
  <c r="Y60" i="63"/>
  <c r="Y59" i="63"/>
  <c r="Y58" i="63"/>
  <c r="Y57" i="63"/>
  <c r="Y56" i="63"/>
  <c r="Y55" i="63"/>
  <c r="Y54" i="63"/>
  <c r="Y53" i="63"/>
  <c r="Y52" i="63"/>
  <c r="Y51" i="63"/>
  <c r="X70" i="63"/>
  <c r="X69" i="63"/>
  <c r="X68" i="63"/>
  <c r="X67" i="63"/>
  <c r="X66" i="63"/>
  <c r="X65" i="63"/>
  <c r="X64" i="63"/>
  <c r="X63" i="63"/>
  <c r="X62" i="63"/>
  <c r="X61" i="63"/>
  <c r="X60" i="63"/>
  <c r="X59" i="63"/>
  <c r="X58" i="63"/>
  <c r="X57" i="63"/>
  <c r="X56" i="63"/>
  <c r="X55" i="63"/>
  <c r="X54" i="63"/>
  <c r="X53" i="63"/>
  <c r="X52" i="63"/>
  <c r="X51" i="63"/>
  <c r="D42" i="40" l="1"/>
  <c r="C200" i="36"/>
  <c r="E200" i="36" s="1"/>
  <c r="C199" i="36"/>
  <c r="E199" i="36" s="1"/>
  <c r="C198" i="36"/>
  <c r="E198" i="36" s="1"/>
  <c r="C197" i="36"/>
  <c r="E197" i="36" s="1"/>
  <c r="C196" i="36"/>
  <c r="E196" i="36" s="1"/>
  <c r="C195" i="36"/>
  <c r="E195" i="36" s="1"/>
  <c r="C148" i="36"/>
  <c r="E148" i="36" s="1"/>
  <c r="C147" i="36"/>
  <c r="E147" i="36" s="1"/>
  <c r="C146" i="36"/>
  <c r="E146" i="36" s="1"/>
  <c r="C145" i="36"/>
  <c r="E145" i="36" s="1"/>
  <c r="C144" i="36"/>
  <c r="C143" i="36"/>
  <c r="E143" i="36" s="1"/>
  <c r="C90" i="36"/>
  <c r="C89" i="36"/>
  <c r="C88" i="36"/>
  <c r="E88" i="36" s="1"/>
  <c r="C87" i="36"/>
  <c r="C86" i="36"/>
  <c r="E86" i="36" s="1"/>
  <c r="L11" i="58"/>
  <c r="K11" i="58"/>
  <c r="J11" i="58"/>
  <c r="L10" i="58"/>
  <c r="K10" i="58"/>
  <c r="J10" i="58"/>
  <c r="L9" i="58"/>
  <c r="K9" i="58"/>
  <c r="J9" i="58"/>
  <c r="L8" i="58"/>
  <c r="K8" i="58"/>
  <c r="J8" i="58"/>
  <c r="L7" i="58"/>
  <c r="K7" i="58"/>
  <c r="J7" i="58"/>
  <c r="L6" i="58"/>
  <c r="K6" i="58"/>
  <c r="J6" i="58"/>
  <c r="C85" i="36" s="1"/>
  <c r="E85" i="36" s="1"/>
  <c r="H11" i="58"/>
  <c r="G11" i="58"/>
  <c r="I11" i="58" s="1"/>
  <c r="H10" i="58"/>
  <c r="G10" i="58"/>
  <c r="I10" i="58" s="1"/>
  <c r="H9" i="58"/>
  <c r="G9" i="58"/>
  <c r="I9" i="58" s="1"/>
  <c r="H8" i="58"/>
  <c r="G8" i="58"/>
  <c r="I8" i="58" s="1"/>
  <c r="H7" i="58"/>
  <c r="G7" i="58"/>
  <c r="I7" i="58" s="1"/>
  <c r="I6" i="58"/>
  <c r="H6" i="58"/>
  <c r="G6" i="58"/>
  <c r="I5" i="58"/>
  <c r="H5" i="58"/>
  <c r="G5" i="58"/>
  <c r="E90" i="36" l="1"/>
  <c r="E144" i="36"/>
  <c r="E87" i="36"/>
  <c r="E89" i="36"/>
  <c r="D75" i="39" l="1"/>
  <c r="E75" i="39"/>
  <c r="D76" i="39"/>
  <c r="E76" i="39"/>
  <c r="D77" i="39"/>
  <c r="E77" i="39"/>
  <c r="D78" i="39"/>
  <c r="E78" i="39"/>
  <c r="D79" i="39"/>
  <c r="E79" i="39"/>
  <c r="D80" i="39"/>
  <c r="E80" i="39"/>
  <c r="D81" i="39"/>
  <c r="E81" i="39"/>
  <c r="D82" i="39"/>
  <c r="E82" i="39"/>
  <c r="D83" i="39"/>
  <c r="E83" i="39"/>
  <c r="D84" i="39"/>
  <c r="E84" i="39"/>
  <c r="D85" i="39"/>
  <c r="E85" i="39"/>
  <c r="D86" i="39"/>
  <c r="E86" i="39"/>
  <c r="D87" i="39"/>
  <c r="E87" i="39"/>
  <c r="D88" i="39"/>
  <c r="E88" i="39"/>
  <c r="E74" i="39"/>
  <c r="D74" i="39"/>
  <c r="C230" i="36" l="1"/>
  <c r="I149" i="36" l="1"/>
  <c r="D149" i="36"/>
  <c r="F149" i="36" s="1"/>
  <c r="J149" i="36" s="1"/>
  <c r="B47" i="36"/>
  <c r="E91" i="36" s="1"/>
  <c r="I42" i="63" l="1"/>
  <c r="J42" i="63" s="1"/>
  <c r="I43" i="63"/>
  <c r="J43" i="63" s="1"/>
  <c r="I44" i="63"/>
  <c r="J44" i="63" s="1"/>
  <c r="I45" i="63"/>
  <c r="J45" i="63" s="1"/>
  <c r="I41" i="63"/>
  <c r="J41" i="63" s="1"/>
  <c r="D91" i="46" l="1"/>
  <c r="E91" i="46"/>
  <c r="C91" i="46"/>
  <c r="B22" i="41"/>
  <c r="B21" i="41"/>
  <c r="F88" i="40" l="1"/>
  <c r="G88" i="40"/>
  <c r="H88" i="40"/>
  <c r="I88" i="40"/>
  <c r="F89" i="40"/>
  <c r="G89" i="40"/>
  <c r="H89" i="40"/>
  <c r="I89" i="40"/>
  <c r="F90" i="40"/>
  <c r="G90" i="40"/>
  <c r="H90" i="40"/>
  <c r="I90" i="40"/>
  <c r="F91" i="40"/>
  <c r="G91" i="40"/>
  <c r="H91" i="40"/>
  <c r="I91" i="40"/>
  <c r="F92" i="40"/>
  <c r="G92" i="40"/>
  <c r="H92" i="40"/>
  <c r="I92" i="40"/>
  <c r="F93" i="40"/>
  <c r="G93" i="40"/>
  <c r="H93" i="40"/>
  <c r="I93" i="40"/>
  <c r="F94" i="40"/>
  <c r="G94" i="40"/>
  <c r="H94" i="40"/>
  <c r="I94" i="40"/>
  <c r="F95" i="40"/>
  <c r="G95" i="40"/>
  <c r="H95" i="40"/>
  <c r="I95" i="40"/>
  <c r="F96" i="40"/>
  <c r="G96" i="40"/>
  <c r="H96" i="40"/>
  <c r="I96" i="40"/>
  <c r="F97" i="40"/>
  <c r="G97" i="40"/>
  <c r="H97" i="40"/>
  <c r="I97" i="40"/>
  <c r="F98" i="40"/>
  <c r="G98" i="40"/>
  <c r="H98" i="40"/>
  <c r="I98" i="40"/>
  <c r="F99" i="40"/>
  <c r="G99" i="40"/>
  <c r="H99" i="40"/>
  <c r="I99" i="40"/>
  <c r="F100" i="40"/>
  <c r="G100" i="40"/>
  <c r="H100" i="40"/>
  <c r="I100" i="40"/>
  <c r="F101" i="40"/>
  <c r="G101" i="40"/>
  <c r="H101" i="40"/>
  <c r="I101" i="40"/>
  <c r="I87" i="40"/>
  <c r="H87" i="40"/>
  <c r="G87" i="40"/>
  <c r="F87" i="40"/>
  <c r="F84" i="40"/>
  <c r="F39" i="40"/>
  <c r="F359" i="36"/>
  <c r="B57" i="34" l="1"/>
  <c r="C284" i="36"/>
  <c r="D284" i="36" s="1"/>
  <c r="F284" i="36" s="1"/>
  <c r="J284" i="36" s="1"/>
  <c r="I91" i="36"/>
  <c r="D91" i="36"/>
  <c r="D204" i="34"/>
  <c r="D203" i="34"/>
  <c r="D202" i="34"/>
  <c r="D201" i="34"/>
  <c r="D200" i="34"/>
  <c r="D199" i="34"/>
  <c r="D198" i="34"/>
  <c r="D197" i="34"/>
  <c r="D196" i="34"/>
  <c r="D195" i="34"/>
  <c r="D194" i="34"/>
  <c r="D193" i="34"/>
  <c r="D192" i="34"/>
  <c r="C191" i="34"/>
  <c r="D191" i="34" s="1"/>
  <c r="D190" i="34"/>
  <c r="D189" i="34"/>
  <c r="D188" i="34"/>
  <c r="D187" i="34"/>
  <c r="D186" i="34"/>
  <c r="C167" i="34"/>
  <c r="D167" i="34" s="1"/>
  <c r="D162" i="34"/>
  <c r="D165" i="34"/>
  <c r="D166" i="34"/>
  <c r="D168" i="34"/>
  <c r="D169" i="34"/>
  <c r="D170" i="34"/>
  <c r="D171" i="34"/>
  <c r="D172" i="34"/>
  <c r="D173" i="34"/>
  <c r="D174" i="34"/>
  <c r="D175" i="34"/>
  <c r="D176" i="34"/>
  <c r="D177" i="34"/>
  <c r="D178" i="34"/>
  <c r="D179" i="34"/>
  <c r="D180" i="34"/>
  <c r="D163" i="34"/>
  <c r="D164" i="34"/>
  <c r="F91" i="36" l="1"/>
  <c r="E284" i="36"/>
  <c r="I284" i="36" s="1"/>
  <c r="B55" i="34"/>
  <c r="B54" i="34"/>
  <c r="U16" i="64"/>
  <c r="U17" i="64"/>
  <c r="U18" i="64"/>
  <c r="U15" i="64"/>
  <c r="T18" i="64"/>
  <c r="T17" i="64"/>
  <c r="T16" i="64"/>
  <c r="T15" i="64"/>
  <c r="Q18" i="64"/>
  <c r="Q17" i="64"/>
  <c r="Q16" i="64"/>
  <c r="Q15" i="64"/>
  <c r="N18" i="64"/>
  <c r="N17" i="64"/>
  <c r="N16" i="64"/>
  <c r="N15" i="64"/>
  <c r="K18" i="64"/>
  <c r="K17" i="64"/>
  <c r="K16" i="64"/>
  <c r="K15" i="64"/>
  <c r="H18" i="64"/>
  <c r="H17" i="64"/>
  <c r="H16" i="64"/>
  <c r="H15" i="64"/>
  <c r="E16" i="64"/>
  <c r="E17" i="64"/>
  <c r="E18" i="64"/>
  <c r="E15" i="64"/>
  <c r="S18" i="64"/>
  <c r="S17" i="64"/>
  <c r="S16" i="64"/>
  <c r="S15" i="64"/>
  <c r="P18" i="64"/>
  <c r="P17" i="64"/>
  <c r="P16" i="64"/>
  <c r="P15" i="64"/>
  <c r="M18" i="64"/>
  <c r="M17" i="64"/>
  <c r="M16" i="64"/>
  <c r="M15" i="64"/>
  <c r="J18" i="64"/>
  <c r="J17" i="64"/>
  <c r="J16" i="64"/>
  <c r="J15" i="64"/>
  <c r="G18" i="64"/>
  <c r="G17" i="64"/>
  <c r="G16" i="64"/>
  <c r="G15" i="64"/>
  <c r="D16" i="64"/>
  <c r="D17" i="64"/>
  <c r="D18" i="64"/>
  <c r="D15" i="64"/>
  <c r="J91" i="36" l="1"/>
  <c r="V15" i="64"/>
  <c r="V18" i="64"/>
  <c r="V16" i="64"/>
  <c r="V17" i="64"/>
  <c r="F169" i="34"/>
  <c r="F177" i="34"/>
  <c r="F179" i="34"/>
  <c r="F180" i="34"/>
  <c r="E164" i="34"/>
  <c r="F178" i="34"/>
  <c r="E180" i="34"/>
  <c r="F165" i="34"/>
  <c r="E163" i="34"/>
  <c r="F164" i="34"/>
  <c r="E168" i="34"/>
  <c r="F166" i="34"/>
  <c r="F175" i="34"/>
  <c r="F171" i="34"/>
  <c r="F172" i="34"/>
  <c r="F174" i="34"/>
  <c r="F173" i="34"/>
  <c r="F167" i="34"/>
  <c r="F170" i="34"/>
  <c r="E174" i="34"/>
  <c r="E175" i="34"/>
  <c r="E166" i="34"/>
  <c r="E167" i="34"/>
  <c r="E171" i="34"/>
  <c r="E172" i="34"/>
  <c r="E170" i="34"/>
  <c r="E173" i="34"/>
  <c r="E169" i="34"/>
  <c r="F168" i="34"/>
  <c r="E176" i="34"/>
  <c r="F176" i="34"/>
  <c r="E177" i="34"/>
  <c r="F163" i="34"/>
  <c r="E178" i="34"/>
  <c r="E165" i="34"/>
  <c r="E179" i="34"/>
  <c r="T62" i="63"/>
  <c r="P61" i="63"/>
  <c r="P60" i="63"/>
  <c r="H61" i="63"/>
  <c r="J61" i="63" s="1"/>
  <c r="H59" i="63"/>
  <c r="D66" i="63"/>
  <c r="D67" i="63"/>
  <c r="H67" i="63"/>
  <c r="J67" i="63" s="1"/>
  <c r="L64" i="63"/>
  <c r="N64" i="63" s="1"/>
  <c r="P68" i="63"/>
  <c r="T64" i="63"/>
  <c r="V64" i="63" s="1"/>
  <c r="D52" i="63"/>
  <c r="F45" i="63"/>
  <c r="G45" i="63" s="1"/>
  <c r="F44" i="63"/>
  <c r="H44" i="63" s="1"/>
  <c r="F43" i="63"/>
  <c r="G43" i="63" s="1"/>
  <c r="F42" i="63"/>
  <c r="G42" i="63" s="1"/>
  <c r="F41" i="63"/>
  <c r="H41" i="63" s="1"/>
  <c r="D59" i="63" l="1"/>
  <c r="H69" i="63"/>
  <c r="J69" i="63" s="1"/>
  <c r="P66" i="63"/>
  <c r="D58" i="63"/>
  <c r="L55" i="63"/>
  <c r="N55" i="63" s="1"/>
  <c r="P67" i="63"/>
  <c r="D57" i="63"/>
  <c r="L63" i="63"/>
  <c r="N63" i="63" s="1"/>
  <c r="P69" i="63"/>
  <c r="D56" i="63"/>
  <c r="P51" i="63"/>
  <c r="R51" i="63" s="1"/>
  <c r="T51" i="63"/>
  <c r="V51" i="63" s="1"/>
  <c r="D55" i="63"/>
  <c r="P52" i="63"/>
  <c r="R52" i="63" s="1"/>
  <c r="T52" i="63"/>
  <c r="V52" i="63" s="1"/>
  <c r="D53" i="63"/>
  <c r="F53" i="63" s="1"/>
  <c r="P53" i="63"/>
  <c r="T53" i="63"/>
  <c r="V53" i="63" s="1"/>
  <c r="D69" i="63"/>
  <c r="P55" i="63"/>
  <c r="T54" i="63"/>
  <c r="V54" i="63" s="1"/>
  <c r="D70" i="63"/>
  <c r="P56" i="63"/>
  <c r="T55" i="63"/>
  <c r="V55" i="63" s="1"/>
  <c r="H51" i="63"/>
  <c r="J51" i="63" s="1"/>
  <c r="P57" i="63"/>
  <c r="T57" i="63"/>
  <c r="V57" i="63" s="1"/>
  <c r="H54" i="63"/>
  <c r="J54" i="63" s="1"/>
  <c r="P58" i="63"/>
  <c r="R58" i="63" s="1"/>
  <c r="T59" i="63"/>
  <c r="V59" i="63" s="1"/>
  <c r="D51" i="63"/>
  <c r="H55" i="63"/>
  <c r="J55" i="63" s="1"/>
  <c r="P59" i="63"/>
  <c r="T60" i="63"/>
  <c r="V60" i="63" s="1"/>
  <c r="D65" i="63"/>
  <c r="H62" i="63"/>
  <c r="J62" i="63" s="1"/>
  <c r="P63" i="63"/>
  <c r="D64" i="63"/>
  <c r="H65" i="63"/>
  <c r="J65" i="63" s="1"/>
  <c r="P64" i="63"/>
  <c r="D63" i="63"/>
  <c r="H68" i="63"/>
  <c r="J68" i="63" s="1"/>
  <c r="P65" i="63"/>
  <c r="T65" i="63"/>
  <c r="V65" i="63" s="1"/>
  <c r="L65" i="63"/>
  <c r="N65" i="63" s="1"/>
  <c r="D62" i="63"/>
  <c r="H56" i="63"/>
  <c r="J56" i="63" s="1"/>
  <c r="D61" i="63"/>
  <c r="H70" i="63"/>
  <c r="J70" i="63" s="1"/>
  <c r="L58" i="63"/>
  <c r="N58" i="63" s="1"/>
  <c r="L66" i="63"/>
  <c r="N66" i="63" s="1"/>
  <c r="P54" i="63"/>
  <c r="P62" i="63"/>
  <c r="P70" i="63"/>
  <c r="T58" i="63"/>
  <c r="V58" i="63" s="1"/>
  <c r="T66" i="63"/>
  <c r="V66" i="63" s="1"/>
  <c r="L57" i="63"/>
  <c r="N57" i="63" s="1"/>
  <c r="H63" i="63"/>
  <c r="J63" i="63" s="1"/>
  <c r="D60" i="63"/>
  <c r="H57" i="63"/>
  <c r="J57" i="63" s="1"/>
  <c r="H64" i="63"/>
  <c r="J64" i="63" s="1"/>
  <c r="T67" i="63"/>
  <c r="V67" i="63" s="1"/>
  <c r="L51" i="63"/>
  <c r="N51" i="63" s="1"/>
  <c r="L59" i="63"/>
  <c r="N59" i="63" s="1"/>
  <c r="L67" i="63"/>
  <c r="N67" i="63" s="1"/>
  <c r="H58" i="63"/>
  <c r="J58" i="63" s="1"/>
  <c r="T68" i="63"/>
  <c r="V68" i="63" s="1"/>
  <c r="L68" i="63"/>
  <c r="N68" i="63" s="1"/>
  <c r="L53" i="63"/>
  <c r="N53" i="63" s="1"/>
  <c r="L69" i="63"/>
  <c r="N69" i="63" s="1"/>
  <c r="T61" i="63"/>
  <c r="V61" i="63" s="1"/>
  <c r="T69" i="63"/>
  <c r="V69" i="63" s="1"/>
  <c r="L60" i="63"/>
  <c r="N60" i="63" s="1"/>
  <c r="J59" i="63"/>
  <c r="L61" i="63"/>
  <c r="N61" i="63" s="1"/>
  <c r="D54" i="63"/>
  <c r="H52" i="63"/>
  <c r="J52" i="63" s="1"/>
  <c r="H60" i="63"/>
  <c r="J60" i="63" s="1"/>
  <c r="H66" i="63"/>
  <c r="J66" i="63" s="1"/>
  <c r="T70" i="63"/>
  <c r="V70" i="63" s="1"/>
  <c r="L52" i="63"/>
  <c r="N52" i="63" s="1"/>
  <c r="L54" i="63"/>
  <c r="N54" i="63" s="1"/>
  <c r="L62" i="63"/>
  <c r="N62" i="63" s="1"/>
  <c r="L70" i="63"/>
  <c r="N70" i="63" s="1"/>
  <c r="V62" i="63"/>
  <c r="D68" i="63"/>
  <c r="H53" i="63"/>
  <c r="J53" i="63" s="1"/>
  <c r="T63" i="63"/>
  <c r="V63" i="63" s="1"/>
  <c r="L56" i="63"/>
  <c r="N56" i="63" s="1"/>
  <c r="T56" i="63"/>
  <c r="V56" i="63" s="1"/>
  <c r="F192" i="34"/>
  <c r="F200" i="34"/>
  <c r="F202" i="34"/>
  <c r="F194" i="34"/>
  <c r="F193" i="34"/>
  <c r="F201" i="34"/>
  <c r="F195" i="34"/>
  <c r="F190" i="34"/>
  <c r="F191" i="34"/>
  <c r="F199" i="34"/>
  <c r="F198" i="34"/>
  <c r="F189" i="34"/>
  <c r="F197" i="34"/>
  <c r="F203" i="34"/>
  <c r="F196" i="34"/>
  <c r="F187" i="34"/>
  <c r="F186" i="34"/>
  <c r="F188" i="34"/>
  <c r="F204" i="34"/>
  <c r="E190" i="34"/>
  <c r="E191" i="34"/>
  <c r="E193" i="34"/>
  <c r="E192" i="34"/>
  <c r="E198" i="34"/>
  <c r="E194" i="34"/>
  <c r="E189" i="34"/>
  <c r="E204" i="34"/>
  <c r="E188" i="34"/>
  <c r="E195" i="34"/>
  <c r="E196" i="34"/>
  <c r="E197" i="34"/>
  <c r="E187" i="34"/>
  <c r="E199" i="34"/>
  <c r="E200" i="34"/>
  <c r="E201" i="34"/>
  <c r="E203" i="34"/>
  <c r="E202" i="34"/>
  <c r="E186" i="34"/>
  <c r="K45" i="63"/>
  <c r="K43" i="63"/>
  <c r="K42" i="63"/>
  <c r="G44" i="63"/>
  <c r="K44" i="63" s="1"/>
  <c r="G41" i="63"/>
  <c r="F52" i="63" s="1"/>
  <c r="H45" i="63"/>
  <c r="H43" i="63"/>
  <c r="H42" i="63"/>
  <c r="R65" i="63" l="1"/>
  <c r="R69" i="63"/>
  <c r="R68" i="63"/>
  <c r="R56" i="63"/>
  <c r="R57" i="63"/>
  <c r="R70" i="63"/>
  <c r="R60" i="63"/>
  <c r="R62" i="63"/>
  <c r="R66" i="63"/>
  <c r="R54" i="63"/>
  <c r="R64" i="63"/>
  <c r="R63" i="63"/>
  <c r="R55" i="63"/>
  <c r="F69" i="63"/>
  <c r="F64" i="63"/>
  <c r="F67" i="63"/>
  <c r="R53" i="63"/>
  <c r="R61" i="63"/>
  <c r="F54" i="63"/>
  <c r="R67" i="63"/>
  <c r="F68" i="63"/>
  <c r="R59" i="63"/>
  <c r="K64" i="63"/>
  <c r="M64" i="63" s="1"/>
  <c r="K56" i="63"/>
  <c r="M56" i="63" s="1"/>
  <c r="K63" i="63"/>
  <c r="M63" i="63" s="1"/>
  <c r="K55" i="63"/>
  <c r="M55" i="63" s="1"/>
  <c r="K70" i="63"/>
  <c r="M70" i="63" s="1"/>
  <c r="K62" i="63"/>
  <c r="M62" i="63" s="1"/>
  <c r="K54" i="63"/>
  <c r="M54" i="63" s="1"/>
  <c r="K69" i="63"/>
  <c r="M69" i="63" s="1"/>
  <c r="K61" i="63"/>
  <c r="M61" i="63" s="1"/>
  <c r="K53" i="63"/>
  <c r="M53" i="63" s="1"/>
  <c r="K68" i="63"/>
  <c r="M68" i="63" s="1"/>
  <c r="K60" i="63"/>
  <c r="M60" i="63" s="1"/>
  <c r="K52" i="63"/>
  <c r="M52" i="63" s="1"/>
  <c r="K67" i="63"/>
  <c r="M67" i="63" s="1"/>
  <c r="K59" i="63"/>
  <c r="M59" i="63" s="1"/>
  <c r="K51" i="63"/>
  <c r="M51" i="63" s="1"/>
  <c r="K58" i="63"/>
  <c r="M58" i="63" s="1"/>
  <c r="K57" i="63"/>
  <c r="M57" i="63" s="1"/>
  <c r="K66" i="63"/>
  <c r="M66" i="63" s="1"/>
  <c r="K65" i="63"/>
  <c r="M65" i="63" s="1"/>
  <c r="G62" i="63"/>
  <c r="I62" i="63" s="1"/>
  <c r="G55" i="63"/>
  <c r="I55" i="63" s="1"/>
  <c r="G61" i="63"/>
  <c r="I61" i="63" s="1"/>
  <c r="G67" i="63"/>
  <c r="I67" i="63" s="1"/>
  <c r="G53" i="63"/>
  <c r="I53" i="63" s="1"/>
  <c r="G66" i="63"/>
  <c r="I66" i="63" s="1"/>
  <c r="G52" i="63"/>
  <c r="I52" i="63" s="1"/>
  <c r="G59" i="63"/>
  <c r="I59" i="63" s="1"/>
  <c r="G60" i="63"/>
  <c r="I60" i="63" s="1"/>
  <c r="G51" i="63"/>
  <c r="I51" i="63" s="1"/>
  <c r="G65" i="63"/>
  <c r="I65" i="63" s="1"/>
  <c r="G58" i="63"/>
  <c r="I58" i="63" s="1"/>
  <c r="G68" i="63"/>
  <c r="I68" i="63" s="1"/>
  <c r="G63" i="63"/>
  <c r="I63" i="63" s="1"/>
  <c r="G54" i="63"/>
  <c r="I54" i="63" s="1"/>
  <c r="G64" i="63"/>
  <c r="I64" i="63" s="1"/>
  <c r="G57" i="63"/>
  <c r="I57" i="63" s="1"/>
  <c r="G70" i="63"/>
  <c r="I70" i="63" s="1"/>
  <c r="G56" i="63"/>
  <c r="I56" i="63" s="1"/>
  <c r="G69" i="63"/>
  <c r="I69" i="63" s="1"/>
  <c r="S56" i="63"/>
  <c r="U56" i="63" s="1"/>
  <c r="S64" i="63"/>
  <c r="U64" i="63" s="1"/>
  <c r="S63" i="63"/>
  <c r="U63" i="63" s="1"/>
  <c r="S55" i="63"/>
  <c r="U55" i="63" s="1"/>
  <c r="S70" i="63"/>
  <c r="U70" i="63" s="1"/>
  <c r="S62" i="63"/>
  <c r="U62" i="63" s="1"/>
  <c r="S54" i="63"/>
  <c r="U54" i="63" s="1"/>
  <c r="S61" i="63"/>
  <c r="U61" i="63" s="1"/>
  <c r="S53" i="63"/>
  <c r="U53" i="63" s="1"/>
  <c r="S69" i="63"/>
  <c r="U69" i="63" s="1"/>
  <c r="S68" i="63"/>
  <c r="U68" i="63" s="1"/>
  <c r="S60" i="63"/>
  <c r="U60" i="63" s="1"/>
  <c r="S52" i="63"/>
  <c r="U52" i="63" s="1"/>
  <c r="S67" i="63"/>
  <c r="U67" i="63" s="1"/>
  <c r="S59" i="63"/>
  <c r="U59" i="63" s="1"/>
  <c r="S51" i="63"/>
  <c r="U51" i="63" s="1"/>
  <c r="S58" i="63"/>
  <c r="U58" i="63" s="1"/>
  <c r="S57" i="63"/>
  <c r="U57" i="63" s="1"/>
  <c r="S66" i="63"/>
  <c r="U66" i="63" s="1"/>
  <c r="S65" i="63"/>
  <c r="U65" i="63" s="1"/>
  <c r="F59" i="63"/>
  <c r="K41" i="63"/>
  <c r="K46" i="63" s="1"/>
  <c r="F55" i="63"/>
  <c r="F63" i="63"/>
  <c r="F65" i="63"/>
  <c r="F70" i="63"/>
  <c r="F58" i="63"/>
  <c r="F66" i="63"/>
  <c r="F51" i="63"/>
  <c r="F61" i="63"/>
  <c r="F60" i="63"/>
  <c r="F57" i="63"/>
  <c r="L44" i="63"/>
  <c r="O68" i="63"/>
  <c r="Q68" i="63" s="1"/>
  <c r="O60" i="63"/>
  <c r="Q60" i="63" s="1"/>
  <c r="O52" i="63"/>
  <c r="Q52" i="63" s="1"/>
  <c r="O67" i="63"/>
  <c r="Q67" i="63" s="1"/>
  <c r="O59" i="63"/>
  <c r="Q59" i="63" s="1"/>
  <c r="O51" i="63"/>
  <c r="Q51" i="63" s="1"/>
  <c r="O66" i="63"/>
  <c r="Q66" i="63" s="1"/>
  <c r="O58" i="63"/>
  <c r="Q58" i="63" s="1"/>
  <c r="O65" i="63"/>
  <c r="Q65" i="63" s="1"/>
  <c r="O57" i="63"/>
  <c r="Q57" i="63" s="1"/>
  <c r="O64" i="63"/>
  <c r="Q64" i="63" s="1"/>
  <c r="O56" i="63"/>
  <c r="Q56" i="63" s="1"/>
  <c r="O63" i="63"/>
  <c r="Q63" i="63" s="1"/>
  <c r="O55" i="63"/>
  <c r="Q55" i="63" s="1"/>
  <c r="O54" i="63"/>
  <c r="Q54" i="63" s="1"/>
  <c r="O53" i="63"/>
  <c r="Q53" i="63" s="1"/>
  <c r="O70" i="63"/>
  <c r="Q70" i="63" s="1"/>
  <c r="O62" i="63"/>
  <c r="Q62" i="63" s="1"/>
  <c r="O69" i="63"/>
  <c r="Q69" i="63" s="1"/>
  <c r="O61" i="63"/>
  <c r="Q61" i="63" s="1"/>
  <c r="L41" i="63"/>
  <c r="C61" i="63"/>
  <c r="E61" i="63" s="1"/>
  <c r="C62" i="63"/>
  <c r="E62" i="63" s="1"/>
  <c r="C64" i="63"/>
  <c r="E64" i="63" s="1"/>
  <c r="C65" i="63"/>
  <c r="E65" i="63" s="1"/>
  <c r="C55" i="63"/>
  <c r="E55" i="63" s="1"/>
  <c r="C70" i="63"/>
  <c r="E70" i="63" s="1"/>
  <c r="C66" i="63"/>
  <c r="E66" i="63" s="1"/>
  <c r="C68" i="63"/>
  <c r="E68" i="63" s="1"/>
  <c r="C51" i="63"/>
  <c r="E51" i="63" s="1"/>
  <c r="C69" i="63"/>
  <c r="E69" i="63" s="1"/>
  <c r="C67" i="63"/>
  <c r="E67" i="63" s="1"/>
  <c r="C52" i="63"/>
  <c r="E52" i="63" s="1"/>
  <c r="C53" i="63"/>
  <c r="E53" i="63" s="1"/>
  <c r="C63" i="63"/>
  <c r="E63" i="63" s="1"/>
  <c r="C54" i="63"/>
  <c r="E54" i="63" s="1"/>
  <c r="C56" i="63"/>
  <c r="E56" i="63" s="1"/>
  <c r="C58" i="63"/>
  <c r="E58" i="63" s="1"/>
  <c r="C60" i="63"/>
  <c r="E60" i="63" s="1"/>
  <c r="C57" i="63"/>
  <c r="E57" i="63" s="1"/>
  <c r="C59" i="63"/>
  <c r="E59" i="63" s="1"/>
  <c r="F62" i="63"/>
  <c r="F56" i="63"/>
  <c r="L42" i="63"/>
  <c r="L43" i="63"/>
  <c r="L45" i="63"/>
  <c r="D80" i="46"/>
  <c r="D81" i="46"/>
  <c r="D82" i="46"/>
  <c r="D83" i="46"/>
  <c r="D84" i="46"/>
  <c r="D85" i="46"/>
  <c r="D86" i="46"/>
  <c r="D87" i="46"/>
  <c r="D88" i="46"/>
  <c r="D89" i="46"/>
  <c r="D90" i="46"/>
  <c r="D75" i="46"/>
  <c r="B65" i="46"/>
  <c r="B61" i="46"/>
  <c r="B67" i="46" s="1"/>
  <c r="D76" i="46" s="1"/>
  <c r="B51" i="46"/>
  <c r="B33" i="46"/>
  <c r="B43" i="46" s="1"/>
  <c r="B47" i="46" s="1"/>
  <c r="B53" i="46" s="1"/>
  <c r="E76" i="46" s="1"/>
  <c r="L46" i="63" l="1"/>
  <c r="E88" i="46"/>
  <c r="E87" i="46"/>
  <c r="E86" i="46"/>
  <c r="E85" i="46"/>
  <c r="E90" i="46"/>
  <c r="E84" i="46"/>
  <c r="E83" i="46"/>
  <c r="E82" i="46"/>
  <c r="E81" i="46"/>
  <c r="E75" i="46"/>
  <c r="E80" i="46"/>
  <c r="D79" i="46"/>
  <c r="E79" i="46"/>
  <c r="D78" i="46"/>
  <c r="E78" i="46"/>
  <c r="D77" i="46"/>
  <c r="E77" i="46"/>
  <c r="E89" i="46"/>
  <c r="R970" i="62" l="1"/>
  <c r="R969" i="62"/>
  <c r="R968" i="62"/>
  <c r="R967" i="62"/>
  <c r="R966" i="62"/>
  <c r="R965" i="62"/>
  <c r="R964" i="62"/>
  <c r="R963" i="62"/>
  <c r="R962" i="62"/>
  <c r="R961" i="62"/>
  <c r="R960" i="62"/>
  <c r="R959" i="62"/>
  <c r="R958" i="62"/>
  <c r="R957" i="62"/>
  <c r="R956" i="62"/>
  <c r="R955" i="62"/>
  <c r="R954" i="62"/>
  <c r="R953" i="62"/>
  <c r="R952" i="62"/>
  <c r="R951" i="62"/>
  <c r="R950" i="62"/>
  <c r="R949" i="62"/>
  <c r="R948" i="62"/>
  <c r="R947" i="62"/>
  <c r="R946" i="62"/>
  <c r="R945" i="62"/>
  <c r="R944" i="62"/>
  <c r="R943" i="62"/>
  <c r="R942" i="62"/>
  <c r="R941" i="62"/>
  <c r="R940" i="62"/>
  <c r="R939" i="62"/>
  <c r="R938" i="62"/>
  <c r="R937" i="62"/>
  <c r="R936" i="62"/>
  <c r="R935" i="62"/>
  <c r="R934" i="62"/>
  <c r="R933" i="62"/>
  <c r="R932" i="62"/>
  <c r="R931" i="62"/>
  <c r="R930" i="62"/>
  <c r="R929" i="62"/>
  <c r="R928" i="62"/>
  <c r="R927" i="62"/>
  <c r="R926" i="62"/>
  <c r="R925" i="62"/>
  <c r="R924" i="62"/>
  <c r="R923" i="62"/>
  <c r="R922" i="62"/>
  <c r="R921" i="62"/>
  <c r="R920" i="62"/>
  <c r="R919" i="62"/>
  <c r="R918" i="62"/>
  <c r="R917" i="62"/>
  <c r="R916" i="62"/>
  <c r="R915" i="62"/>
  <c r="R914" i="62"/>
  <c r="R913" i="62"/>
  <c r="R912" i="62"/>
  <c r="R911" i="62"/>
  <c r="R910" i="62"/>
  <c r="R909" i="62"/>
  <c r="R908" i="62"/>
  <c r="R907" i="62"/>
  <c r="R906" i="62"/>
  <c r="R905" i="62"/>
  <c r="R904" i="62"/>
  <c r="R903" i="62"/>
  <c r="R902" i="62"/>
  <c r="R901" i="62"/>
  <c r="R900" i="62"/>
  <c r="R899" i="62"/>
  <c r="R898" i="62"/>
  <c r="R897" i="62"/>
  <c r="R896" i="62"/>
  <c r="R895" i="62"/>
  <c r="R894" i="62"/>
  <c r="R893" i="62"/>
  <c r="R892" i="62"/>
  <c r="R891" i="62"/>
  <c r="R890" i="62"/>
  <c r="R889" i="62"/>
  <c r="R888" i="62"/>
  <c r="R887" i="62"/>
  <c r="R886" i="62"/>
  <c r="R885" i="62"/>
  <c r="R884" i="62"/>
  <c r="R883" i="62"/>
  <c r="R882" i="62"/>
  <c r="R881" i="62"/>
  <c r="R880" i="62"/>
  <c r="R879" i="62"/>
  <c r="R878" i="62"/>
  <c r="R877" i="62"/>
  <c r="R876" i="62"/>
  <c r="R875" i="62"/>
  <c r="R874" i="62"/>
  <c r="R873" i="62"/>
  <c r="R872" i="62"/>
  <c r="R871" i="62"/>
  <c r="R870" i="62"/>
  <c r="R869" i="62"/>
  <c r="R868" i="62"/>
  <c r="R867" i="62"/>
  <c r="R866" i="62"/>
  <c r="R865" i="62"/>
  <c r="R864" i="62"/>
  <c r="R863" i="62"/>
  <c r="R862" i="62"/>
  <c r="R861" i="62"/>
  <c r="R860" i="62"/>
  <c r="R859" i="62"/>
  <c r="R858" i="62"/>
  <c r="R857" i="62"/>
  <c r="R856" i="62"/>
  <c r="R855" i="62"/>
  <c r="R854" i="62"/>
  <c r="R853" i="62"/>
  <c r="R852" i="62"/>
  <c r="R851" i="62"/>
  <c r="R850" i="62"/>
  <c r="R849" i="62"/>
  <c r="R848" i="62"/>
  <c r="R847" i="62"/>
  <c r="R846" i="62"/>
  <c r="R845" i="62"/>
  <c r="R844" i="62"/>
  <c r="R843" i="62"/>
  <c r="R842" i="62"/>
  <c r="R841" i="62"/>
  <c r="R840" i="62"/>
  <c r="R839" i="62"/>
  <c r="R838" i="62"/>
  <c r="R837" i="62"/>
  <c r="R836" i="62"/>
  <c r="R835" i="62"/>
  <c r="R834" i="62"/>
  <c r="R833" i="62"/>
  <c r="R832" i="62"/>
  <c r="R831" i="62"/>
  <c r="R830" i="62"/>
  <c r="R829" i="62"/>
  <c r="R828" i="62"/>
  <c r="R827" i="62"/>
  <c r="R826" i="62"/>
  <c r="R825" i="62"/>
  <c r="R824" i="62"/>
  <c r="R823" i="62"/>
  <c r="R822" i="62"/>
  <c r="R821" i="62"/>
  <c r="R820" i="62"/>
  <c r="R819" i="62"/>
  <c r="R818" i="62"/>
  <c r="R817" i="62"/>
  <c r="R816" i="62"/>
  <c r="R815" i="62"/>
  <c r="R814" i="62"/>
  <c r="R813" i="62"/>
  <c r="R812" i="62"/>
  <c r="R811" i="62"/>
  <c r="R810" i="62"/>
  <c r="R809" i="62"/>
  <c r="R808" i="62"/>
  <c r="R807" i="62"/>
  <c r="R806" i="62"/>
  <c r="R805" i="62"/>
  <c r="R804" i="62"/>
  <c r="R803" i="62"/>
  <c r="R802" i="62"/>
  <c r="R801" i="62"/>
  <c r="R800" i="62"/>
  <c r="R799" i="62"/>
  <c r="R798" i="62"/>
  <c r="R797" i="62"/>
  <c r="R796" i="62"/>
  <c r="R795" i="62"/>
  <c r="R794" i="62"/>
  <c r="R793" i="62"/>
  <c r="R792" i="62"/>
  <c r="R791" i="62"/>
  <c r="R790" i="62"/>
  <c r="R789" i="62"/>
  <c r="R788" i="62"/>
  <c r="R787" i="62"/>
  <c r="R786" i="62"/>
  <c r="R785" i="62"/>
  <c r="R784" i="62"/>
  <c r="R783" i="62"/>
  <c r="R782" i="62"/>
  <c r="R781" i="62"/>
  <c r="R780" i="62"/>
  <c r="R779" i="62"/>
  <c r="R778" i="62"/>
  <c r="R777" i="62"/>
  <c r="R776" i="62"/>
  <c r="R775" i="62"/>
  <c r="R774" i="62"/>
  <c r="R773" i="62"/>
  <c r="R772" i="62"/>
  <c r="R771" i="62"/>
  <c r="R770" i="62"/>
  <c r="R769" i="62"/>
  <c r="R768" i="62"/>
  <c r="R767" i="62"/>
  <c r="R766" i="62"/>
  <c r="R765" i="62"/>
  <c r="R764" i="62"/>
  <c r="R763" i="62"/>
  <c r="R762" i="62"/>
  <c r="R761" i="62"/>
  <c r="R760" i="62"/>
  <c r="R759" i="62"/>
  <c r="R758" i="62"/>
  <c r="R757" i="62"/>
  <c r="R756" i="62"/>
  <c r="R755" i="62"/>
  <c r="R754" i="62"/>
  <c r="R753" i="62"/>
  <c r="R752" i="62"/>
  <c r="R751" i="62"/>
  <c r="R750" i="62"/>
  <c r="R749" i="62"/>
  <c r="R748" i="62"/>
  <c r="R747" i="62"/>
  <c r="R746" i="62"/>
  <c r="R745" i="62"/>
  <c r="R744" i="62"/>
  <c r="R743" i="62"/>
  <c r="R742" i="62"/>
  <c r="R741" i="62"/>
  <c r="R740" i="62"/>
  <c r="R739" i="62"/>
  <c r="R738" i="62"/>
  <c r="R737" i="62"/>
  <c r="R736" i="62"/>
  <c r="R735" i="62"/>
  <c r="R734" i="62"/>
  <c r="R733" i="62"/>
  <c r="R732" i="62"/>
  <c r="R731" i="62"/>
  <c r="R730" i="62"/>
  <c r="R729" i="62"/>
  <c r="R728" i="62"/>
  <c r="R727" i="62"/>
  <c r="R726" i="62"/>
  <c r="R725" i="62"/>
  <c r="R724" i="62"/>
  <c r="R723" i="62"/>
  <c r="R722" i="62"/>
  <c r="R721" i="62"/>
  <c r="R720" i="62"/>
  <c r="R719" i="62"/>
  <c r="R718" i="62"/>
  <c r="R717" i="62"/>
  <c r="R716" i="62"/>
  <c r="R715" i="62"/>
  <c r="R714" i="62"/>
  <c r="R713" i="62"/>
  <c r="R712" i="62"/>
  <c r="R711" i="62"/>
  <c r="R710" i="62"/>
  <c r="R709" i="62"/>
  <c r="R708" i="62"/>
  <c r="R707" i="62"/>
  <c r="R706" i="62"/>
  <c r="R705" i="62"/>
  <c r="R704" i="62"/>
  <c r="R703" i="62"/>
  <c r="R702" i="62"/>
  <c r="R701" i="62"/>
  <c r="R700" i="62"/>
  <c r="R699" i="62"/>
  <c r="R698" i="62"/>
  <c r="R697" i="62"/>
  <c r="R696" i="62"/>
  <c r="R695" i="62"/>
  <c r="R694" i="62"/>
  <c r="R693" i="62"/>
  <c r="R692" i="62"/>
  <c r="R691" i="62"/>
  <c r="R690" i="62"/>
  <c r="R689" i="62"/>
  <c r="R688" i="62"/>
  <c r="R687" i="62"/>
  <c r="R686" i="62"/>
  <c r="R685" i="62"/>
  <c r="R684" i="62"/>
  <c r="R683" i="62"/>
  <c r="R682" i="62"/>
  <c r="R681" i="62"/>
  <c r="R680" i="62"/>
  <c r="R679" i="62"/>
  <c r="R678" i="62"/>
  <c r="R677" i="62"/>
  <c r="R676" i="62"/>
  <c r="R675" i="62"/>
  <c r="R674" i="62"/>
  <c r="R673" i="62"/>
  <c r="R672" i="62"/>
  <c r="R671" i="62"/>
  <c r="R670" i="62"/>
  <c r="R669" i="62"/>
  <c r="R668" i="62"/>
  <c r="R667" i="62"/>
  <c r="R666" i="62"/>
  <c r="R665" i="62"/>
  <c r="R664" i="62"/>
  <c r="R663" i="62"/>
  <c r="R662" i="62"/>
  <c r="R661" i="62"/>
  <c r="R660" i="62"/>
  <c r="R659" i="62"/>
  <c r="R658" i="62"/>
  <c r="R657" i="62"/>
  <c r="R656" i="62"/>
  <c r="R655" i="62"/>
  <c r="R654" i="62"/>
  <c r="R653" i="62"/>
  <c r="R652" i="62"/>
  <c r="R651" i="62"/>
  <c r="R650" i="62"/>
  <c r="R649" i="62"/>
  <c r="R648" i="62"/>
  <c r="R647" i="62"/>
  <c r="R646" i="62"/>
  <c r="R645" i="62"/>
  <c r="R644" i="62"/>
  <c r="R643" i="62"/>
  <c r="R642" i="62"/>
  <c r="R641" i="62"/>
  <c r="R640" i="62"/>
  <c r="R639" i="62"/>
  <c r="R638" i="62"/>
  <c r="R637" i="62"/>
  <c r="R636" i="62"/>
  <c r="R635" i="62"/>
  <c r="R634" i="62"/>
  <c r="R633" i="62"/>
  <c r="R632" i="62"/>
  <c r="R631" i="62"/>
  <c r="R630" i="62"/>
  <c r="R629" i="62"/>
  <c r="R628" i="62"/>
  <c r="R627" i="62"/>
  <c r="R626" i="62"/>
  <c r="R625" i="62"/>
  <c r="R624" i="62"/>
  <c r="R623" i="62"/>
  <c r="R622" i="62"/>
  <c r="R621" i="62"/>
  <c r="R620" i="62"/>
  <c r="R619" i="62"/>
  <c r="R618" i="62"/>
  <c r="R617" i="62"/>
  <c r="R616" i="62"/>
  <c r="R615" i="62"/>
  <c r="R614" i="62"/>
  <c r="R613" i="62"/>
  <c r="R612" i="62"/>
  <c r="R611" i="62"/>
  <c r="R610" i="62"/>
  <c r="R609" i="62"/>
  <c r="R608" i="62"/>
  <c r="R607" i="62"/>
  <c r="R606" i="62"/>
  <c r="R605" i="62"/>
  <c r="R604" i="62"/>
  <c r="R603" i="62"/>
  <c r="R602" i="62"/>
  <c r="R601" i="62"/>
  <c r="R600" i="62"/>
  <c r="R599" i="62"/>
  <c r="R598" i="62"/>
  <c r="R597" i="62"/>
  <c r="R596" i="62"/>
  <c r="R595" i="62"/>
  <c r="R594" i="62"/>
  <c r="R593" i="62"/>
  <c r="R592" i="62"/>
  <c r="R591" i="62"/>
  <c r="R590" i="62"/>
  <c r="R589" i="62"/>
  <c r="R588" i="62"/>
  <c r="R587" i="62"/>
  <c r="R586" i="62"/>
  <c r="R585" i="62"/>
  <c r="R584" i="62"/>
  <c r="R583" i="62"/>
  <c r="R582" i="62"/>
  <c r="R581" i="62"/>
  <c r="R580" i="62"/>
  <c r="R579" i="62"/>
  <c r="R578" i="62"/>
  <c r="R577" i="62"/>
  <c r="R576" i="62"/>
  <c r="R575" i="62"/>
  <c r="R574" i="62"/>
  <c r="R573" i="62"/>
  <c r="R572" i="62"/>
  <c r="R571" i="62"/>
  <c r="R570" i="62"/>
  <c r="R569" i="62"/>
  <c r="R568" i="62"/>
  <c r="R567" i="62"/>
  <c r="R566" i="62"/>
  <c r="R565" i="62"/>
  <c r="R564" i="62"/>
  <c r="R563" i="62"/>
  <c r="R562" i="62"/>
  <c r="R561" i="62"/>
  <c r="R560" i="62"/>
  <c r="R559" i="62"/>
  <c r="R558" i="62"/>
  <c r="R557" i="62"/>
  <c r="R556" i="62"/>
  <c r="R555" i="62"/>
  <c r="R554" i="62"/>
  <c r="R553" i="62"/>
  <c r="R552" i="62"/>
  <c r="R551" i="62"/>
  <c r="R550" i="62"/>
  <c r="R549" i="62"/>
  <c r="R548" i="62"/>
  <c r="R547" i="62"/>
  <c r="R546" i="62"/>
  <c r="R545" i="62"/>
  <c r="R544" i="62"/>
  <c r="R543" i="62"/>
  <c r="R542" i="62"/>
  <c r="R541" i="62"/>
  <c r="R540" i="62"/>
  <c r="R539" i="62"/>
  <c r="R538" i="62"/>
  <c r="R537" i="62"/>
  <c r="R536" i="62"/>
  <c r="R535" i="62"/>
  <c r="R534" i="62"/>
  <c r="R533" i="62"/>
  <c r="R532" i="62"/>
  <c r="R531" i="62"/>
  <c r="R530" i="62"/>
  <c r="R529" i="62"/>
  <c r="R528" i="62"/>
  <c r="R527" i="62"/>
  <c r="R526" i="62"/>
  <c r="R525" i="62"/>
  <c r="R524" i="62"/>
  <c r="R523" i="62"/>
  <c r="R522" i="62"/>
  <c r="R521" i="62"/>
  <c r="R520" i="62"/>
  <c r="R519" i="62"/>
  <c r="R518" i="62"/>
  <c r="R517" i="62"/>
  <c r="R516" i="62"/>
  <c r="R515" i="62"/>
  <c r="R514" i="62"/>
  <c r="R513" i="62"/>
  <c r="R512" i="62"/>
  <c r="R511" i="62"/>
  <c r="R510" i="62"/>
  <c r="R509" i="62"/>
  <c r="R508" i="62"/>
  <c r="R507" i="62"/>
  <c r="R506" i="62"/>
  <c r="R505" i="62"/>
  <c r="R504" i="62"/>
  <c r="R503" i="62"/>
  <c r="R502" i="62"/>
  <c r="R501" i="62"/>
  <c r="R500" i="62"/>
  <c r="R499" i="62"/>
  <c r="R498" i="62"/>
  <c r="R497" i="62"/>
  <c r="R496" i="62"/>
  <c r="R495" i="62"/>
  <c r="R494" i="62"/>
  <c r="R493" i="62"/>
  <c r="R492" i="62"/>
  <c r="R491" i="62"/>
  <c r="R490" i="62"/>
  <c r="R489" i="62"/>
  <c r="R488" i="62"/>
  <c r="R487" i="62"/>
  <c r="R486" i="62"/>
  <c r="R485" i="62"/>
  <c r="R484" i="62"/>
  <c r="R483" i="62"/>
  <c r="R482" i="62"/>
  <c r="R481" i="62"/>
  <c r="R480" i="62"/>
  <c r="R479" i="62"/>
  <c r="R478" i="62"/>
  <c r="R477" i="62"/>
  <c r="R476" i="62"/>
  <c r="R475" i="62"/>
  <c r="R474" i="62"/>
  <c r="R473" i="62"/>
  <c r="R472" i="62"/>
  <c r="R471" i="62"/>
  <c r="R470" i="62"/>
  <c r="R469" i="62"/>
  <c r="R468" i="62"/>
  <c r="R467" i="62"/>
  <c r="R466" i="62"/>
  <c r="R465" i="62"/>
  <c r="R464" i="62"/>
  <c r="R463" i="62"/>
  <c r="R462" i="62"/>
  <c r="R461" i="62"/>
  <c r="R460" i="62"/>
  <c r="R459" i="62"/>
  <c r="R458" i="62"/>
  <c r="R457" i="62"/>
  <c r="R456" i="62"/>
  <c r="R455" i="62"/>
  <c r="R454" i="62"/>
  <c r="R453" i="62"/>
  <c r="R452" i="62"/>
  <c r="R451" i="62"/>
  <c r="R450" i="62"/>
  <c r="R449" i="62"/>
  <c r="R448" i="62"/>
  <c r="R447" i="62"/>
  <c r="R446" i="62"/>
  <c r="R445" i="62"/>
  <c r="R444" i="62"/>
  <c r="R443" i="62"/>
  <c r="R442" i="62"/>
  <c r="R441" i="62"/>
  <c r="R440" i="62"/>
  <c r="R439" i="62"/>
  <c r="R438" i="62"/>
  <c r="R437" i="62"/>
  <c r="R436" i="62"/>
  <c r="R435" i="62"/>
  <c r="R434" i="62"/>
  <c r="R433" i="62"/>
  <c r="R432" i="62"/>
  <c r="R431" i="62"/>
  <c r="R430" i="62"/>
  <c r="R429" i="62"/>
  <c r="R428" i="62"/>
  <c r="R427" i="62"/>
  <c r="R426" i="62"/>
  <c r="R425" i="62"/>
  <c r="R424" i="62"/>
  <c r="R423" i="62"/>
  <c r="R422" i="62"/>
  <c r="R421" i="62"/>
  <c r="R420" i="62"/>
  <c r="R419" i="62"/>
  <c r="R418" i="62"/>
  <c r="R417" i="62"/>
  <c r="R416" i="62"/>
  <c r="R415" i="62"/>
  <c r="R414" i="62"/>
  <c r="R413" i="62"/>
  <c r="R412" i="62"/>
  <c r="R411" i="62"/>
  <c r="R410" i="62"/>
  <c r="R409" i="62"/>
  <c r="R408" i="62"/>
  <c r="R407" i="62"/>
  <c r="R406" i="62"/>
  <c r="R405" i="62"/>
  <c r="R404" i="62"/>
  <c r="R403" i="62"/>
  <c r="R402" i="62"/>
  <c r="R401" i="62"/>
  <c r="R400" i="62"/>
  <c r="R399" i="62"/>
  <c r="R398" i="62"/>
  <c r="R397" i="62"/>
  <c r="R396" i="62"/>
  <c r="R395" i="62"/>
  <c r="R394" i="62"/>
  <c r="R393" i="62"/>
  <c r="R392" i="62"/>
  <c r="R391" i="62"/>
  <c r="R390" i="62"/>
  <c r="R389" i="62"/>
  <c r="R388" i="62"/>
  <c r="R387" i="62"/>
  <c r="R386" i="62"/>
  <c r="R385" i="62"/>
  <c r="R384" i="62"/>
  <c r="R383" i="62"/>
  <c r="R382" i="62"/>
  <c r="R381" i="62"/>
  <c r="R380" i="62"/>
  <c r="R379" i="62"/>
  <c r="R378" i="62"/>
  <c r="R377" i="62"/>
  <c r="R376" i="62"/>
  <c r="R375" i="62"/>
  <c r="R374" i="62"/>
  <c r="R373" i="62"/>
  <c r="R372" i="62"/>
  <c r="R371" i="62"/>
  <c r="R370" i="62"/>
  <c r="R369" i="62"/>
  <c r="R368" i="62"/>
  <c r="R367" i="62"/>
  <c r="R366" i="62"/>
  <c r="R365" i="62"/>
  <c r="R364" i="62"/>
  <c r="R363" i="62"/>
  <c r="R362" i="62"/>
  <c r="R361" i="62"/>
  <c r="R360" i="62"/>
  <c r="R359" i="62"/>
  <c r="R358" i="62"/>
  <c r="R357" i="62"/>
  <c r="R356" i="62"/>
  <c r="R355" i="62"/>
  <c r="R354" i="62"/>
  <c r="R353" i="62"/>
  <c r="R352" i="62"/>
  <c r="R351" i="62"/>
  <c r="R350" i="62"/>
  <c r="R349" i="62"/>
  <c r="R348" i="62"/>
  <c r="R347" i="62"/>
  <c r="R346" i="62"/>
  <c r="R345" i="62"/>
  <c r="R344" i="62"/>
  <c r="R343" i="62"/>
  <c r="R342" i="62"/>
  <c r="R341" i="62"/>
  <c r="R340" i="62"/>
  <c r="R339" i="62"/>
  <c r="R338" i="62"/>
  <c r="R337" i="62"/>
  <c r="R336" i="62"/>
  <c r="R335" i="62"/>
  <c r="R334" i="62"/>
  <c r="R333" i="62"/>
  <c r="R332" i="62"/>
  <c r="R331" i="62"/>
  <c r="R330" i="62"/>
  <c r="R329" i="62"/>
  <c r="R328" i="62"/>
  <c r="R327" i="62"/>
  <c r="R326" i="62"/>
  <c r="R325" i="62"/>
  <c r="R324" i="62"/>
  <c r="R323" i="62"/>
  <c r="R322" i="62"/>
  <c r="R321" i="62"/>
  <c r="R320" i="62"/>
  <c r="R319" i="62"/>
  <c r="R318" i="62"/>
  <c r="R317" i="62"/>
  <c r="R316" i="62"/>
  <c r="R315" i="62"/>
  <c r="R314" i="62"/>
  <c r="R313" i="62"/>
  <c r="R312" i="62"/>
  <c r="R311" i="62"/>
  <c r="R310" i="62"/>
  <c r="R309" i="62"/>
  <c r="R308" i="62"/>
  <c r="R307" i="62"/>
  <c r="R306" i="62"/>
  <c r="R305" i="62"/>
  <c r="R304" i="62"/>
  <c r="R303" i="62"/>
  <c r="R302" i="62"/>
  <c r="R301" i="62"/>
  <c r="R300" i="62"/>
  <c r="R299" i="62"/>
  <c r="R298" i="62"/>
  <c r="R297" i="62"/>
  <c r="R296" i="62"/>
  <c r="R295" i="62"/>
  <c r="R294" i="62"/>
  <c r="R293" i="62"/>
  <c r="R292" i="62"/>
  <c r="R291" i="62"/>
  <c r="R290" i="62"/>
  <c r="R289" i="62"/>
  <c r="R288" i="62"/>
  <c r="R287" i="62"/>
  <c r="R286" i="62"/>
  <c r="R285" i="62"/>
  <c r="R284" i="62"/>
  <c r="R283" i="62"/>
  <c r="R282" i="62"/>
  <c r="R281" i="62"/>
  <c r="R280" i="62"/>
  <c r="R279" i="62"/>
  <c r="R278" i="62"/>
  <c r="R277" i="62"/>
  <c r="R276" i="62"/>
  <c r="R275" i="62"/>
  <c r="R274" i="62"/>
  <c r="R273" i="62"/>
  <c r="R272" i="62"/>
  <c r="R271" i="62"/>
  <c r="R270" i="62"/>
  <c r="R269" i="62"/>
  <c r="R268" i="62"/>
  <c r="R267" i="62"/>
  <c r="R266" i="62"/>
  <c r="R265" i="62"/>
  <c r="R264" i="62"/>
  <c r="R263" i="62"/>
  <c r="R262" i="62"/>
  <c r="R261" i="62"/>
  <c r="R260" i="62"/>
  <c r="R259" i="62"/>
  <c r="R258" i="62"/>
  <c r="R257" i="62"/>
  <c r="R256" i="62"/>
  <c r="R255" i="62"/>
  <c r="R254" i="62"/>
  <c r="R253" i="62"/>
  <c r="R252" i="62"/>
  <c r="R251" i="62"/>
  <c r="R250" i="62"/>
  <c r="R249" i="62"/>
  <c r="R248" i="62"/>
  <c r="R247" i="62"/>
  <c r="R246" i="62"/>
  <c r="R245" i="62"/>
  <c r="R244" i="62"/>
  <c r="R243" i="62"/>
  <c r="R242" i="62"/>
  <c r="R241" i="62"/>
  <c r="R240" i="62"/>
  <c r="R239" i="62"/>
  <c r="R238" i="62"/>
  <c r="R237" i="62"/>
  <c r="R236" i="62"/>
  <c r="R235" i="62"/>
  <c r="R234" i="62"/>
  <c r="R233" i="62"/>
  <c r="R232" i="62"/>
  <c r="R231" i="62"/>
  <c r="R230" i="62"/>
  <c r="R229" i="62"/>
  <c r="R228" i="62"/>
  <c r="R227" i="62"/>
  <c r="R226" i="62"/>
  <c r="R225" i="62"/>
  <c r="R224" i="62"/>
  <c r="R223" i="62"/>
  <c r="R222" i="62"/>
  <c r="R221" i="62"/>
  <c r="R220" i="62"/>
  <c r="R219" i="62"/>
  <c r="R218" i="62"/>
  <c r="R217" i="62"/>
  <c r="R216" i="62"/>
  <c r="R215" i="62"/>
  <c r="R214" i="62"/>
  <c r="R213" i="62"/>
  <c r="R212" i="62"/>
  <c r="R211" i="62"/>
  <c r="R210" i="62"/>
  <c r="R209" i="62"/>
  <c r="R208" i="62"/>
  <c r="R207" i="62"/>
  <c r="R206" i="62"/>
  <c r="R205" i="62"/>
  <c r="R204" i="62"/>
  <c r="R203" i="62"/>
  <c r="R202" i="62"/>
  <c r="R201" i="62"/>
  <c r="R200" i="62"/>
  <c r="R199" i="62"/>
  <c r="R198" i="62"/>
  <c r="R197" i="62"/>
  <c r="R196" i="62"/>
  <c r="R195" i="62"/>
  <c r="R194" i="62"/>
  <c r="R193" i="62"/>
  <c r="R192" i="62"/>
  <c r="R191" i="62"/>
  <c r="R190" i="62"/>
  <c r="R189" i="62"/>
  <c r="R188" i="62"/>
  <c r="R187" i="62"/>
  <c r="R186" i="62"/>
  <c r="R185" i="62"/>
  <c r="R184" i="62"/>
  <c r="R183" i="62"/>
  <c r="R182" i="62"/>
  <c r="R181" i="62"/>
  <c r="R180" i="62"/>
  <c r="R179" i="62"/>
  <c r="R178" i="62"/>
  <c r="R177" i="62"/>
  <c r="R176" i="62"/>
  <c r="R175" i="62"/>
  <c r="R174" i="62"/>
  <c r="R173" i="62"/>
  <c r="R172" i="62"/>
  <c r="R171" i="62"/>
  <c r="R170" i="62"/>
  <c r="R169" i="62"/>
  <c r="R168" i="62"/>
  <c r="R167" i="62"/>
  <c r="R166" i="62"/>
  <c r="R165" i="62"/>
  <c r="R164" i="62"/>
  <c r="R163" i="62"/>
  <c r="R162" i="62"/>
  <c r="R161" i="62"/>
  <c r="R160" i="62"/>
  <c r="R159" i="62"/>
  <c r="R158" i="62"/>
  <c r="R157" i="62"/>
  <c r="R156" i="62"/>
  <c r="R155" i="62"/>
  <c r="R154" i="62"/>
  <c r="R153" i="62"/>
  <c r="R152" i="62"/>
  <c r="R151" i="62"/>
  <c r="R150" i="62"/>
  <c r="R149" i="62"/>
  <c r="R148" i="62"/>
  <c r="R147" i="62"/>
  <c r="R146" i="62"/>
  <c r="R145" i="62"/>
  <c r="R144" i="62"/>
  <c r="R143" i="62"/>
  <c r="R142" i="62"/>
  <c r="R141" i="62"/>
  <c r="R140" i="62"/>
  <c r="R139" i="62"/>
  <c r="R138" i="62"/>
  <c r="R137" i="62"/>
  <c r="R136" i="62"/>
  <c r="R135" i="62"/>
  <c r="R134" i="62"/>
  <c r="R133" i="62"/>
  <c r="R132" i="62"/>
  <c r="R131" i="62"/>
  <c r="R130" i="62"/>
  <c r="R129" i="62"/>
  <c r="R128" i="62"/>
  <c r="R127" i="62"/>
  <c r="R126" i="62"/>
  <c r="R125" i="62"/>
  <c r="R124" i="62"/>
  <c r="R123" i="62"/>
  <c r="R122" i="62"/>
  <c r="R121" i="62"/>
  <c r="R120" i="62"/>
  <c r="R119" i="62"/>
  <c r="R118" i="62"/>
  <c r="R117" i="62"/>
  <c r="R116" i="62"/>
  <c r="R115" i="62"/>
  <c r="R114" i="62"/>
  <c r="R113" i="62"/>
  <c r="R112" i="62"/>
  <c r="R111" i="62"/>
  <c r="R110" i="62"/>
  <c r="R109" i="62"/>
  <c r="R108" i="62"/>
  <c r="R107" i="62"/>
  <c r="R106" i="62"/>
  <c r="R105" i="62"/>
  <c r="R104" i="62"/>
  <c r="R103" i="62"/>
  <c r="R102" i="62"/>
  <c r="R101" i="62"/>
  <c r="R100" i="62"/>
  <c r="R99" i="62"/>
  <c r="R98" i="62"/>
  <c r="R97" i="62"/>
  <c r="R96" i="62"/>
  <c r="R95" i="62"/>
  <c r="R94" i="62"/>
  <c r="R93" i="62"/>
  <c r="R92" i="62"/>
  <c r="R91" i="62"/>
  <c r="R90" i="62"/>
  <c r="R89" i="62"/>
  <c r="R88" i="62"/>
  <c r="R87" i="62"/>
  <c r="R86" i="62"/>
  <c r="R85" i="62"/>
  <c r="R84" i="62"/>
  <c r="R83" i="62"/>
  <c r="R82" i="62"/>
  <c r="R81" i="62"/>
  <c r="R80" i="62"/>
  <c r="R79" i="62"/>
  <c r="R78" i="62"/>
  <c r="R77" i="62"/>
  <c r="R76" i="62"/>
  <c r="R75" i="62"/>
  <c r="R74" i="62"/>
  <c r="R73" i="62"/>
  <c r="R72" i="62"/>
  <c r="R71" i="62"/>
  <c r="R70" i="62"/>
  <c r="R69" i="62"/>
  <c r="R68" i="62"/>
  <c r="R67" i="62"/>
  <c r="R66" i="62"/>
  <c r="R65" i="62"/>
  <c r="R64" i="62"/>
  <c r="R63" i="62"/>
  <c r="R62" i="62"/>
  <c r="R61" i="62"/>
  <c r="R60" i="62"/>
  <c r="R59" i="62"/>
  <c r="R58" i="62"/>
  <c r="R57" i="62"/>
  <c r="R56" i="62"/>
  <c r="R55" i="62"/>
  <c r="R54" i="62"/>
  <c r="R53" i="62"/>
  <c r="R52" i="62"/>
  <c r="R51" i="62"/>
  <c r="R50" i="62"/>
  <c r="R49" i="62"/>
  <c r="R48" i="62"/>
  <c r="R47" i="62"/>
  <c r="R46" i="62"/>
  <c r="R45" i="62"/>
  <c r="R44" i="62"/>
  <c r="R43" i="62"/>
  <c r="R42" i="62"/>
  <c r="R41" i="62"/>
  <c r="R40" i="62"/>
  <c r="R39" i="62"/>
  <c r="R38" i="62"/>
  <c r="R37" i="62"/>
  <c r="R36" i="62"/>
  <c r="R35" i="62"/>
  <c r="R34" i="62"/>
  <c r="R33" i="62"/>
  <c r="R32" i="62"/>
  <c r="R31" i="62"/>
  <c r="R30" i="62"/>
  <c r="R29" i="62"/>
  <c r="R28" i="62"/>
  <c r="R27" i="62"/>
  <c r="R26" i="62"/>
  <c r="R25" i="62"/>
  <c r="R24" i="62"/>
  <c r="R23" i="62"/>
  <c r="R22" i="62"/>
  <c r="R21" i="62"/>
  <c r="R20" i="62"/>
  <c r="R19" i="62"/>
  <c r="R18" i="62"/>
  <c r="R17" i="62"/>
  <c r="R16" i="62"/>
  <c r="R15" i="62"/>
  <c r="R14" i="62"/>
  <c r="R13" i="62"/>
  <c r="R12" i="62"/>
  <c r="R11" i="62"/>
  <c r="R10" i="62"/>
  <c r="R9" i="62"/>
  <c r="R8" i="62"/>
  <c r="R7" i="62"/>
  <c r="R6" i="62"/>
  <c r="R5" i="62"/>
  <c r="R4" i="62"/>
  <c r="R3" i="62"/>
  <c r="M83" i="60"/>
  <c r="L83" i="60"/>
  <c r="K83" i="60"/>
  <c r="J83" i="60"/>
  <c r="I83" i="60"/>
  <c r="H83" i="60"/>
  <c r="O82" i="60"/>
  <c r="O83" i="60" s="1"/>
  <c r="N82" i="60"/>
  <c r="N83" i="60" s="1"/>
  <c r="M82" i="60"/>
  <c r="L82" i="60"/>
  <c r="K82" i="60"/>
  <c r="J82" i="60"/>
  <c r="I82" i="60"/>
  <c r="H82" i="60"/>
  <c r="G82" i="60"/>
  <c r="G83" i="60" s="1"/>
  <c r="F82" i="60"/>
  <c r="F83" i="60" s="1"/>
  <c r="E82" i="60"/>
  <c r="E83" i="60" s="1"/>
  <c r="D82" i="60"/>
  <c r="D83" i="60" s="1"/>
  <c r="O81" i="60"/>
  <c r="N81" i="60"/>
  <c r="M81" i="60"/>
  <c r="L81" i="60"/>
  <c r="K81" i="60"/>
  <c r="J81" i="60"/>
  <c r="I81" i="60"/>
  <c r="H81" i="60"/>
  <c r="G81" i="60"/>
  <c r="F81" i="60"/>
  <c r="E81" i="60"/>
  <c r="D81" i="60"/>
  <c r="O80" i="60"/>
  <c r="N80" i="60"/>
  <c r="M80" i="60"/>
  <c r="L80" i="60"/>
  <c r="K80" i="60"/>
  <c r="J80" i="60"/>
  <c r="I80" i="60"/>
  <c r="H80" i="60"/>
  <c r="G80" i="60"/>
  <c r="F80" i="60"/>
  <c r="E80" i="60"/>
  <c r="D80" i="60"/>
  <c r="O79" i="60"/>
  <c r="N79" i="60"/>
  <c r="M79" i="60"/>
  <c r="L79" i="60"/>
  <c r="K79" i="60"/>
  <c r="J79" i="60"/>
  <c r="I79" i="60"/>
  <c r="H79" i="60"/>
  <c r="G79" i="60"/>
  <c r="F79" i="60"/>
  <c r="E79" i="60"/>
  <c r="D79" i="60"/>
  <c r="O78" i="60"/>
  <c r="N78" i="60"/>
  <c r="M78" i="60"/>
  <c r="L78" i="60"/>
  <c r="K78" i="60"/>
  <c r="J78" i="60"/>
  <c r="I78" i="60"/>
  <c r="H78" i="60"/>
  <c r="G78" i="60"/>
  <c r="F78" i="60"/>
  <c r="E78" i="60"/>
  <c r="D78" i="60"/>
  <c r="O77" i="60"/>
  <c r="N77" i="60"/>
  <c r="M77" i="60"/>
  <c r="L77" i="60"/>
  <c r="K77" i="60"/>
  <c r="J77" i="60"/>
  <c r="I77" i="60"/>
  <c r="H77" i="60"/>
  <c r="G77" i="60"/>
  <c r="F77" i="60"/>
  <c r="E77" i="60"/>
  <c r="D77" i="60"/>
  <c r="O76" i="60"/>
  <c r="N76" i="60"/>
  <c r="M76" i="60"/>
  <c r="L76" i="60"/>
  <c r="K76" i="60"/>
  <c r="J76" i="60"/>
  <c r="I76" i="60"/>
  <c r="H76" i="60"/>
  <c r="G76" i="60"/>
  <c r="F76" i="60"/>
  <c r="E76" i="60"/>
  <c r="D76" i="60"/>
  <c r="O72" i="60"/>
  <c r="N72" i="60"/>
  <c r="M72" i="60"/>
  <c r="L72" i="60"/>
  <c r="M71" i="60"/>
  <c r="M73" i="60" s="1"/>
  <c r="L71" i="60"/>
  <c r="L73" i="60" s="1"/>
  <c r="K71" i="60"/>
  <c r="J71" i="60"/>
  <c r="I71" i="60"/>
  <c r="H71" i="60"/>
  <c r="I61" i="60"/>
  <c r="H61" i="60"/>
  <c r="O58" i="60"/>
  <c r="N58" i="60"/>
  <c r="M58" i="60"/>
  <c r="L58" i="60"/>
  <c r="K58" i="60"/>
  <c r="J58" i="60"/>
  <c r="I58" i="60"/>
  <c r="H58" i="60"/>
  <c r="G58" i="60"/>
  <c r="F58" i="60"/>
  <c r="E58" i="60"/>
  <c r="D58" i="60"/>
  <c r="O55" i="60"/>
  <c r="N55" i="60"/>
  <c r="M55" i="60"/>
  <c r="L55" i="60"/>
  <c r="K55" i="60"/>
  <c r="J55" i="60"/>
  <c r="I55" i="60"/>
  <c r="H55" i="60"/>
  <c r="G55" i="60"/>
  <c r="F55" i="60"/>
  <c r="E55" i="60"/>
  <c r="D55" i="60"/>
  <c r="O47" i="60"/>
  <c r="N47" i="60"/>
  <c r="M47" i="60"/>
  <c r="L47" i="60"/>
  <c r="K47" i="60"/>
  <c r="J47" i="60"/>
  <c r="I47" i="60"/>
  <c r="H47" i="60"/>
  <c r="G47" i="60"/>
  <c r="F47" i="60"/>
  <c r="E47" i="60"/>
  <c r="D47" i="60"/>
  <c r="O46" i="60"/>
  <c r="N46" i="60"/>
  <c r="M46" i="60"/>
  <c r="L46" i="60"/>
  <c r="K46" i="60"/>
  <c r="J46" i="60"/>
  <c r="I46" i="60"/>
  <c r="H46" i="60"/>
  <c r="G46" i="60"/>
  <c r="F46" i="60"/>
  <c r="E46" i="60"/>
  <c r="D46" i="60"/>
  <c r="O45" i="60"/>
  <c r="N45" i="60"/>
  <c r="M45" i="60"/>
  <c r="L45" i="60"/>
  <c r="K45" i="60"/>
  <c r="J45" i="60"/>
  <c r="I45" i="60"/>
  <c r="H45" i="60"/>
  <c r="G45" i="60"/>
  <c r="F45" i="60"/>
  <c r="E45" i="60"/>
  <c r="D45" i="60"/>
  <c r="O44" i="60"/>
  <c r="N44" i="60"/>
  <c r="M44" i="60"/>
  <c r="L44" i="60"/>
  <c r="K44" i="60"/>
  <c r="J44" i="60"/>
  <c r="I44" i="60"/>
  <c r="H44" i="60"/>
  <c r="G44" i="60"/>
  <c r="F44" i="60"/>
  <c r="E44" i="60"/>
  <c r="D44" i="60"/>
  <c r="D41" i="60"/>
  <c r="D40" i="60"/>
  <c r="D39" i="60"/>
  <c r="K72" i="60" s="1"/>
  <c r="D38" i="60"/>
  <c r="G71" i="60" s="1"/>
  <c r="D30" i="60"/>
  <c r="S28" i="60"/>
  <c r="D25" i="60"/>
  <c r="D24" i="60"/>
  <c r="D26" i="60" s="1"/>
  <c r="D27" i="60" s="1"/>
  <c r="D23" i="60"/>
  <c r="G61" i="60" s="1"/>
  <c r="I56" i="60" l="1"/>
  <c r="H56" i="60"/>
  <c r="G56" i="60"/>
  <c r="O56" i="60"/>
  <c r="N56" i="60"/>
  <c r="D56" i="60"/>
  <c r="M56" i="60"/>
  <c r="L56" i="60"/>
  <c r="E56" i="60"/>
  <c r="K56" i="60"/>
  <c r="F56" i="60"/>
  <c r="J56" i="60"/>
  <c r="H70" i="60"/>
  <c r="H69" i="60" s="1"/>
  <c r="I70" i="60"/>
  <c r="I69" i="60" s="1"/>
  <c r="J73" i="60"/>
  <c r="K73" i="60"/>
  <c r="M74" i="60"/>
  <c r="M68" i="60" s="1"/>
  <c r="M67" i="60"/>
  <c r="L74" i="60"/>
  <c r="L68" i="60" s="1"/>
  <c r="L67" i="60"/>
  <c r="J60" i="60"/>
  <c r="N61" i="60"/>
  <c r="N60" i="60" s="1"/>
  <c r="J70" i="60"/>
  <c r="J69" i="60" s="1"/>
  <c r="N71" i="60"/>
  <c r="G60" i="60"/>
  <c r="M61" i="60"/>
  <c r="M60" i="60" s="1"/>
  <c r="O61" i="60"/>
  <c r="K70" i="60"/>
  <c r="K69" i="60" s="1"/>
  <c r="O71" i="60"/>
  <c r="L60" i="60"/>
  <c r="L70" i="60"/>
  <c r="L69" i="60" s="1"/>
  <c r="D72" i="60"/>
  <c r="H73" i="60"/>
  <c r="M70" i="60"/>
  <c r="M69" i="60" s="1"/>
  <c r="E72" i="60"/>
  <c r="H60" i="60"/>
  <c r="F72" i="60"/>
  <c r="K61" i="60"/>
  <c r="K60" i="60" s="1"/>
  <c r="O60" i="60"/>
  <c r="G72" i="60"/>
  <c r="G73" i="60" s="1"/>
  <c r="D61" i="60"/>
  <c r="D60" i="60" s="1"/>
  <c r="D71" i="60"/>
  <c r="H72" i="60"/>
  <c r="J61" i="60"/>
  <c r="I60" i="60"/>
  <c r="E61" i="60"/>
  <c r="E60" i="60" s="1"/>
  <c r="E71" i="60"/>
  <c r="I72" i="60"/>
  <c r="I73" i="60" s="1"/>
  <c r="L61" i="60"/>
  <c r="F61" i="60"/>
  <c r="F60" i="60" s="1"/>
  <c r="F71" i="60"/>
  <c r="J72" i="60"/>
  <c r="I74" i="60" l="1"/>
  <c r="I68" i="60" s="1"/>
  <c r="I67" i="60"/>
  <c r="G74" i="60"/>
  <c r="G68" i="60" s="1"/>
  <c r="L59" i="60"/>
  <c r="L86" i="60"/>
  <c r="L84" i="60" s="1"/>
  <c r="L87" i="60"/>
  <c r="L85" i="60" s="1"/>
  <c r="M59" i="60"/>
  <c r="M87" i="60"/>
  <c r="M85" i="60" s="1"/>
  <c r="M86" i="60"/>
  <c r="M84" i="60" s="1"/>
  <c r="M75" i="60" s="1"/>
  <c r="M62" i="60" s="1"/>
  <c r="H74" i="60"/>
  <c r="H68" i="60" s="1"/>
  <c r="F70" i="60"/>
  <c r="F69" i="60" s="1"/>
  <c r="F73" i="60"/>
  <c r="J74" i="60"/>
  <c r="J68" i="60" s="1"/>
  <c r="O73" i="60"/>
  <c r="O70" i="60"/>
  <c r="O69" i="60" s="1"/>
  <c r="G70" i="60"/>
  <c r="G69" i="60" s="1"/>
  <c r="E70" i="60"/>
  <c r="E69" i="60" s="1"/>
  <c r="E73" i="60"/>
  <c r="D73" i="60"/>
  <c r="D70" i="60"/>
  <c r="D69" i="60" s="1"/>
  <c r="N73" i="60"/>
  <c r="N70" i="60"/>
  <c r="N69" i="60" s="1"/>
  <c r="K74" i="60"/>
  <c r="K67" i="60" s="1"/>
  <c r="J87" i="60" l="1"/>
  <c r="J85" i="60" s="1"/>
  <c r="J59" i="60"/>
  <c r="J86" i="60"/>
  <c r="J84" i="60" s="1"/>
  <c r="J75" i="60" s="1"/>
  <c r="J62" i="60"/>
  <c r="H87" i="60"/>
  <c r="H85" i="60" s="1"/>
  <c r="H86" i="60"/>
  <c r="H84" i="60" s="1"/>
  <c r="H59" i="60"/>
  <c r="G87" i="60"/>
  <c r="G85" i="60" s="1"/>
  <c r="G86" i="60"/>
  <c r="G84" i="60" s="1"/>
  <c r="G75" i="60" s="1"/>
  <c r="G62" i="60" s="1"/>
  <c r="G59" i="60"/>
  <c r="I87" i="60"/>
  <c r="I85" i="60" s="1"/>
  <c r="I86" i="60"/>
  <c r="I84" i="60" s="1"/>
  <c r="I75" i="60" s="1"/>
  <c r="I59" i="60"/>
  <c r="I62" i="60"/>
  <c r="M63" i="60"/>
  <c r="M57" i="60"/>
  <c r="O74" i="60"/>
  <c r="O68" i="60" s="1"/>
  <c r="E74" i="60"/>
  <c r="E67" i="60" s="1"/>
  <c r="E68" i="60"/>
  <c r="F74" i="60"/>
  <c r="F67" i="60"/>
  <c r="F68" i="60"/>
  <c r="L63" i="60"/>
  <c r="L57" i="60"/>
  <c r="J67" i="60"/>
  <c r="K68" i="60"/>
  <c r="G67" i="60"/>
  <c r="N74" i="60"/>
  <c r="N68" i="60" s="1"/>
  <c r="N67" i="60"/>
  <c r="L75" i="60"/>
  <c r="L62" i="60" s="1"/>
  <c r="L64" i="60"/>
  <c r="D74" i="60"/>
  <c r="D67" i="60"/>
  <c r="D68" i="60"/>
  <c r="H67" i="60"/>
  <c r="M64" i="60"/>
  <c r="N86" i="60" l="1"/>
  <c r="N84" i="60" s="1"/>
  <c r="N87" i="60"/>
  <c r="N85" i="60" s="1"/>
  <c r="N59" i="60"/>
  <c r="O86" i="60"/>
  <c r="O84" i="60" s="1"/>
  <c r="O75" i="60" s="1"/>
  <c r="O62" i="60" s="1"/>
  <c r="O87" i="60"/>
  <c r="O85" i="60" s="1"/>
  <c r="O59" i="60"/>
  <c r="L53" i="60"/>
  <c r="L54" i="60"/>
  <c r="D87" i="60"/>
  <c r="D85" i="60" s="1"/>
  <c r="D86" i="60"/>
  <c r="D84" i="60" s="1"/>
  <c r="D75" i="60" s="1"/>
  <c r="D62" i="60" s="1"/>
  <c r="D59" i="60"/>
  <c r="I57" i="60"/>
  <c r="I63" i="60"/>
  <c r="I64" i="60"/>
  <c r="F87" i="60"/>
  <c r="F85" i="60" s="1"/>
  <c r="F86" i="60"/>
  <c r="F84" i="60" s="1"/>
  <c r="F75" i="60" s="1"/>
  <c r="F59" i="60"/>
  <c r="G63" i="60"/>
  <c r="G57" i="60"/>
  <c r="G64" i="60"/>
  <c r="E87" i="60"/>
  <c r="E85" i="60" s="1"/>
  <c r="E86" i="60"/>
  <c r="E84" i="60" s="1"/>
  <c r="E75" i="60" s="1"/>
  <c r="E59" i="60"/>
  <c r="H57" i="60"/>
  <c r="H63" i="60"/>
  <c r="H64" i="60"/>
  <c r="H75" i="60"/>
  <c r="H62" i="60" s="1"/>
  <c r="O67" i="60"/>
  <c r="M53" i="60"/>
  <c r="M54" i="60"/>
  <c r="J63" i="60"/>
  <c r="J57" i="60"/>
  <c r="J64" i="60"/>
  <c r="K59" i="60"/>
  <c r="K87" i="60"/>
  <c r="K85" i="60" s="1"/>
  <c r="K86" i="60"/>
  <c r="K84" i="60" s="1"/>
  <c r="K75" i="60" s="1"/>
  <c r="K62" i="60" s="1"/>
  <c r="I53" i="60" l="1"/>
  <c r="I54" i="60"/>
  <c r="E62" i="60"/>
  <c r="O63" i="60"/>
  <c r="O57" i="60"/>
  <c r="O64" i="60"/>
  <c r="H53" i="60"/>
  <c r="H54" i="60"/>
  <c r="G53" i="60"/>
  <c r="G54" i="60"/>
  <c r="E63" i="60"/>
  <c r="E57" i="60"/>
  <c r="E64" i="60"/>
  <c r="L52" i="60"/>
  <c r="J53" i="60"/>
  <c r="J54" i="60"/>
  <c r="N63" i="60"/>
  <c r="N57" i="60"/>
  <c r="N64" i="60"/>
  <c r="F63" i="60"/>
  <c r="F57" i="60"/>
  <c r="F64" i="60"/>
  <c r="D63" i="60"/>
  <c r="D57" i="60"/>
  <c r="D64" i="60"/>
  <c r="K63" i="60"/>
  <c r="K57" i="60"/>
  <c r="K64" i="60"/>
  <c r="F62" i="60"/>
  <c r="M52" i="60"/>
  <c r="N75" i="60"/>
  <c r="N62" i="60" s="1"/>
  <c r="E53" i="60" l="1"/>
  <c r="E54" i="60"/>
  <c r="J52" i="60"/>
  <c r="K53" i="60"/>
  <c r="K54" i="60"/>
  <c r="G52" i="60"/>
  <c r="D53" i="60"/>
  <c r="D54" i="60"/>
  <c r="H52" i="60"/>
  <c r="F53" i="60"/>
  <c r="F54" i="60"/>
  <c r="O53" i="60"/>
  <c r="O54" i="60"/>
  <c r="N53" i="60"/>
  <c r="N54" i="60"/>
  <c r="I52" i="60"/>
  <c r="N52" i="60" l="1"/>
  <c r="P54" i="60"/>
  <c r="D52" i="60"/>
  <c r="P53" i="60"/>
  <c r="O52" i="60"/>
  <c r="F52" i="60"/>
  <c r="K52" i="60"/>
  <c r="E52" i="60"/>
  <c r="P52" i="60" l="1"/>
  <c r="D230" i="36" l="1"/>
  <c r="E230" i="36"/>
  <c r="F230" i="36" l="1"/>
  <c r="C278" i="36" l="1"/>
  <c r="E278" i="36" s="1"/>
  <c r="C282" i="36"/>
  <c r="E282" i="36" s="1"/>
  <c r="C283" i="36"/>
  <c r="E283" i="36" s="1"/>
  <c r="D88" i="36"/>
  <c r="F88" i="36" s="1"/>
  <c r="C281" i="36"/>
  <c r="E281" i="36" s="1"/>
  <c r="C280" i="36"/>
  <c r="E280" i="36" s="1"/>
  <c r="D86" i="36"/>
  <c r="F86" i="36" s="1"/>
  <c r="C279" i="36"/>
  <c r="E279" i="36" s="1"/>
  <c r="D198" i="36"/>
  <c r="F198" i="36" s="1"/>
  <c r="D197" i="36"/>
  <c r="F197" i="36" s="1"/>
  <c r="D195" i="36"/>
  <c r="F195" i="36" s="1"/>
  <c r="D199" i="36"/>
  <c r="F199" i="36" s="1"/>
  <c r="D196" i="36"/>
  <c r="F196" i="36" s="1"/>
  <c r="D200" i="36"/>
  <c r="F200" i="36" s="1"/>
  <c r="D145" i="36"/>
  <c r="F145" i="36" s="1"/>
  <c r="D146" i="36"/>
  <c r="F146" i="36" s="1"/>
  <c r="D143" i="36"/>
  <c r="F143" i="36" s="1"/>
  <c r="D147" i="36"/>
  <c r="F147" i="36" s="1"/>
  <c r="D144" i="36"/>
  <c r="F144" i="36" s="1"/>
  <c r="D148" i="36"/>
  <c r="F148" i="36" s="1"/>
  <c r="D89" i="36"/>
  <c r="F89" i="36" s="1"/>
  <c r="D90" i="36"/>
  <c r="F90" i="36" s="1"/>
  <c r="D85" i="36"/>
  <c r="F85" i="36" s="1"/>
  <c r="D87" i="36"/>
  <c r="F87" i="36" s="1"/>
  <c r="J5" i="58"/>
  <c r="C84" i="36" s="1"/>
  <c r="D5" i="58"/>
  <c r="G5" i="57"/>
  <c r="G7" i="57" s="1"/>
  <c r="D11" i="58" s="1"/>
  <c r="G6" i="57"/>
  <c r="E7" i="57"/>
  <c r="G5" i="56"/>
  <c r="G6" i="56"/>
  <c r="D10" i="58" s="1"/>
  <c r="H5" i="55"/>
  <c r="D8" i="58" s="1"/>
  <c r="H19" i="55"/>
  <c r="D9" i="58" s="1"/>
  <c r="F26" i="55"/>
  <c r="H26" i="55" s="1"/>
  <c r="D7" i="58" s="1"/>
  <c r="G5" i="54"/>
  <c r="G6" i="54"/>
  <c r="G14" i="54" s="1"/>
  <c r="G7" i="54"/>
  <c r="G8" i="54"/>
  <c r="G9" i="54"/>
  <c r="G10" i="54"/>
  <c r="G11" i="54"/>
  <c r="G12" i="54"/>
  <c r="G13" i="54"/>
  <c r="E14" i="54"/>
  <c r="E15" i="54" s="1"/>
  <c r="G15" i="54" s="1"/>
  <c r="D6" i="58" s="1"/>
  <c r="E16" i="54"/>
  <c r="G16" i="54"/>
  <c r="D14" i="58" s="1"/>
  <c r="E6" i="53"/>
  <c r="G6" i="53" s="1"/>
  <c r="D13" i="58" s="1"/>
  <c r="E84" i="36" l="1"/>
  <c r="D84" i="36"/>
  <c r="K5" i="58"/>
  <c r="I86" i="36"/>
  <c r="I90" i="36"/>
  <c r="I89" i="36"/>
  <c r="F84" i="36"/>
  <c r="I84" i="36"/>
  <c r="I87" i="36"/>
  <c r="I88" i="36"/>
  <c r="I85" i="36"/>
  <c r="I146" i="36"/>
  <c r="I143" i="36"/>
  <c r="J148" i="36"/>
  <c r="J144" i="36"/>
  <c r="I148" i="36"/>
  <c r="I147" i="36"/>
  <c r="I145" i="36"/>
  <c r="J147" i="36"/>
  <c r="J146" i="36"/>
  <c r="I144" i="36"/>
  <c r="J143" i="36"/>
  <c r="J145" i="36"/>
  <c r="D278" i="36"/>
  <c r="F278" i="36" s="1"/>
  <c r="D283" i="36"/>
  <c r="F283" i="36" s="1"/>
  <c r="D279" i="36"/>
  <c r="F279" i="36" s="1"/>
  <c r="D280" i="36"/>
  <c r="F280" i="36" s="1"/>
  <c r="D281" i="36"/>
  <c r="F281" i="36" s="1"/>
  <c r="D282" i="36"/>
  <c r="F282" i="36" s="1"/>
  <c r="I278" i="36" l="1"/>
  <c r="I281" i="36"/>
  <c r="I282" i="36"/>
  <c r="C142" i="36"/>
  <c r="L5" i="58"/>
  <c r="C194" i="36" s="1"/>
  <c r="I280" i="36"/>
  <c r="I279" i="36"/>
  <c r="J84" i="36"/>
  <c r="I283" i="36"/>
  <c r="J86" i="36"/>
  <c r="J85" i="36"/>
  <c r="J87" i="36"/>
  <c r="J90" i="36"/>
  <c r="J89" i="36"/>
  <c r="J88" i="36"/>
  <c r="F56" i="52"/>
  <c r="F57" i="52" s="1"/>
  <c r="F58" i="52" s="1"/>
  <c r="E56" i="52"/>
  <c r="E57" i="52" s="1"/>
  <c r="E58" i="52" s="1"/>
  <c r="D56" i="52"/>
  <c r="D57" i="52" s="1"/>
  <c r="F52" i="52"/>
  <c r="F53" i="52" s="1"/>
  <c r="F54" i="52" s="1"/>
  <c r="E52" i="52"/>
  <c r="E53" i="52" s="1"/>
  <c r="E54" i="52" s="1"/>
  <c r="D52" i="52"/>
  <c r="D53" i="52" s="1"/>
  <c r="F48" i="52"/>
  <c r="F49" i="52" s="1"/>
  <c r="F50" i="52" s="1"/>
  <c r="E48" i="52"/>
  <c r="E49" i="52" s="1"/>
  <c r="E50" i="52" s="1"/>
  <c r="D48" i="52"/>
  <c r="D49" i="52" s="1"/>
  <c r="F44" i="52"/>
  <c r="F45" i="52" s="1"/>
  <c r="F46" i="52" s="1"/>
  <c r="E44" i="52"/>
  <c r="E45" i="52" s="1"/>
  <c r="E46" i="52" s="1"/>
  <c r="D44" i="52"/>
  <c r="D45" i="52" s="1"/>
  <c r="F40" i="52"/>
  <c r="F41" i="52" s="1"/>
  <c r="F42" i="52" s="1"/>
  <c r="E40" i="52"/>
  <c r="E41" i="52" s="1"/>
  <c r="E42" i="52" s="1"/>
  <c r="D40" i="52"/>
  <c r="D41" i="52" s="1"/>
  <c r="D42" i="52" s="1"/>
  <c r="F36" i="52"/>
  <c r="F37" i="52" s="1"/>
  <c r="F38" i="52" s="1"/>
  <c r="E36" i="52"/>
  <c r="E37" i="52" s="1"/>
  <c r="E38" i="52" s="1"/>
  <c r="D36" i="52"/>
  <c r="D37" i="52" s="1"/>
  <c r="D38" i="52" s="1"/>
  <c r="F32" i="52"/>
  <c r="F33" i="52" s="1"/>
  <c r="F34" i="52" s="1"/>
  <c r="E32" i="52"/>
  <c r="E33" i="52" s="1"/>
  <c r="E34" i="52" s="1"/>
  <c r="D32" i="52"/>
  <c r="D33" i="52" s="1"/>
  <c r="D34" i="52" s="1"/>
  <c r="F28" i="52"/>
  <c r="F29" i="52" s="1"/>
  <c r="F30" i="52" s="1"/>
  <c r="E28" i="52"/>
  <c r="E29" i="52" s="1"/>
  <c r="E30" i="52" s="1"/>
  <c r="D28" i="52"/>
  <c r="D29" i="52" s="1"/>
  <c r="D30" i="52" s="1"/>
  <c r="F24" i="52"/>
  <c r="F25" i="52" s="1"/>
  <c r="F26" i="52" s="1"/>
  <c r="E24" i="52"/>
  <c r="E25" i="52" s="1"/>
  <c r="E26" i="52" s="1"/>
  <c r="D24" i="52"/>
  <c r="D25" i="52" s="1"/>
  <c r="D26" i="52" s="1"/>
  <c r="F21" i="52"/>
  <c r="F22" i="52" s="1"/>
  <c r="E21" i="52"/>
  <c r="E22" i="52" s="1"/>
  <c r="D21" i="52"/>
  <c r="D22" i="52" s="1"/>
  <c r="F18" i="52"/>
  <c r="F19" i="52" s="1"/>
  <c r="E18" i="52"/>
  <c r="E19" i="52" s="1"/>
  <c r="D18" i="52"/>
  <c r="D19" i="52" s="1"/>
  <c r="F15" i="52"/>
  <c r="F16" i="52" s="1"/>
  <c r="E15" i="52"/>
  <c r="E16" i="52" s="1"/>
  <c r="D15" i="52"/>
  <c r="D16" i="52" s="1"/>
  <c r="F12" i="52"/>
  <c r="F13" i="52" s="1"/>
  <c r="E12" i="52"/>
  <c r="E13" i="52" s="1"/>
  <c r="D12" i="52"/>
  <c r="D13" i="52" s="1"/>
  <c r="G13" i="52" s="1"/>
  <c r="H13" i="52" s="1"/>
  <c r="C71" i="36" s="1"/>
  <c r="G10" i="52"/>
  <c r="H10" i="52" s="1"/>
  <c r="C70" i="36" s="1"/>
  <c r="F9" i="52"/>
  <c r="E9" i="52"/>
  <c r="D9" i="52"/>
  <c r="J278" i="36" l="1"/>
  <c r="J279" i="36"/>
  <c r="E194" i="36"/>
  <c r="D194" i="36"/>
  <c r="F194" i="36" s="1"/>
  <c r="J280" i="36"/>
  <c r="J283" i="36"/>
  <c r="J282" i="36"/>
  <c r="J281" i="36"/>
  <c r="E142" i="36"/>
  <c r="D142" i="36"/>
  <c r="C277" i="36"/>
  <c r="E277" i="36" s="1"/>
  <c r="D71" i="36"/>
  <c r="D70" i="36"/>
  <c r="G19" i="52"/>
  <c r="H19" i="52" s="1"/>
  <c r="C73" i="36" s="1"/>
  <c r="E71" i="36"/>
  <c r="F71" i="36"/>
  <c r="G16" i="52"/>
  <c r="H16" i="52" s="1"/>
  <c r="C72" i="36" s="1"/>
  <c r="G30" i="52"/>
  <c r="H30" i="52" s="1"/>
  <c r="C76" i="36" s="1"/>
  <c r="G38" i="52"/>
  <c r="H38" i="52" s="1"/>
  <c r="C78" i="36" s="1"/>
  <c r="G34" i="52"/>
  <c r="H34" i="52" s="1"/>
  <c r="C77" i="36" s="1"/>
  <c r="G22" i="52"/>
  <c r="H22" i="52" s="1"/>
  <c r="G26" i="52"/>
  <c r="H26" i="52" s="1"/>
  <c r="C75" i="36" s="1"/>
  <c r="I13" i="52"/>
  <c r="C129" i="36" s="1"/>
  <c r="D46" i="52"/>
  <c r="G46" i="52" s="1"/>
  <c r="H46" i="52" s="1"/>
  <c r="C80" i="36" s="1"/>
  <c r="G45" i="52"/>
  <c r="D50" i="52"/>
  <c r="G50" i="52" s="1"/>
  <c r="H50" i="52" s="1"/>
  <c r="C81" i="36" s="1"/>
  <c r="G49" i="52"/>
  <c r="I19" i="52"/>
  <c r="G53" i="52"/>
  <c r="D54" i="52"/>
  <c r="G54" i="52" s="1"/>
  <c r="H54" i="52" s="1"/>
  <c r="C82" i="36" s="1"/>
  <c r="D58" i="52"/>
  <c r="G58" i="52" s="1"/>
  <c r="H58" i="52" s="1"/>
  <c r="C83" i="36" s="1"/>
  <c r="G57" i="52"/>
  <c r="I10" i="52"/>
  <c r="G42" i="52"/>
  <c r="H42" i="52" s="1"/>
  <c r="C79" i="36" s="1"/>
  <c r="I142" i="36" l="1"/>
  <c r="D277" i="36"/>
  <c r="F277" i="36" s="1"/>
  <c r="F142" i="36"/>
  <c r="J71" i="36"/>
  <c r="I71" i="36"/>
  <c r="D83" i="36"/>
  <c r="D81" i="36"/>
  <c r="D82" i="36"/>
  <c r="D73" i="36"/>
  <c r="E73" i="36"/>
  <c r="D78" i="36"/>
  <c r="D79" i="36"/>
  <c r="D80" i="36"/>
  <c r="J10" i="52"/>
  <c r="C128" i="36"/>
  <c r="I38" i="52"/>
  <c r="D129" i="36"/>
  <c r="F129" i="36" s="1"/>
  <c r="E129" i="36"/>
  <c r="J19" i="52"/>
  <c r="C183" i="36" s="1"/>
  <c r="C131" i="36"/>
  <c r="E77" i="36"/>
  <c r="D77" i="36"/>
  <c r="I22" i="52"/>
  <c r="C132" i="36" s="1"/>
  <c r="C74" i="36"/>
  <c r="D72" i="36"/>
  <c r="E72" i="36"/>
  <c r="E75" i="36"/>
  <c r="D75" i="36"/>
  <c r="E76" i="36"/>
  <c r="D76" i="36"/>
  <c r="I30" i="52"/>
  <c r="I34" i="52"/>
  <c r="I16" i="52"/>
  <c r="I58" i="52"/>
  <c r="C141" i="36" s="1"/>
  <c r="E141" i="36" s="1"/>
  <c r="I46" i="52"/>
  <c r="C138" i="36" s="1"/>
  <c r="J46" i="52"/>
  <c r="C190" i="36" s="1"/>
  <c r="K46" i="52"/>
  <c r="J22" i="52"/>
  <c r="I50" i="52"/>
  <c r="C139" i="36" s="1"/>
  <c r="J50" i="52"/>
  <c r="J13" i="52"/>
  <c r="I54" i="52"/>
  <c r="K19" i="52"/>
  <c r="I42" i="52"/>
  <c r="C137" i="36" s="1"/>
  <c r="I26" i="52"/>
  <c r="C133" i="36" s="1"/>
  <c r="I277" i="36" l="1"/>
  <c r="J142" i="36"/>
  <c r="F76" i="36"/>
  <c r="I75" i="36"/>
  <c r="I73" i="36"/>
  <c r="I77" i="36"/>
  <c r="I72" i="36"/>
  <c r="F72" i="36"/>
  <c r="F77" i="36"/>
  <c r="F73" i="36"/>
  <c r="I76" i="36"/>
  <c r="F75" i="36"/>
  <c r="I129" i="36"/>
  <c r="J129" i="36"/>
  <c r="C266" i="36"/>
  <c r="D266" i="36" s="1"/>
  <c r="F266" i="36" s="1"/>
  <c r="J266" i="36" s="1"/>
  <c r="C273" i="36"/>
  <c r="D273" i="36" s="1"/>
  <c r="F273" i="36" s="1"/>
  <c r="J273" i="36" s="1"/>
  <c r="E137" i="36"/>
  <c r="D137" i="36"/>
  <c r="F137" i="36" s="1"/>
  <c r="J54" i="52"/>
  <c r="C140" i="36"/>
  <c r="K13" i="52"/>
  <c r="C181" i="36"/>
  <c r="E132" i="36"/>
  <c r="D132" i="36"/>
  <c r="F132" i="36" s="1"/>
  <c r="K22" i="52"/>
  <c r="C184" i="36"/>
  <c r="C267" i="36" s="1"/>
  <c r="D131" i="36"/>
  <c r="F131" i="36" s="1"/>
  <c r="E131" i="36"/>
  <c r="D183" i="36"/>
  <c r="F183" i="36" s="1"/>
  <c r="E183" i="36"/>
  <c r="E190" i="36"/>
  <c r="D190" i="36"/>
  <c r="F190" i="36" s="1"/>
  <c r="J16" i="52"/>
  <c r="C130" i="36"/>
  <c r="K50" i="52"/>
  <c r="C191" i="36"/>
  <c r="C274" i="36" s="1"/>
  <c r="J34" i="52"/>
  <c r="C135" i="36"/>
  <c r="J38" i="52"/>
  <c r="C136" i="36"/>
  <c r="D133" i="36"/>
  <c r="F133" i="36" s="1"/>
  <c r="E133" i="36"/>
  <c r="J30" i="52"/>
  <c r="C134" i="36"/>
  <c r="K10" i="52"/>
  <c r="C180" i="36"/>
  <c r="C263" i="36" s="1"/>
  <c r="E74" i="36"/>
  <c r="D74" i="36"/>
  <c r="J26" i="52"/>
  <c r="J42" i="52"/>
  <c r="J58" i="52"/>
  <c r="E266" i="36" l="1"/>
  <c r="I266" i="36" s="1"/>
  <c r="J277" i="36"/>
  <c r="J75" i="36"/>
  <c r="J76" i="36"/>
  <c r="J72" i="36"/>
  <c r="J73" i="36"/>
  <c r="F74" i="36"/>
  <c r="J77" i="36"/>
  <c r="C264" i="36"/>
  <c r="D264" i="36" s="1"/>
  <c r="F264" i="36" s="1"/>
  <c r="J264" i="36" s="1"/>
  <c r="I74" i="36"/>
  <c r="I137" i="36"/>
  <c r="I133" i="36"/>
  <c r="J132" i="36"/>
  <c r="I132" i="36"/>
  <c r="I131" i="36"/>
  <c r="J133" i="36"/>
  <c r="J137" i="36"/>
  <c r="J131" i="36"/>
  <c r="E273" i="36"/>
  <c r="I273" i="36" s="1"/>
  <c r="D274" i="36"/>
  <c r="F274" i="36" s="1"/>
  <c r="J274" i="36" s="1"/>
  <c r="E274" i="36"/>
  <c r="I274" i="36" s="1"/>
  <c r="D267" i="36"/>
  <c r="F267" i="36" s="1"/>
  <c r="J267" i="36" s="1"/>
  <c r="E267" i="36"/>
  <c r="I267" i="36" s="1"/>
  <c r="D263" i="36"/>
  <c r="F263" i="36" s="1"/>
  <c r="J263" i="36" s="1"/>
  <c r="E263" i="36"/>
  <c r="I263" i="36" s="1"/>
  <c r="D181" i="36"/>
  <c r="E181" i="36"/>
  <c r="E136" i="36"/>
  <c r="D136" i="36"/>
  <c r="E134" i="36"/>
  <c r="D134" i="36"/>
  <c r="K30" i="52"/>
  <c r="C186" i="36"/>
  <c r="C269" i="36" s="1"/>
  <c r="D191" i="36"/>
  <c r="F191" i="36" s="1"/>
  <c r="E191" i="36"/>
  <c r="K58" i="52"/>
  <c r="C193" i="36"/>
  <c r="K54" i="52"/>
  <c r="C192" i="36"/>
  <c r="C275" i="36" s="1"/>
  <c r="D184" i="36"/>
  <c r="F184" i="36" s="1"/>
  <c r="E184" i="36"/>
  <c r="C188" i="36"/>
  <c r="C271" i="36" s="1"/>
  <c r="K38" i="52"/>
  <c r="D130" i="36"/>
  <c r="E130" i="36"/>
  <c r="E180" i="36"/>
  <c r="D180" i="36"/>
  <c r="F180" i="36" s="1"/>
  <c r="D135" i="36"/>
  <c r="E135" i="36"/>
  <c r="C187" i="36"/>
  <c r="C270" i="36" s="1"/>
  <c r="K34" i="52"/>
  <c r="K42" i="52"/>
  <c r="C189" i="36"/>
  <c r="K26" i="52"/>
  <c r="C185" i="36"/>
  <c r="K16" i="52"/>
  <c r="C182" i="36"/>
  <c r="C265" i="36" s="1"/>
  <c r="D17" i="25"/>
  <c r="D16" i="25"/>
  <c r="D15" i="25"/>
  <c r="D14" i="25"/>
  <c r="D13" i="25"/>
  <c r="D12" i="25"/>
  <c r="D11" i="25"/>
  <c r="D10" i="25"/>
  <c r="D9" i="25"/>
  <c r="D8" i="25"/>
  <c r="D7" i="25"/>
  <c r="D6" i="25"/>
  <c r="D5" i="25"/>
  <c r="D4" i="25"/>
  <c r="D3" i="25"/>
  <c r="K134" i="51"/>
  <c r="K127" i="51"/>
  <c r="I135" i="51"/>
  <c r="G135" i="51"/>
  <c r="E135" i="51"/>
  <c r="K135" i="51" s="1"/>
  <c r="I128" i="51"/>
  <c r="G128" i="51"/>
  <c r="E128" i="51"/>
  <c r="K128" i="51" s="1"/>
  <c r="I121" i="51"/>
  <c r="G121" i="51"/>
  <c r="E121" i="51"/>
  <c r="K121" i="51" s="1"/>
  <c r="I114" i="51"/>
  <c r="G114" i="51"/>
  <c r="E114" i="51"/>
  <c r="K114" i="51" s="1"/>
  <c r="I107" i="51"/>
  <c r="G107" i="51"/>
  <c r="E107" i="51"/>
  <c r="K107" i="51" s="1"/>
  <c r="I100" i="51"/>
  <c r="G100" i="51"/>
  <c r="E100" i="51"/>
  <c r="K100" i="51" s="1"/>
  <c r="I93" i="51"/>
  <c r="G93" i="51"/>
  <c r="E93" i="51"/>
  <c r="K93" i="51" s="1"/>
  <c r="I86" i="51"/>
  <c r="G86" i="51"/>
  <c r="E86" i="51"/>
  <c r="K86" i="51" s="1"/>
  <c r="I79" i="51"/>
  <c r="G79" i="51"/>
  <c r="E79" i="51"/>
  <c r="K79" i="51" s="1"/>
  <c r="I72" i="51"/>
  <c r="G72" i="51"/>
  <c r="E72" i="51"/>
  <c r="K72" i="51" s="1"/>
  <c r="I65" i="51"/>
  <c r="G65" i="51"/>
  <c r="E65" i="51"/>
  <c r="K65" i="51" s="1"/>
  <c r="K58" i="51"/>
  <c r="I51" i="51"/>
  <c r="G51" i="51"/>
  <c r="E51" i="51"/>
  <c r="K51" i="51" s="1"/>
  <c r="I44" i="51"/>
  <c r="G44" i="51"/>
  <c r="E44" i="51"/>
  <c r="K44" i="51" s="1"/>
  <c r="I37" i="51"/>
  <c r="G37" i="51"/>
  <c r="E37" i="51"/>
  <c r="K37" i="51" s="1"/>
  <c r="C272" i="36" l="1"/>
  <c r="C268" i="36"/>
  <c r="D268" i="36" s="1"/>
  <c r="F268" i="36" s="1"/>
  <c r="J268" i="36" s="1"/>
  <c r="F136" i="36"/>
  <c r="J136" i="36" s="1"/>
  <c r="F181" i="36"/>
  <c r="J74" i="36"/>
  <c r="F134" i="36"/>
  <c r="F135" i="36"/>
  <c r="C276" i="36"/>
  <c r="D276" i="36" s="1"/>
  <c r="F276" i="36" s="1"/>
  <c r="J276" i="36" s="1"/>
  <c r="E264" i="36"/>
  <c r="I264" i="36" s="1"/>
  <c r="F130" i="36"/>
  <c r="I136" i="36"/>
  <c r="I130" i="36"/>
  <c r="I135" i="36"/>
  <c r="J135" i="36"/>
  <c r="J134" i="36"/>
  <c r="I134" i="36"/>
  <c r="D265" i="36"/>
  <c r="F265" i="36" s="1"/>
  <c r="J265" i="36" s="1"/>
  <c r="E265" i="36"/>
  <c r="I265" i="36" s="1"/>
  <c r="D271" i="36"/>
  <c r="F271" i="36" s="1"/>
  <c r="J271" i="36" s="1"/>
  <c r="E271" i="36"/>
  <c r="I271" i="36" s="1"/>
  <c r="D275" i="36"/>
  <c r="F275" i="36" s="1"/>
  <c r="J275" i="36" s="1"/>
  <c r="E275" i="36"/>
  <c r="I275" i="36" s="1"/>
  <c r="D270" i="36"/>
  <c r="F270" i="36" s="1"/>
  <c r="J270" i="36" s="1"/>
  <c r="E270" i="36"/>
  <c r="I270" i="36" s="1"/>
  <c r="D269" i="36"/>
  <c r="F269" i="36" s="1"/>
  <c r="J269" i="36" s="1"/>
  <c r="E269" i="36"/>
  <c r="I269" i="36" s="1"/>
  <c r="D272" i="36"/>
  <c r="F272" i="36" s="1"/>
  <c r="J272" i="36" s="1"/>
  <c r="E272" i="36"/>
  <c r="I272" i="36" s="1"/>
  <c r="E193" i="36"/>
  <c r="D193" i="36"/>
  <c r="F193" i="36" s="1"/>
  <c r="E192" i="36"/>
  <c r="D192" i="36"/>
  <c r="F192" i="36" s="1"/>
  <c r="E187" i="36"/>
  <c r="D187" i="36"/>
  <c r="F187" i="36" s="1"/>
  <c r="D182" i="36"/>
  <c r="F182" i="36" s="1"/>
  <c r="E182" i="36"/>
  <c r="D185" i="36"/>
  <c r="E185" i="36"/>
  <c r="E189" i="36"/>
  <c r="D189" i="36"/>
  <c r="D186" i="36"/>
  <c r="F186" i="36" s="1"/>
  <c r="E186" i="36"/>
  <c r="E188" i="36"/>
  <c r="D188" i="36"/>
  <c r="F188" i="36" s="1"/>
  <c r="D17" i="22"/>
  <c r="D16" i="22"/>
  <c r="D15" i="22"/>
  <c r="D14" i="22"/>
  <c r="D13" i="22"/>
  <c r="D12" i="22"/>
  <c r="D11" i="22"/>
  <c r="D10" i="22"/>
  <c r="D9" i="22"/>
  <c r="D8" i="22"/>
  <c r="D7" i="22"/>
  <c r="D6" i="22"/>
  <c r="D5" i="22"/>
  <c r="D4" i="22"/>
  <c r="D3" i="22"/>
  <c r="K135" i="50"/>
  <c r="I135" i="50"/>
  <c r="G135" i="50"/>
  <c r="E135" i="50"/>
  <c r="M135" i="50" s="1"/>
  <c r="M128" i="50"/>
  <c r="K121" i="50"/>
  <c r="I121" i="50"/>
  <c r="G121" i="50"/>
  <c r="E121" i="50"/>
  <c r="M121" i="50" s="1"/>
  <c r="M114" i="50"/>
  <c r="K107" i="50"/>
  <c r="I107" i="50"/>
  <c r="G107" i="50"/>
  <c r="E107" i="50"/>
  <c r="M107" i="50" s="1"/>
  <c r="M100" i="50"/>
  <c r="K100" i="50"/>
  <c r="I100" i="50"/>
  <c r="G100" i="50"/>
  <c r="E100" i="50"/>
  <c r="K93" i="50"/>
  <c r="I93" i="50"/>
  <c r="G93" i="50"/>
  <c r="E93" i="50"/>
  <c r="M93" i="50" s="1"/>
  <c r="K86" i="50"/>
  <c r="I86" i="50"/>
  <c r="G86" i="50"/>
  <c r="E86" i="50"/>
  <c r="K79" i="50"/>
  <c r="I79" i="50"/>
  <c r="G79" i="50"/>
  <c r="E79" i="50"/>
  <c r="M79" i="50" s="1"/>
  <c r="K72" i="50"/>
  <c r="I72" i="50"/>
  <c r="G72" i="50"/>
  <c r="E72" i="50"/>
  <c r="M72" i="50" s="1"/>
  <c r="K65" i="50"/>
  <c r="I65" i="50"/>
  <c r="G65" i="50"/>
  <c r="E65" i="50"/>
  <c r="M65" i="50" s="1"/>
  <c r="M58" i="50"/>
  <c r="K51" i="50"/>
  <c r="I51" i="50"/>
  <c r="G51" i="50"/>
  <c r="E51" i="50"/>
  <c r="K44" i="50"/>
  <c r="I44" i="50"/>
  <c r="G44" i="50"/>
  <c r="E44" i="50"/>
  <c r="M44" i="50" s="1"/>
  <c r="K37" i="50"/>
  <c r="F37" i="50"/>
  <c r="G37" i="50"/>
  <c r="I37" i="50"/>
  <c r="E37" i="50"/>
  <c r="E276" i="36" l="1"/>
  <c r="I276" i="36" s="1"/>
  <c r="E268" i="36"/>
  <c r="I268" i="36" s="1"/>
  <c r="J130" i="36"/>
  <c r="F189" i="36"/>
  <c r="F185" i="36"/>
  <c r="M51" i="50"/>
  <c r="M86" i="50"/>
  <c r="M37" i="50"/>
  <c r="O153" i="48"/>
  <c r="D336" i="48"/>
  <c r="D335" i="48"/>
  <c r="D334" i="48"/>
  <c r="D333" i="48"/>
  <c r="D332" i="48"/>
  <c r="D331" i="48"/>
  <c r="D330" i="48"/>
  <c r="D329" i="48"/>
  <c r="D328" i="48"/>
  <c r="D327" i="48"/>
  <c r="D326" i="48"/>
  <c r="D325" i="48"/>
  <c r="D324" i="48"/>
  <c r="D323" i="48"/>
  <c r="D322" i="48"/>
  <c r="D276" i="48"/>
  <c r="D275" i="48"/>
  <c r="D274" i="48"/>
  <c r="D273" i="48"/>
  <c r="D272" i="48"/>
  <c r="D271" i="48"/>
  <c r="D270" i="48"/>
  <c r="D269" i="48"/>
  <c r="D268" i="48"/>
  <c r="D267" i="48"/>
  <c r="D266" i="48"/>
  <c r="D265" i="48"/>
  <c r="D264" i="48"/>
  <c r="D263" i="48"/>
  <c r="D262" i="48"/>
  <c r="D121" i="48"/>
  <c r="D120" i="48"/>
  <c r="D119" i="48"/>
  <c r="D118" i="48"/>
  <c r="D117" i="48"/>
  <c r="D116" i="48"/>
  <c r="D115" i="48"/>
  <c r="D114" i="48"/>
  <c r="D113" i="48"/>
  <c r="D112" i="48"/>
  <c r="D111" i="48"/>
  <c r="D110" i="48"/>
  <c r="D109" i="48"/>
  <c r="D108" i="48"/>
  <c r="D107" i="48"/>
  <c r="D106" i="48"/>
  <c r="P81" i="48"/>
  <c r="O81" i="48"/>
  <c r="D97" i="48"/>
  <c r="D96" i="48"/>
  <c r="D95" i="48"/>
  <c r="D94" i="48"/>
  <c r="D93" i="48"/>
  <c r="D92" i="48"/>
  <c r="D91" i="48"/>
  <c r="D90" i="48"/>
  <c r="D89" i="48"/>
  <c r="D88" i="48"/>
  <c r="D87" i="48"/>
  <c r="D86" i="48"/>
  <c r="D85" i="48"/>
  <c r="D84" i="48"/>
  <c r="D83" i="48"/>
  <c r="D82" i="48"/>
  <c r="D72" i="48"/>
  <c r="D71" i="48"/>
  <c r="D70" i="48"/>
  <c r="D69" i="48"/>
  <c r="D68" i="48"/>
  <c r="D67" i="48"/>
  <c r="D66" i="48"/>
  <c r="D65" i="48"/>
  <c r="D64" i="48"/>
  <c r="D63" i="48"/>
  <c r="D62" i="48"/>
  <c r="D61" i="48"/>
  <c r="D60" i="48"/>
  <c r="D59" i="48"/>
  <c r="D58" i="48"/>
  <c r="D57" i="48"/>
  <c r="P235" i="48"/>
  <c r="O235" i="48"/>
  <c r="Q154" i="48"/>
  <c r="O138" i="48"/>
  <c r="Q122" i="48"/>
  <c r="P106" i="48"/>
  <c r="O106" i="48"/>
  <c r="Q57" i="48"/>
  <c r="Q81" i="48" s="1"/>
  <c r="Q24" i="48"/>
  <c r="Q30" i="48" s="1"/>
  <c r="Q382" i="48"/>
  <c r="B457" i="48"/>
  <c r="B456" i="48"/>
  <c r="B455" i="48"/>
  <c r="Q455" i="48"/>
  <c r="M455" i="48"/>
  <c r="A457" i="48" s="1"/>
  <c r="J454" i="48"/>
  <c r="I454" i="48"/>
  <c r="E454" i="48"/>
  <c r="F454" i="48" s="1"/>
  <c r="B454" i="48"/>
  <c r="J453" i="48"/>
  <c r="I453" i="48"/>
  <c r="E453" i="48"/>
  <c r="F453" i="48" s="1"/>
  <c r="B453" i="48"/>
  <c r="J452" i="48"/>
  <c r="I452" i="48"/>
  <c r="E452" i="48"/>
  <c r="F452" i="48" s="1"/>
  <c r="B452" i="48"/>
  <c r="J451" i="48"/>
  <c r="I451" i="48"/>
  <c r="F451" i="48"/>
  <c r="E451" i="48"/>
  <c r="B451" i="48"/>
  <c r="J450" i="48"/>
  <c r="I450" i="48"/>
  <c r="E450" i="48"/>
  <c r="F450" i="48" s="1"/>
  <c r="B450" i="48"/>
  <c r="J449" i="48"/>
  <c r="I449" i="48"/>
  <c r="F449" i="48"/>
  <c r="E449" i="48"/>
  <c r="B449" i="48"/>
  <c r="J448" i="48"/>
  <c r="I448" i="48"/>
  <c r="E448" i="48"/>
  <c r="F448" i="48" s="1"/>
  <c r="B448" i="48"/>
  <c r="J447" i="48"/>
  <c r="I447" i="48"/>
  <c r="F447" i="48"/>
  <c r="E447" i="48"/>
  <c r="B447" i="48"/>
  <c r="J446" i="48"/>
  <c r="I446" i="48"/>
  <c r="E446" i="48"/>
  <c r="F446" i="48" s="1"/>
  <c r="B446" i="48"/>
  <c r="J445" i="48"/>
  <c r="I445" i="48"/>
  <c r="F445" i="48"/>
  <c r="E445" i="48"/>
  <c r="B445" i="48"/>
  <c r="J444" i="48"/>
  <c r="I444" i="48"/>
  <c r="E444" i="48"/>
  <c r="F444" i="48" s="1"/>
  <c r="B444" i="48"/>
  <c r="J443" i="48"/>
  <c r="I443" i="48"/>
  <c r="F443" i="48"/>
  <c r="E443" i="48"/>
  <c r="B443" i="48"/>
  <c r="J442" i="48"/>
  <c r="I442" i="48"/>
  <c r="E442" i="48"/>
  <c r="F442" i="48" s="1"/>
  <c r="B442" i="48"/>
  <c r="J441" i="48"/>
  <c r="I441" i="48"/>
  <c r="F441" i="48"/>
  <c r="E441" i="48"/>
  <c r="B441" i="48"/>
  <c r="J440" i="48"/>
  <c r="I440" i="48"/>
  <c r="E440" i="48"/>
  <c r="F440" i="48" s="1"/>
  <c r="B440" i="48"/>
  <c r="J439" i="48"/>
  <c r="I439" i="48"/>
  <c r="F439" i="48"/>
  <c r="E439" i="48"/>
  <c r="B439" i="48"/>
  <c r="J438" i="48"/>
  <c r="I438" i="48"/>
  <c r="E438" i="48"/>
  <c r="F438" i="48" s="1"/>
  <c r="B438" i="48"/>
  <c r="J437" i="48"/>
  <c r="I437" i="48"/>
  <c r="F437" i="48"/>
  <c r="E437" i="48"/>
  <c r="B437" i="48"/>
  <c r="J436" i="48"/>
  <c r="I436" i="48"/>
  <c r="E436" i="48"/>
  <c r="F436" i="48" s="1"/>
  <c r="B436" i="48"/>
  <c r="J435" i="48"/>
  <c r="I435" i="48"/>
  <c r="E435" i="48"/>
  <c r="F435" i="48" s="1"/>
  <c r="B435" i="48"/>
  <c r="J434" i="48"/>
  <c r="I434" i="48"/>
  <c r="E434" i="48"/>
  <c r="F434" i="48" s="1"/>
  <c r="B434" i="48"/>
  <c r="J433" i="48"/>
  <c r="I433" i="48"/>
  <c r="F433" i="48"/>
  <c r="E433" i="48"/>
  <c r="B433" i="48"/>
  <c r="J432" i="48"/>
  <c r="I432" i="48"/>
  <c r="E432" i="48"/>
  <c r="F432" i="48" s="1"/>
  <c r="B432" i="48"/>
  <c r="J431" i="48"/>
  <c r="I431" i="48"/>
  <c r="F431" i="48"/>
  <c r="E431" i="48"/>
  <c r="B431" i="48"/>
  <c r="J430" i="48"/>
  <c r="I430" i="48"/>
  <c r="E430" i="48"/>
  <c r="F430" i="48" s="1"/>
  <c r="B430" i="48"/>
  <c r="J429" i="48"/>
  <c r="I429" i="48"/>
  <c r="E429" i="48"/>
  <c r="F429" i="48" s="1"/>
  <c r="B429" i="48"/>
  <c r="Q401" i="48"/>
  <c r="Q428" i="48"/>
  <c r="F428" i="48"/>
  <c r="J428" i="48"/>
  <c r="I428" i="48"/>
  <c r="E428" i="48"/>
  <c r="B428" i="48"/>
  <c r="M428" i="48"/>
  <c r="A452" i="48" s="1"/>
  <c r="A425" i="48"/>
  <c r="A416" i="48"/>
  <c r="A413" i="48"/>
  <c r="A404" i="48"/>
  <c r="A401" i="48"/>
  <c r="J427" i="48"/>
  <c r="I427" i="48"/>
  <c r="E427" i="48"/>
  <c r="F427" i="48" s="1"/>
  <c r="B427" i="48"/>
  <c r="J426" i="48"/>
  <c r="I426" i="48"/>
  <c r="F426" i="48"/>
  <c r="E426" i="48"/>
  <c r="B426" i="48"/>
  <c r="J425" i="48"/>
  <c r="I425" i="48"/>
  <c r="F425" i="48"/>
  <c r="E425" i="48"/>
  <c r="B425" i="48"/>
  <c r="J424" i="48"/>
  <c r="I424" i="48"/>
  <c r="F424" i="48"/>
  <c r="E424" i="48"/>
  <c r="B424" i="48"/>
  <c r="J423" i="48"/>
  <c r="I423" i="48"/>
  <c r="E423" i="48"/>
  <c r="F423" i="48" s="1"/>
  <c r="B423" i="48"/>
  <c r="J422" i="48"/>
  <c r="I422" i="48"/>
  <c r="F422" i="48"/>
  <c r="E422" i="48"/>
  <c r="B422" i="48"/>
  <c r="J421" i="48"/>
  <c r="I421" i="48"/>
  <c r="E421" i="48"/>
  <c r="F421" i="48" s="1"/>
  <c r="B421" i="48"/>
  <c r="J420" i="48"/>
  <c r="I420" i="48"/>
  <c r="E420" i="48"/>
  <c r="F420" i="48" s="1"/>
  <c r="B420" i="48"/>
  <c r="J419" i="48"/>
  <c r="I419" i="48"/>
  <c r="E419" i="48"/>
  <c r="F419" i="48" s="1"/>
  <c r="B419" i="48"/>
  <c r="J418" i="48"/>
  <c r="I418" i="48"/>
  <c r="E418" i="48"/>
  <c r="F418" i="48" s="1"/>
  <c r="B418" i="48"/>
  <c r="J417" i="48"/>
  <c r="I417" i="48"/>
  <c r="E417" i="48"/>
  <c r="F417" i="48" s="1"/>
  <c r="B417" i="48"/>
  <c r="J416" i="48"/>
  <c r="I416" i="48"/>
  <c r="F416" i="48"/>
  <c r="E416" i="48"/>
  <c r="B416" i="48"/>
  <c r="J415" i="48"/>
  <c r="I415" i="48"/>
  <c r="E415" i="48"/>
  <c r="F415" i="48" s="1"/>
  <c r="B415" i="48"/>
  <c r="J414" i="48"/>
  <c r="I414" i="48"/>
  <c r="E414" i="48"/>
  <c r="F414" i="48" s="1"/>
  <c r="B414" i="48"/>
  <c r="J413" i="48"/>
  <c r="I413" i="48"/>
  <c r="F413" i="48"/>
  <c r="E413" i="48"/>
  <c r="B413" i="48"/>
  <c r="J412" i="48"/>
  <c r="I412" i="48"/>
  <c r="F412" i="48"/>
  <c r="E412" i="48"/>
  <c r="B412" i="48"/>
  <c r="J411" i="48"/>
  <c r="I411" i="48"/>
  <c r="E411" i="48"/>
  <c r="F411" i="48" s="1"/>
  <c r="B411" i="48"/>
  <c r="J410" i="48"/>
  <c r="I410" i="48"/>
  <c r="F410" i="48"/>
  <c r="E410" i="48"/>
  <c r="B410" i="48"/>
  <c r="J409" i="48"/>
  <c r="I409" i="48"/>
  <c r="E409" i="48"/>
  <c r="F409" i="48" s="1"/>
  <c r="B409" i="48"/>
  <c r="J408" i="48"/>
  <c r="I408" i="48"/>
  <c r="E408" i="48"/>
  <c r="F408" i="48" s="1"/>
  <c r="B408" i="48"/>
  <c r="J407" i="48"/>
  <c r="I407" i="48"/>
  <c r="E407" i="48"/>
  <c r="F407" i="48" s="1"/>
  <c r="B407" i="48"/>
  <c r="J406" i="48"/>
  <c r="I406" i="48"/>
  <c r="E406" i="48"/>
  <c r="F406" i="48" s="1"/>
  <c r="B406" i="48"/>
  <c r="J405" i="48"/>
  <c r="I405" i="48"/>
  <c r="E405" i="48"/>
  <c r="F405" i="48" s="1"/>
  <c r="B405" i="48"/>
  <c r="J404" i="48"/>
  <c r="I404" i="48"/>
  <c r="F404" i="48"/>
  <c r="E404" i="48"/>
  <c r="B404" i="48"/>
  <c r="J403" i="48"/>
  <c r="I403" i="48"/>
  <c r="E403" i="48"/>
  <c r="F403" i="48" s="1"/>
  <c r="B403" i="48"/>
  <c r="J402" i="48"/>
  <c r="I402" i="48"/>
  <c r="F402" i="48"/>
  <c r="E402" i="48"/>
  <c r="B402" i="48"/>
  <c r="F401" i="48"/>
  <c r="J401" i="48"/>
  <c r="I401" i="48"/>
  <c r="E401" i="48"/>
  <c r="B401" i="48"/>
  <c r="M401" i="48"/>
  <c r="A423" i="48" s="1"/>
  <c r="B400" i="48"/>
  <c r="B399" i="48"/>
  <c r="B398" i="48"/>
  <c r="B397" i="48"/>
  <c r="A397" i="48"/>
  <c r="B396" i="48"/>
  <c r="B395" i="48"/>
  <c r="B394" i="48"/>
  <c r="B393" i="48"/>
  <c r="B392" i="48"/>
  <c r="B391" i="48"/>
  <c r="B390" i="48"/>
  <c r="B389" i="48"/>
  <c r="A389" i="48"/>
  <c r="B388" i="48"/>
  <c r="B387" i="48"/>
  <c r="B386" i="48"/>
  <c r="B385" i="48"/>
  <c r="A385" i="48"/>
  <c r="B384" i="48"/>
  <c r="B383" i="48"/>
  <c r="B382" i="48"/>
  <c r="M382" i="48"/>
  <c r="A394" i="48" s="1"/>
  <c r="E381" i="48"/>
  <c r="F381" i="48" s="1"/>
  <c r="B381" i="48"/>
  <c r="E380" i="48"/>
  <c r="F380" i="48" s="1"/>
  <c r="B380" i="48"/>
  <c r="E379" i="48"/>
  <c r="F379" i="48" s="1"/>
  <c r="B379" i="48"/>
  <c r="E378" i="48"/>
  <c r="F378" i="48" s="1"/>
  <c r="B378" i="48"/>
  <c r="E377" i="48"/>
  <c r="F377" i="48" s="1"/>
  <c r="B377" i="48"/>
  <c r="E376" i="48"/>
  <c r="F376" i="48" s="1"/>
  <c r="B376" i="48"/>
  <c r="E375" i="48"/>
  <c r="F375" i="48" s="1"/>
  <c r="B375" i="48"/>
  <c r="E374" i="48"/>
  <c r="F374" i="48" s="1"/>
  <c r="B374" i="48"/>
  <c r="E373" i="48"/>
  <c r="F373" i="48" s="1"/>
  <c r="B373" i="48"/>
  <c r="E372" i="48"/>
  <c r="F372" i="48" s="1"/>
  <c r="B372" i="48"/>
  <c r="E371" i="48"/>
  <c r="F371" i="48" s="1"/>
  <c r="B371" i="48"/>
  <c r="E370" i="48"/>
  <c r="F370" i="48" s="1"/>
  <c r="B370" i="48"/>
  <c r="E369" i="48"/>
  <c r="F369" i="48" s="1"/>
  <c r="B369" i="48"/>
  <c r="E368" i="48"/>
  <c r="F368" i="48" s="1"/>
  <c r="B368" i="48"/>
  <c r="E367" i="48"/>
  <c r="F367" i="48" s="1"/>
  <c r="B367" i="48"/>
  <c r="M367" i="48"/>
  <c r="A380" i="48" s="1"/>
  <c r="E366" i="48"/>
  <c r="F366" i="48" s="1"/>
  <c r="B366" i="48"/>
  <c r="E365" i="48"/>
  <c r="F365" i="48" s="1"/>
  <c r="B365" i="48"/>
  <c r="E364" i="48"/>
  <c r="F364" i="48" s="1"/>
  <c r="B364" i="48"/>
  <c r="E363" i="48"/>
  <c r="F363" i="48" s="1"/>
  <c r="B363" i="48"/>
  <c r="E362" i="48"/>
  <c r="F362" i="48" s="1"/>
  <c r="B362" i="48"/>
  <c r="E361" i="48"/>
  <c r="F361" i="48" s="1"/>
  <c r="B361" i="48"/>
  <c r="E360" i="48"/>
  <c r="F360" i="48" s="1"/>
  <c r="B360" i="48"/>
  <c r="E359" i="48"/>
  <c r="F359" i="48" s="1"/>
  <c r="B359" i="48"/>
  <c r="E358" i="48"/>
  <c r="F358" i="48" s="1"/>
  <c r="B358" i="48"/>
  <c r="E357" i="48"/>
  <c r="F357" i="48" s="1"/>
  <c r="B357" i="48"/>
  <c r="E356" i="48"/>
  <c r="F356" i="48" s="1"/>
  <c r="B356" i="48"/>
  <c r="E355" i="48"/>
  <c r="F355" i="48" s="1"/>
  <c r="B355" i="48"/>
  <c r="E354" i="48"/>
  <c r="F354" i="48" s="1"/>
  <c r="B354" i="48"/>
  <c r="E353" i="48"/>
  <c r="F353" i="48" s="1"/>
  <c r="B353" i="48"/>
  <c r="E352" i="48"/>
  <c r="F352" i="48" s="1"/>
  <c r="B352" i="48"/>
  <c r="M352" i="48"/>
  <c r="A366" i="48" s="1"/>
  <c r="B351" i="48"/>
  <c r="B350" i="48"/>
  <c r="B349" i="48"/>
  <c r="B348" i="48"/>
  <c r="B347" i="48"/>
  <c r="B346" i="48"/>
  <c r="B345" i="48"/>
  <c r="B344" i="48"/>
  <c r="B343" i="48"/>
  <c r="B342" i="48"/>
  <c r="B341" i="48"/>
  <c r="B340" i="48"/>
  <c r="B339" i="48"/>
  <c r="B338" i="48"/>
  <c r="B337" i="48"/>
  <c r="M337" i="48"/>
  <c r="A351" i="48" s="1"/>
  <c r="B336" i="48"/>
  <c r="B335" i="48"/>
  <c r="B334" i="48"/>
  <c r="B333" i="48"/>
  <c r="B332" i="48"/>
  <c r="B331" i="48"/>
  <c r="B330" i="48"/>
  <c r="B329" i="48"/>
  <c r="B328" i="48"/>
  <c r="B327" i="48"/>
  <c r="B326" i="48"/>
  <c r="B325" i="48"/>
  <c r="B324" i="48"/>
  <c r="B323" i="48"/>
  <c r="B322" i="48"/>
  <c r="M322" i="48"/>
  <c r="A336" i="48" s="1"/>
  <c r="E321" i="48"/>
  <c r="F321" i="48" s="1"/>
  <c r="B321" i="48"/>
  <c r="E320" i="48"/>
  <c r="F320" i="48" s="1"/>
  <c r="B320" i="48"/>
  <c r="E319" i="48"/>
  <c r="F319" i="48" s="1"/>
  <c r="B319" i="48"/>
  <c r="E318" i="48"/>
  <c r="F318" i="48" s="1"/>
  <c r="B318" i="48"/>
  <c r="E317" i="48"/>
  <c r="F317" i="48" s="1"/>
  <c r="B317" i="48"/>
  <c r="E316" i="48"/>
  <c r="F316" i="48" s="1"/>
  <c r="B316" i="48"/>
  <c r="E315" i="48"/>
  <c r="F315" i="48" s="1"/>
  <c r="B315" i="48"/>
  <c r="E314" i="48"/>
  <c r="F314" i="48" s="1"/>
  <c r="B314" i="48"/>
  <c r="E313" i="48"/>
  <c r="F313" i="48" s="1"/>
  <c r="B313" i="48"/>
  <c r="E312" i="48"/>
  <c r="F312" i="48" s="1"/>
  <c r="B312" i="48"/>
  <c r="E311" i="48"/>
  <c r="F311" i="48" s="1"/>
  <c r="B311" i="48"/>
  <c r="E310" i="48"/>
  <c r="F310" i="48" s="1"/>
  <c r="B310" i="48"/>
  <c r="E309" i="48"/>
  <c r="F309" i="48" s="1"/>
  <c r="B309" i="48"/>
  <c r="E308" i="48"/>
  <c r="F308" i="48" s="1"/>
  <c r="B308" i="48"/>
  <c r="E307" i="48"/>
  <c r="F307" i="48" s="1"/>
  <c r="B307" i="48"/>
  <c r="M307" i="48"/>
  <c r="A320" i="48" s="1"/>
  <c r="E306" i="48"/>
  <c r="F306" i="48" s="1"/>
  <c r="B306" i="48"/>
  <c r="E305" i="48"/>
  <c r="F305" i="48" s="1"/>
  <c r="B305" i="48"/>
  <c r="E304" i="48"/>
  <c r="F304" i="48" s="1"/>
  <c r="B304" i="48"/>
  <c r="E303" i="48"/>
  <c r="F303" i="48" s="1"/>
  <c r="B303" i="48"/>
  <c r="E302" i="48"/>
  <c r="F302" i="48" s="1"/>
  <c r="B302" i="48"/>
  <c r="E301" i="48"/>
  <c r="F301" i="48" s="1"/>
  <c r="B301" i="48"/>
  <c r="E300" i="48"/>
  <c r="F300" i="48" s="1"/>
  <c r="B300" i="48"/>
  <c r="E299" i="48"/>
  <c r="F299" i="48" s="1"/>
  <c r="B299" i="48"/>
  <c r="E298" i="48"/>
  <c r="F298" i="48" s="1"/>
  <c r="B298" i="48"/>
  <c r="E297" i="48"/>
  <c r="F297" i="48" s="1"/>
  <c r="B297" i="48"/>
  <c r="E296" i="48"/>
  <c r="F296" i="48" s="1"/>
  <c r="B296" i="48"/>
  <c r="E295" i="48"/>
  <c r="F295" i="48" s="1"/>
  <c r="B295" i="48"/>
  <c r="E294" i="48"/>
  <c r="F294" i="48" s="1"/>
  <c r="B294" i="48"/>
  <c r="E293" i="48"/>
  <c r="F293" i="48" s="1"/>
  <c r="B293" i="48"/>
  <c r="E292" i="48"/>
  <c r="F292" i="48" s="1"/>
  <c r="B292" i="48"/>
  <c r="M292" i="48"/>
  <c r="A304" i="48" s="1"/>
  <c r="B291" i="48"/>
  <c r="B290" i="48"/>
  <c r="B289" i="48"/>
  <c r="B288" i="48"/>
  <c r="B287" i="48"/>
  <c r="B286" i="48"/>
  <c r="B285" i="48"/>
  <c r="B284" i="48"/>
  <c r="B283" i="48"/>
  <c r="B282" i="48"/>
  <c r="B281" i="48"/>
  <c r="B280" i="48"/>
  <c r="B279" i="48"/>
  <c r="B278" i="48"/>
  <c r="B277" i="48"/>
  <c r="M277" i="48"/>
  <c r="A290" i="48" s="1"/>
  <c r="B276" i="48"/>
  <c r="B275" i="48"/>
  <c r="B274" i="48"/>
  <c r="B273" i="48"/>
  <c r="B272" i="48"/>
  <c r="B271" i="48"/>
  <c r="B270" i="48"/>
  <c r="B269" i="48"/>
  <c r="B268" i="48"/>
  <c r="B267" i="48"/>
  <c r="B266" i="48"/>
  <c r="B265" i="48"/>
  <c r="B264" i="48"/>
  <c r="B263" i="48"/>
  <c r="B262" i="48"/>
  <c r="M262" i="48"/>
  <c r="A274" i="48" s="1"/>
  <c r="B261" i="48"/>
  <c r="B260" i="48"/>
  <c r="B259" i="48"/>
  <c r="B258" i="48"/>
  <c r="B257" i="48"/>
  <c r="B256" i="48"/>
  <c r="B255" i="48"/>
  <c r="B254" i="48"/>
  <c r="B253" i="48"/>
  <c r="B252" i="48"/>
  <c r="B251" i="48"/>
  <c r="B250" i="48"/>
  <c r="B249" i="48"/>
  <c r="B248" i="48"/>
  <c r="B247" i="48"/>
  <c r="B246" i="48"/>
  <c r="B245" i="48"/>
  <c r="B244" i="48"/>
  <c r="B243" i="48"/>
  <c r="B242" i="48"/>
  <c r="B241" i="48"/>
  <c r="B240" i="48"/>
  <c r="B239" i="48"/>
  <c r="B238" i="48"/>
  <c r="B237" i="48"/>
  <c r="B236" i="48"/>
  <c r="B235" i="48"/>
  <c r="M235" i="48"/>
  <c r="A254" i="48" s="1"/>
  <c r="E234" i="48"/>
  <c r="F234" i="48" s="1"/>
  <c r="B234" i="48"/>
  <c r="E233" i="48"/>
  <c r="F233" i="48" s="1"/>
  <c r="B233" i="48"/>
  <c r="E232" i="48"/>
  <c r="F232" i="48" s="1"/>
  <c r="B232" i="48"/>
  <c r="E231" i="48"/>
  <c r="F231" i="48" s="1"/>
  <c r="B231" i="48"/>
  <c r="E230" i="48"/>
  <c r="F230" i="48" s="1"/>
  <c r="B230" i="48"/>
  <c r="E229" i="48"/>
  <c r="F229" i="48" s="1"/>
  <c r="B229" i="48"/>
  <c r="E228" i="48"/>
  <c r="F228" i="48" s="1"/>
  <c r="B228" i="48"/>
  <c r="E227" i="48"/>
  <c r="F227" i="48" s="1"/>
  <c r="B227" i="48"/>
  <c r="E226" i="48"/>
  <c r="F226" i="48" s="1"/>
  <c r="B226" i="48"/>
  <c r="E225" i="48"/>
  <c r="F225" i="48" s="1"/>
  <c r="B225" i="48"/>
  <c r="E224" i="48"/>
  <c r="F224" i="48" s="1"/>
  <c r="B224" i="48"/>
  <c r="E223" i="48"/>
  <c r="F223" i="48" s="1"/>
  <c r="B223" i="48"/>
  <c r="E222" i="48"/>
  <c r="F222" i="48" s="1"/>
  <c r="B222" i="48"/>
  <c r="E221" i="48"/>
  <c r="F221" i="48" s="1"/>
  <c r="B221" i="48"/>
  <c r="E220" i="48"/>
  <c r="F220" i="48" s="1"/>
  <c r="B220" i="48"/>
  <c r="E219" i="48"/>
  <c r="F219" i="48" s="1"/>
  <c r="B219" i="48"/>
  <c r="E218" i="48"/>
  <c r="F218" i="48" s="1"/>
  <c r="B218" i="48"/>
  <c r="E217" i="48"/>
  <c r="F217" i="48" s="1"/>
  <c r="B217" i="48"/>
  <c r="E216" i="48"/>
  <c r="F216" i="48" s="1"/>
  <c r="B216" i="48"/>
  <c r="E215" i="48"/>
  <c r="F215" i="48" s="1"/>
  <c r="B215" i="48"/>
  <c r="E214" i="48"/>
  <c r="F214" i="48" s="1"/>
  <c r="B214" i="48"/>
  <c r="E213" i="48"/>
  <c r="F213" i="48" s="1"/>
  <c r="B213" i="48"/>
  <c r="E212" i="48"/>
  <c r="F212" i="48" s="1"/>
  <c r="B212" i="48"/>
  <c r="E211" i="48"/>
  <c r="F211" i="48" s="1"/>
  <c r="B211" i="48"/>
  <c r="E210" i="48"/>
  <c r="F210" i="48" s="1"/>
  <c r="B210" i="48"/>
  <c r="E209" i="48"/>
  <c r="F209" i="48" s="1"/>
  <c r="B209" i="48"/>
  <c r="E208" i="48"/>
  <c r="F208" i="48" s="1"/>
  <c r="B208" i="48"/>
  <c r="M208" i="48"/>
  <c r="A208" i="48" s="1"/>
  <c r="E207" i="48"/>
  <c r="F207" i="48" s="1"/>
  <c r="B207" i="48"/>
  <c r="E206" i="48"/>
  <c r="F206" i="48" s="1"/>
  <c r="B206" i="48"/>
  <c r="E205" i="48"/>
  <c r="F205" i="48" s="1"/>
  <c r="B205" i="48"/>
  <c r="E204" i="48"/>
  <c r="F204" i="48" s="1"/>
  <c r="B204" i="48"/>
  <c r="E203" i="48"/>
  <c r="F203" i="48" s="1"/>
  <c r="B203" i="48"/>
  <c r="E202" i="48"/>
  <c r="F202" i="48" s="1"/>
  <c r="B202" i="48"/>
  <c r="E201" i="48"/>
  <c r="F201" i="48" s="1"/>
  <c r="B201" i="48"/>
  <c r="E200" i="48"/>
  <c r="F200" i="48" s="1"/>
  <c r="B200" i="48"/>
  <c r="E199" i="48"/>
  <c r="F199" i="48" s="1"/>
  <c r="B199" i="48"/>
  <c r="E198" i="48"/>
  <c r="F198" i="48" s="1"/>
  <c r="B198" i="48"/>
  <c r="E197" i="48"/>
  <c r="F197" i="48" s="1"/>
  <c r="B197" i="48"/>
  <c r="E196" i="48"/>
  <c r="F196" i="48" s="1"/>
  <c r="B196" i="48"/>
  <c r="E195" i="48"/>
  <c r="F195" i="48" s="1"/>
  <c r="B195" i="48"/>
  <c r="E194" i="48"/>
  <c r="F194" i="48" s="1"/>
  <c r="B194" i="48"/>
  <c r="E193" i="48"/>
  <c r="F193" i="48" s="1"/>
  <c r="B193" i="48"/>
  <c r="E192" i="48"/>
  <c r="F192" i="48" s="1"/>
  <c r="B192" i="48"/>
  <c r="E191" i="48"/>
  <c r="F191" i="48" s="1"/>
  <c r="B191" i="48"/>
  <c r="E190" i="48"/>
  <c r="F190" i="48" s="1"/>
  <c r="B190" i="48"/>
  <c r="E189" i="48"/>
  <c r="F189" i="48" s="1"/>
  <c r="B189" i="48"/>
  <c r="E188" i="48"/>
  <c r="F188" i="48" s="1"/>
  <c r="B188" i="48"/>
  <c r="E187" i="48"/>
  <c r="F187" i="48" s="1"/>
  <c r="B187" i="48"/>
  <c r="E186" i="48"/>
  <c r="F186" i="48" s="1"/>
  <c r="B186" i="48"/>
  <c r="E185" i="48"/>
  <c r="F185" i="48" s="1"/>
  <c r="B185" i="48"/>
  <c r="E184" i="48"/>
  <c r="F184" i="48" s="1"/>
  <c r="B184" i="48"/>
  <c r="E183" i="48"/>
  <c r="F183" i="48" s="1"/>
  <c r="B183" i="48"/>
  <c r="E182" i="48"/>
  <c r="F182" i="48" s="1"/>
  <c r="B182" i="48"/>
  <c r="E181" i="48"/>
  <c r="F181" i="48" s="1"/>
  <c r="B181" i="48"/>
  <c r="M181" i="48"/>
  <c r="A204" i="48" s="1"/>
  <c r="E180" i="48"/>
  <c r="F180" i="48" s="1"/>
  <c r="B180" i="48"/>
  <c r="E179" i="48"/>
  <c r="F179" i="48" s="1"/>
  <c r="B179" i="48"/>
  <c r="E178" i="48"/>
  <c r="F178" i="48" s="1"/>
  <c r="B178" i="48"/>
  <c r="E177" i="48"/>
  <c r="F177" i="48" s="1"/>
  <c r="B177" i="48"/>
  <c r="E176" i="48"/>
  <c r="F176" i="48" s="1"/>
  <c r="B176" i="48"/>
  <c r="E175" i="48"/>
  <c r="F175" i="48" s="1"/>
  <c r="B175" i="48"/>
  <c r="E174" i="48"/>
  <c r="F174" i="48" s="1"/>
  <c r="B174" i="48"/>
  <c r="E173" i="48"/>
  <c r="F173" i="48" s="1"/>
  <c r="B173" i="48"/>
  <c r="E172" i="48"/>
  <c r="F172" i="48" s="1"/>
  <c r="B172" i="48"/>
  <c r="E171" i="48"/>
  <c r="F171" i="48" s="1"/>
  <c r="B171" i="48"/>
  <c r="E170" i="48"/>
  <c r="F170" i="48" s="1"/>
  <c r="B170" i="48"/>
  <c r="E169" i="48"/>
  <c r="F169" i="48" s="1"/>
  <c r="B169" i="48"/>
  <c r="E168" i="48"/>
  <c r="F168" i="48" s="1"/>
  <c r="B168" i="48"/>
  <c r="E167" i="48"/>
  <c r="F167" i="48" s="1"/>
  <c r="B167" i="48"/>
  <c r="E166" i="48"/>
  <c r="F166" i="48" s="1"/>
  <c r="B166" i="48"/>
  <c r="E165" i="48"/>
  <c r="F165" i="48" s="1"/>
  <c r="B165" i="48"/>
  <c r="E164" i="48"/>
  <c r="F164" i="48" s="1"/>
  <c r="B164" i="48"/>
  <c r="E163" i="48"/>
  <c r="F163" i="48" s="1"/>
  <c r="B163" i="48"/>
  <c r="E162" i="48"/>
  <c r="F162" i="48" s="1"/>
  <c r="B162" i="48"/>
  <c r="E161" i="48"/>
  <c r="F161" i="48" s="1"/>
  <c r="B161" i="48"/>
  <c r="E160" i="48"/>
  <c r="F160" i="48" s="1"/>
  <c r="B160" i="48"/>
  <c r="E159" i="48"/>
  <c r="F159" i="48" s="1"/>
  <c r="B159" i="48"/>
  <c r="E158" i="48"/>
  <c r="F158" i="48" s="1"/>
  <c r="B158" i="48"/>
  <c r="E157" i="48"/>
  <c r="F157" i="48" s="1"/>
  <c r="B157" i="48"/>
  <c r="E156" i="48"/>
  <c r="F156" i="48" s="1"/>
  <c r="B156" i="48"/>
  <c r="E155" i="48"/>
  <c r="F155" i="48" s="1"/>
  <c r="B155" i="48"/>
  <c r="E154" i="48"/>
  <c r="F154" i="48" s="1"/>
  <c r="B154" i="48"/>
  <c r="M154" i="48"/>
  <c r="A178" i="48" s="1"/>
  <c r="B153" i="48"/>
  <c r="B152" i="48"/>
  <c r="B151" i="48"/>
  <c r="B150" i="48"/>
  <c r="B149" i="48"/>
  <c r="B148" i="48"/>
  <c r="B147" i="48"/>
  <c r="B146" i="48"/>
  <c r="B145" i="48"/>
  <c r="B144" i="48"/>
  <c r="B143" i="48"/>
  <c r="B142" i="48"/>
  <c r="B141" i="48"/>
  <c r="B140" i="48"/>
  <c r="B139" i="48"/>
  <c r="B138" i="48"/>
  <c r="M138" i="48"/>
  <c r="A141" i="48" s="1"/>
  <c r="E137" i="48"/>
  <c r="B137" i="48"/>
  <c r="B136" i="48"/>
  <c r="B135" i="48"/>
  <c r="B134" i="48"/>
  <c r="B133" i="48"/>
  <c r="B132" i="48"/>
  <c r="B131" i="48"/>
  <c r="B130" i="48"/>
  <c r="B129" i="48"/>
  <c r="B128" i="48"/>
  <c r="B127" i="48"/>
  <c r="B126" i="48"/>
  <c r="B125" i="48"/>
  <c r="B124" i="48"/>
  <c r="B123" i="48"/>
  <c r="B122" i="48"/>
  <c r="M122" i="48"/>
  <c r="A137" i="48" s="1"/>
  <c r="B121" i="48"/>
  <c r="B120" i="48"/>
  <c r="B119" i="48"/>
  <c r="B118" i="48"/>
  <c r="B117" i="48"/>
  <c r="B116" i="48"/>
  <c r="B115" i="48"/>
  <c r="B114" i="48"/>
  <c r="B113" i="48"/>
  <c r="B112" i="48"/>
  <c r="B111" i="48"/>
  <c r="B110" i="48"/>
  <c r="B109" i="48"/>
  <c r="B108" i="48"/>
  <c r="B107" i="48"/>
  <c r="B106" i="48"/>
  <c r="M106" i="48"/>
  <c r="A120" i="48" s="1"/>
  <c r="B105" i="48"/>
  <c r="B104" i="48"/>
  <c r="B103" i="48"/>
  <c r="B102" i="48"/>
  <c r="B101" i="48"/>
  <c r="B100" i="48"/>
  <c r="B99" i="48"/>
  <c r="B98" i="48"/>
  <c r="B97" i="48"/>
  <c r="B96" i="48"/>
  <c r="B95" i="48"/>
  <c r="B94" i="48"/>
  <c r="B93" i="48"/>
  <c r="B92" i="48"/>
  <c r="B91" i="48"/>
  <c r="B90" i="48"/>
  <c r="B89" i="48"/>
  <c r="B88" i="48"/>
  <c r="B87" i="48"/>
  <c r="B86" i="48"/>
  <c r="B85" i="48"/>
  <c r="B84" i="48"/>
  <c r="B83" i="48"/>
  <c r="B82" i="48"/>
  <c r="M82" i="48"/>
  <c r="A82" i="48" s="1"/>
  <c r="E81" i="48"/>
  <c r="B81" i="48"/>
  <c r="B80" i="48"/>
  <c r="B79" i="48"/>
  <c r="B78" i="48"/>
  <c r="B77" i="48"/>
  <c r="B76" i="48"/>
  <c r="B75" i="48"/>
  <c r="B74" i="48"/>
  <c r="B73" i="48"/>
  <c r="B72" i="48"/>
  <c r="B71" i="48"/>
  <c r="B70" i="48"/>
  <c r="B69" i="48"/>
  <c r="B68" i="48"/>
  <c r="B67" i="48"/>
  <c r="B66" i="48"/>
  <c r="B65" i="48"/>
  <c r="B64" i="48"/>
  <c r="B63" i="48"/>
  <c r="B62" i="48"/>
  <c r="B61" i="48"/>
  <c r="B60" i="48"/>
  <c r="B59" i="48"/>
  <c r="B58" i="48"/>
  <c r="B57" i="48"/>
  <c r="M57" i="48"/>
  <c r="A80" i="48" s="1"/>
  <c r="B56" i="48"/>
  <c r="B55" i="48"/>
  <c r="B54" i="48"/>
  <c r="B53" i="48"/>
  <c r="B52" i="48"/>
  <c r="B51" i="48"/>
  <c r="B50" i="48"/>
  <c r="B49" i="48"/>
  <c r="B48" i="48"/>
  <c r="B47" i="48"/>
  <c r="B46" i="48"/>
  <c r="B45" i="48"/>
  <c r="B44" i="48"/>
  <c r="B43" i="48"/>
  <c r="B42" i="48"/>
  <c r="B41" i="48"/>
  <c r="B40" i="48"/>
  <c r="B39" i="48"/>
  <c r="B38" i="48"/>
  <c r="B37" i="48"/>
  <c r="B36" i="48"/>
  <c r="B35" i="48"/>
  <c r="B34" i="48"/>
  <c r="B33" i="48"/>
  <c r="B32" i="48"/>
  <c r="B31" i="48"/>
  <c r="B30" i="48"/>
  <c r="M30" i="48"/>
  <c r="A50" i="48" s="1"/>
  <c r="M24" i="48"/>
  <c r="A29" i="48"/>
  <c r="A28" i="48"/>
  <c r="A27" i="48"/>
  <c r="A26" i="48"/>
  <c r="A25" i="48"/>
  <c r="A24" i="48"/>
  <c r="B29" i="48"/>
  <c r="B28" i="48"/>
  <c r="B27" i="48"/>
  <c r="B26" i="48"/>
  <c r="B25" i="48"/>
  <c r="B24" i="48"/>
  <c r="A302" i="48" l="1"/>
  <c r="A296" i="48"/>
  <c r="A297" i="48"/>
  <c r="A303" i="48"/>
  <c r="A331" i="48"/>
  <c r="A347" i="48"/>
  <c r="A362" i="48"/>
  <c r="A392" i="48"/>
  <c r="A334" i="48"/>
  <c r="A325" i="48"/>
  <c r="A378" i="48"/>
  <c r="A327" i="48"/>
  <c r="A382" i="48"/>
  <c r="A383" i="48"/>
  <c r="A395" i="48"/>
  <c r="A163" i="48"/>
  <c r="A275" i="48"/>
  <c r="A267" i="48"/>
  <c r="A299" i="48"/>
  <c r="A305" i="48"/>
  <c r="A293" i="48"/>
  <c r="A294" i="48"/>
  <c r="A306" i="48"/>
  <c r="A300" i="48"/>
  <c r="A244" i="48"/>
  <c r="F162" i="34"/>
  <c r="A257" i="48"/>
  <c r="A154" i="48"/>
  <c r="A239" i="48"/>
  <c r="A250" i="48"/>
  <c r="A158" i="48"/>
  <c r="M81" i="48"/>
  <c r="A295" i="48"/>
  <c r="A298" i="48"/>
  <c r="A292" i="48"/>
  <c r="A301" i="48"/>
  <c r="A268" i="48"/>
  <c r="A276" i="48"/>
  <c r="A269" i="48"/>
  <c r="A262" i="48"/>
  <c r="A270" i="48"/>
  <c r="A263" i="48"/>
  <c r="A271" i="48"/>
  <c r="A264" i="48"/>
  <c r="A272" i="48"/>
  <c r="A265" i="48"/>
  <c r="A273" i="48"/>
  <c r="A266" i="48"/>
  <c r="E162" i="34"/>
  <c r="A241" i="48"/>
  <c r="A252" i="48"/>
  <c r="A322" i="48"/>
  <c r="A329" i="48"/>
  <c r="A349" i="48"/>
  <c r="A364" i="48"/>
  <c r="A373" i="48"/>
  <c r="A387" i="48"/>
  <c r="A399" i="48"/>
  <c r="A412" i="48"/>
  <c r="A424" i="48"/>
  <c r="A237" i="48"/>
  <c r="A248" i="48"/>
  <c r="A261" i="48"/>
  <c r="A345" i="48"/>
  <c r="A360" i="48"/>
  <c r="A371" i="48"/>
  <c r="A402" i="48"/>
  <c r="A414" i="48"/>
  <c r="A426" i="48"/>
  <c r="A453" i="48"/>
  <c r="A168" i="48"/>
  <c r="A209" i="48"/>
  <c r="A211" i="48"/>
  <c r="A213" i="48"/>
  <c r="A215" i="48"/>
  <c r="A217" i="48"/>
  <c r="A219" i="48"/>
  <c r="A221" i="48"/>
  <c r="A223" i="48"/>
  <c r="A225" i="48"/>
  <c r="A227" i="48"/>
  <c r="A229" i="48"/>
  <c r="A231" i="48"/>
  <c r="A233" i="48"/>
  <c r="A235" i="48"/>
  <c r="A246" i="48"/>
  <c r="A259" i="48"/>
  <c r="A277" i="48"/>
  <c r="A279" i="48"/>
  <c r="A281" i="48"/>
  <c r="A283" i="48"/>
  <c r="A285" i="48"/>
  <c r="A287" i="48"/>
  <c r="A289" i="48"/>
  <c r="A291" i="48"/>
  <c r="A332" i="48"/>
  <c r="A343" i="48"/>
  <c r="A358" i="48"/>
  <c r="A376" i="48"/>
  <c r="A390" i="48"/>
  <c r="A403" i="48"/>
  <c r="A415" i="48"/>
  <c r="A427" i="48"/>
  <c r="A429" i="48"/>
  <c r="A431" i="48"/>
  <c r="A433" i="48"/>
  <c r="A435" i="48"/>
  <c r="A437" i="48"/>
  <c r="A439" i="48"/>
  <c r="A441" i="48"/>
  <c r="A443" i="48"/>
  <c r="A445" i="48"/>
  <c r="A447" i="48"/>
  <c r="A449" i="48"/>
  <c r="A451" i="48"/>
  <c r="A341" i="48"/>
  <c r="A356" i="48"/>
  <c r="A369" i="48"/>
  <c r="A381" i="48"/>
  <c r="A189" i="48"/>
  <c r="A166" i="48"/>
  <c r="A242" i="48"/>
  <c r="A255" i="48"/>
  <c r="A307" i="48"/>
  <c r="A309" i="48"/>
  <c r="A311" i="48"/>
  <c r="A313" i="48"/>
  <c r="A315" i="48"/>
  <c r="A317" i="48"/>
  <c r="A319" i="48"/>
  <c r="A321" i="48"/>
  <c r="A330" i="48"/>
  <c r="A337" i="48"/>
  <c r="A339" i="48"/>
  <c r="A350" i="48"/>
  <c r="A352" i="48"/>
  <c r="A354" i="48"/>
  <c r="A365" i="48"/>
  <c r="A367" i="48"/>
  <c r="A374" i="48"/>
  <c r="A388" i="48"/>
  <c r="A400" i="48"/>
  <c r="A405" i="48"/>
  <c r="A417" i="48"/>
  <c r="A428" i="48"/>
  <c r="A455" i="48"/>
  <c r="A174" i="48"/>
  <c r="A240" i="48"/>
  <c r="A253" i="48"/>
  <c r="A323" i="48"/>
  <c r="A335" i="48"/>
  <c r="A348" i="48"/>
  <c r="A363" i="48"/>
  <c r="A379" i="48"/>
  <c r="A393" i="48"/>
  <c r="A406" i="48"/>
  <c r="A418" i="48"/>
  <c r="A456" i="48"/>
  <c r="A161" i="48"/>
  <c r="A238" i="48"/>
  <c r="A251" i="48"/>
  <c r="A328" i="48"/>
  <c r="A346" i="48"/>
  <c r="A361" i="48"/>
  <c r="A372" i="48"/>
  <c r="A386" i="48"/>
  <c r="A398" i="48"/>
  <c r="A407" i="48"/>
  <c r="A419" i="48"/>
  <c r="A454" i="48"/>
  <c r="A249" i="48"/>
  <c r="A260" i="48"/>
  <c r="A333" i="48"/>
  <c r="A344" i="48"/>
  <c r="A359" i="48"/>
  <c r="A377" i="48"/>
  <c r="A391" i="48"/>
  <c r="A408" i="48"/>
  <c r="A420" i="48"/>
  <c r="A172" i="48"/>
  <c r="A210" i="48"/>
  <c r="A212" i="48"/>
  <c r="A214" i="48"/>
  <c r="A216" i="48"/>
  <c r="A218" i="48"/>
  <c r="A220" i="48"/>
  <c r="A222" i="48"/>
  <c r="A224" i="48"/>
  <c r="A226" i="48"/>
  <c r="A228" i="48"/>
  <c r="A230" i="48"/>
  <c r="A232" i="48"/>
  <c r="A234" i="48"/>
  <c r="A236" i="48"/>
  <c r="A247" i="48"/>
  <c r="A258" i="48"/>
  <c r="A278" i="48"/>
  <c r="A280" i="48"/>
  <c r="A282" i="48"/>
  <c r="A284" i="48"/>
  <c r="A286" i="48"/>
  <c r="A288" i="48"/>
  <c r="A326" i="48"/>
  <c r="A342" i="48"/>
  <c r="A357" i="48"/>
  <c r="A370" i="48"/>
  <c r="A384" i="48"/>
  <c r="A396" i="48"/>
  <c r="A409" i="48"/>
  <c r="A421" i="48"/>
  <c r="A430" i="48"/>
  <c r="A432" i="48"/>
  <c r="A434" i="48"/>
  <c r="A436" i="48"/>
  <c r="A438" i="48"/>
  <c r="A440" i="48"/>
  <c r="A442" i="48"/>
  <c r="A444" i="48"/>
  <c r="A446" i="48"/>
  <c r="A448" i="48"/>
  <c r="A450" i="48"/>
  <c r="A245" i="48"/>
  <c r="A256" i="48"/>
  <c r="A340" i="48"/>
  <c r="A355" i="48"/>
  <c r="A375" i="48"/>
  <c r="A410" i="48"/>
  <c r="A422" i="48"/>
  <c r="A243" i="48"/>
  <c r="A308" i="48"/>
  <c r="A310" i="48"/>
  <c r="A312" i="48"/>
  <c r="A314" i="48"/>
  <c r="A316" i="48"/>
  <c r="A318" i="48"/>
  <c r="A324" i="48"/>
  <c r="A338" i="48"/>
  <c r="A353" i="48"/>
  <c r="A368" i="48"/>
  <c r="A411" i="48"/>
  <c r="A191" i="48"/>
  <c r="A202" i="48"/>
  <c r="A200" i="48"/>
  <c r="A156" i="48"/>
  <c r="A170" i="48"/>
  <c r="A187" i="48"/>
  <c r="A198" i="48"/>
  <c r="A181" i="48"/>
  <c r="A183" i="48"/>
  <c r="A194" i="48"/>
  <c r="A207" i="48"/>
  <c r="A185" i="48"/>
  <c r="A159" i="48"/>
  <c r="A175" i="48"/>
  <c r="A177" i="48"/>
  <c r="A179" i="48"/>
  <c r="A192" i="48"/>
  <c r="A205" i="48"/>
  <c r="A164" i="48"/>
  <c r="A173" i="48"/>
  <c r="A190" i="48"/>
  <c r="A203" i="48"/>
  <c r="A157" i="48"/>
  <c r="A171" i="48"/>
  <c r="A188" i="48"/>
  <c r="A201" i="48"/>
  <c r="A162" i="48"/>
  <c r="A169" i="48"/>
  <c r="A186" i="48"/>
  <c r="A199" i="48"/>
  <c r="A155" i="48"/>
  <c r="A167" i="48"/>
  <c r="A184" i="48"/>
  <c r="A197" i="48"/>
  <c r="A196" i="48"/>
  <c r="A160" i="48"/>
  <c r="A180" i="48"/>
  <c r="A182" i="48"/>
  <c r="A195" i="48"/>
  <c r="A206" i="48"/>
  <c r="A165" i="48"/>
  <c r="A176" i="48"/>
  <c r="A193" i="48"/>
  <c r="A143" i="48"/>
  <c r="A145" i="48"/>
  <c r="A63" i="48"/>
  <c r="A107" i="48"/>
  <c r="A139" i="48"/>
  <c r="A61" i="48"/>
  <c r="A147" i="48"/>
  <c r="A149" i="48"/>
  <c r="A151" i="48"/>
  <c r="A115" i="48"/>
  <c r="A138" i="48"/>
  <c r="A140" i="48"/>
  <c r="A142" i="48"/>
  <c r="A144" i="48"/>
  <c r="A146" i="48"/>
  <c r="A148" i="48"/>
  <c r="A150" i="48"/>
  <c r="A152" i="48"/>
  <c r="A153" i="48"/>
  <c r="A121" i="48"/>
  <c r="A113" i="48"/>
  <c r="A51" i="48"/>
  <c r="A83" i="48"/>
  <c r="A91" i="48"/>
  <c r="A99" i="48"/>
  <c r="A54" i="48"/>
  <c r="A85" i="48"/>
  <c r="A93" i="48"/>
  <c r="A101" i="48"/>
  <c r="A57" i="48"/>
  <c r="A109" i="48"/>
  <c r="A117" i="48"/>
  <c r="A87" i="48"/>
  <c r="A95" i="48"/>
  <c r="A103" i="48"/>
  <c r="A59" i="48"/>
  <c r="A111" i="48"/>
  <c r="A119" i="48"/>
  <c r="A53" i="48"/>
  <c r="A89" i="48"/>
  <c r="A97" i="48"/>
  <c r="A105" i="48"/>
  <c r="A65" i="48"/>
  <c r="A67" i="48"/>
  <c r="A71" i="48"/>
  <c r="A73" i="48"/>
  <c r="A77" i="48"/>
  <c r="A123" i="48"/>
  <c r="A125" i="48"/>
  <c r="A127" i="48"/>
  <c r="A129" i="48"/>
  <c r="A131" i="48"/>
  <c r="A133" i="48"/>
  <c r="A135" i="48"/>
  <c r="A84" i="48"/>
  <c r="A86" i="48"/>
  <c r="A88" i="48"/>
  <c r="A90" i="48"/>
  <c r="A92" i="48"/>
  <c r="A94" i="48"/>
  <c r="A96" i="48"/>
  <c r="A98" i="48"/>
  <c r="A100" i="48"/>
  <c r="A102" i="48"/>
  <c r="A104" i="48"/>
  <c r="A58" i="48"/>
  <c r="A60" i="48"/>
  <c r="A62" i="48"/>
  <c r="A64" i="48"/>
  <c r="A66" i="48"/>
  <c r="A68" i="48"/>
  <c r="A70" i="48"/>
  <c r="A72" i="48"/>
  <c r="A74" i="48"/>
  <c r="A76" i="48"/>
  <c r="A78" i="48"/>
  <c r="A106" i="48"/>
  <c r="A108" i="48"/>
  <c r="A110" i="48"/>
  <c r="A112" i="48"/>
  <c r="A114" i="48"/>
  <c r="A116" i="48"/>
  <c r="A118" i="48"/>
  <c r="A122" i="48"/>
  <c r="A124" i="48"/>
  <c r="A126" i="48"/>
  <c r="A128" i="48"/>
  <c r="A130" i="48"/>
  <c r="A132" i="48"/>
  <c r="A134" i="48"/>
  <c r="A136" i="48"/>
  <c r="A81" i="48"/>
  <c r="A69" i="48"/>
  <c r="A75" i="48"/>
  <c r="A79" i="48"/>
  <c r="A55" i="48"/>
  <c r="A31" i="48"/>
  <c r="A33" i="48"/>
  <c r="A35" i="48"/>
  <c r="A37" i="48"/>
  <c r="A39" i="48"/>
  <c r="A41" i="48"/>
  <c r="A43" i="48"/>
  <c r="A45" i="48"/>
  <c r="A47" i="48"/>
  <c r="A49" i="48"/>
  <c r="A56" i="48"/>
  <c r="A52" i="48"/>
  <c r="A30" i="48"/>
  <c r="A32" i="48"/>
  <c r="A34" i="48"/>
  <c r="A36" i="48"/>
  <c r="A38" i="48"/>
  <c r="A40" i="48"/>
  <c r="A42" i="48"/>
  <c r="A44" i="48"/>
  <c r="A46" i="48"/>
  <c r="A48" i="48"/>
  <c r="C119" i="36" l="1"/>
  <c r="E89" i="48" s="1"/>
  <c r="C120" i="36"/>
  <c r="E90" i="48" s="1"/>
  <c r="C121" i="36"/>
  <c r="E91" i="48" s="1"/>
  <c r="C122" i="36"/>
  <c r="E92" i="48" s="1"/>
  <c r="C123" i="36"/>
  <c r="E93" i="48" s="1"/>
  <c r="C124" i="36"/>
  <c r="E94" i="48" s="1"/>
  <c r="C125" i="36"/>
  <c r="E95" i="48" s="1"/>
  <c r="C118" i="36"/>
  <c r="E88" i="48" s="1"/>
  <c r="C113" i="36"/>
  <c r="E83" i="48" s="1"/>
  <c r="C114" i="36"/>
  <c r="E84" i="48" s="1"/>
  <c r="C115" i="36"/>
  <c r="E85" i="48" s="1"/>
  <c r="C116" i="36"/>
  <c r="E86" i="48" s="1"/>
  <c r="C112" i="36"/>
  <c r="E82" i="48" s="1"/>
  <c r="B54" i="41"/>
  <c r="D22" i="42"/>
  <c r="B32" i="41"/>
  <c r="C439" i="36"/>
  <c r="E236" i="48" s="1"/>
  <c r="F236" i="48" s="1"/>
  <c r="C440" i="36"/>
  <c r="E237" i="48" s="1"/>
  <c r="F237" i="48" s="1"/>
  <c r="C441" i="36"/>
  <c r="E238" i="48" s="1"/>
  <c r="F238" i="48" s="1"/>
  <c r="C442" i="36"/>
  <c r="E239" i="48" s="1"/>
  <c r="F239" i="48" s="1"/>
  <c r="C443" i="36"/>
  <c r="E240" i="48" s="1"/>
  <c r="F240" i="48" s="1"/>
  <c r="C444" i="36"/>
  <c r="E241" i="48" s="1"/>
  <c r="F241" i="48" s="1"/>
  <c r="C445" i="36"/>
  <c r="E242" i="48" s="1"/>
  <c r="F242" i="48" s="1"/>
  <c r="C446" i="36"/>
  <c r="E243" i="48" s="1"/>
  <c r="F243" i="48" s="1"/>
  <c r="C447" i="36"/>
  <c r="E244" i="48" s="1"/>
  <c r="F244" i="48" s="1"/>
  <c r="C448" i="36"/>
  <c r="E245" i="48" s="1"/>
  <c r="F245" i="48" s="1"/>
  <c r="C449" i="36"/>
  <c r="E246" i="48" s="1"/>
  <c r="F246" i="48" s="1"/>
  <c r="C450" i="36"/>
  <c r="E247" i="48" s="1"/>
  <c r="F247" i="48" s="1"/>
  <c r="C451" i="36"/>
  <c r="E248" i="48" s="1"/>
  <c r="F248" i="48" s="1"/>
  <c r="C452" i="36"/>
  <c r="E249" i="48" s="1"/>
  <c r="F249" i="48" s="1"/>
  <c r="C453" i="36"/>
  <c r="E250" i="48" s="1"/>
  <c r="F250" i="48" s="1"/>
  <c r="C454" i="36"/>
  <c r="E251" i="48" s="1"/>
  <c r="F251" i="48" s="1"/>
  <c r="C455" i="36"/>
  <c r="E252" i="48" s="1"/>
  <c r="F252" i="48" s="1"/>
  <c r="C456" i="36"/>
  <c r="E253" i="48" s="1"/>
  <c r="F253" i="48" s="1"/>
  <c r="C457" i="36"/>
  <c r="E254" i="48" s="1"/>
  <c r="F254" i="48" s="1"/>
  <c r="C458" i="36"/>
  <c r="E255" i="48" s="1"/>
  <c r="F255" i="48" s="1"/>
  <c r="C459" i="36"/>
  <c r="E256" i="48" s="1"/>
  <c r="F256" i="48" s="1"/>
  <c r="C460" i="36"/>
  <c r="E257" i="48" s="1"/>
  <c r="F257" i="48" s="1"/>
  <c r="C461" i="36"/>
  <c r="E258" i="48" s="1"/>
  <c r="F258" i="48" s="1"/>
  <c r="C462" i="36"/>
  <c r="E259" i="48" s="1"/>
  <c r="F259" i="48" s="1"/>
  <c r="C463" i="36"/>
  <c r="E260" i="48" s="1"/>
  <c r="F260" i="48" s="1"/>
  <c r="C464" i="36"/>
  <c r="E261" i="48" s="1"/>
  <c r="F261" i="48" s="1"/>
  <c r="C438" i="36"/>
  <c r="E235" i="48" l="1"/>
  <c r="F235" i="48" s="1"/>
  <c r="B34" i="41"/>
  <c r="B40" i="41" s="1"/>
  <c r="B33" i="41"/>
  <c r="C319" i="36"/>
  <c r="B319" i="36"/>
  <c r="C318" i="36"/>
  <c r="X208" i="48" s="1"/>
  <c r="B318" i="36"/>
  <c r="U208" i="48" s="1"/>
  <c r="D438" i="36" l="1"/>
  <c r="F438" i="36" s="1"/>
  <c r="C74" i="41"/>
  <c r="C75" i="41"/>
  <c r="C76" i="41"/>
  <c r="C78" i="41"/>
  <c r="C77" i="41"/>
  <c r="C72" i="41"/>
  <c r="C79" i="41"/>
  <c r="C87" i="41"/>
  <c r="C84" i="41"/>
  <c r="C67" i="41"/>
  <c r="C73" i="41"/>
  <c r="C82" i="41"/>
  <c r="C68" i="41"/>
  <c r="C69" i="41"/>
  <c r="C80" i="41"/>
  <c r="C86" i="41"/>
  <c r="C83" i="41"/>
  <c r="C71" i="41"/>
  <c r="C81" i="41"/>
  <c r="C70" i="41"/>
  <c r="D416" i="36"/>
  <c r="D414" i="36"/>
  <c r="E411" i="36"/>
  <c r="D402" i="36"/>
  <c r="D400" i="36"/>
  <c r="E412" i="36"/>
  <c r="D401" i="36"/>
  <c r="D419" i="36"/>
  <c r="D418" i="36"/>
  <c r="E415" i="36"/>
  <c r="E413" i="36"/>
  <c r="D415" i="36"/>
  <c r="E400" i="36"/>
  <c r="E447" i="36"/>
  <c r="G447" i="36" s="1"/>
  <c r="E448" i="36"/>
  <c r="G448" i="36" s="1"/>
  <c r="E443" i="36"/>
  <c r="G443" i="36" s="1"/>
  <c r="E449" i="36"/>
  <c r="G449" i="36" s="1"/>
  <c r="E455" i="36"/>
  <c r="G455" i="36" s="1"/>
  <c r="E461" i="36"/>
  <c r="G461" i="36" s="1"/>
  <c r="E445" i="36"/>
  <c r="G445" i="36" s="1"/>
  <c r="E457" i="36"/>
  <c r="G457" i="36" s="1"/>
  <c r="E459" i="36"/>
  <c r="G459" i="36" s="1"/>
  <c r="E460" i="36"/>
  <c r="G460" i="36" s="1"/>
  <c r="E458" i="36"/>
  <c r="G458" i="36" s="1"/>
  <c r="E438" i="36"/>
  <c r="G438" i="36" s="1"/>
  <c r="E451" i="36"/>
  <c r="G451" i="36" s="1"/>
  <c r="E441" i="36"/>
  <c r="G441" i="36" s="1"/>
  <c r="E452" i="36"/>
  <c r="G452" i="36" s="1"/>
  <c r="E446" i="36"/>
  <c r="G446" i="36" s="1"/>
  <c r="E463" i="36"/>
  <c r="G463" i="36" s="1"/>
  <c r="E440" i="36"/>
  <c r="G440" i="36" s="1"/>
  <c r="E456" i="36"/>
  <c r="G456" i="36" s="1"/>
  <c r="E442" i="36"/>
  <c r="G442" i="36" s="1"/>
  <c r="E454" i="36"/>
  <c r="G454" i="36" s="1"/>
  <c r="E439" i="36"/>
  <c r="G439" i="36" s="1"/>
  <c r="E453" i="36"/>
  <c r="G453" i="36" s="1"/>
  <c r="E464" i="36"/>
  <c r="G464" i="36" s="1"/>
  <c r="E462" i="36"/>
  <c r="G462" i="36" s="1"/>
  <c r="E444" i="36"/>
  <c r="G444" i="36" s="1"/>
  <c r="E450" i="36"/>
  <c r="G450" i="36" s="1"/>
  <c r="E399" i="36"/>
  <c r="E414" i="36"/>
  <c r="D404" i="36"/>
  <c r="E410" i="36"/>
  <c r="D420" i="36"/>
  <c r="E425" i="36"/>
  <c r="D417" i="36"/>
  <c r="D405" i="36"/>
  <c r="D443" i="36"/>
  <c r="F443" i="36" s="1"/>
  <c r="D449" i="36"/>
  <c r="F449" i="36" s="1"/>
  <c r="D455" i="36"/>
  <c r="F455" i="36" s="1"/>
  <c r="D461" i="36"/>
  <c r="F461" i="36" s="1"/>
  <c r="D447" i="36"/>
  <c r="F447" i="36" s="1"/>
  <c r="D459" i="36"/>
  <c r="F459" i="36" s="1"/>
  <c r="D448" i="36"/>
  <c r="F448" i="36" s="1"/>
  <c r="D460" i="36"/>
  <c r="F460" i="36" s="1"/>
  <c r="D456" i="36"/>
  <c r="F456" i="36" s="1"/>
  <c r="D457" i="36"/>
  <c r="F457" i="36" s="1"/>
  <c r="D452" i="36"/>
  <c r="F452" i="36" s="1"/>
  <c r="D440" i="36"/>
  <c r="F440" i="36" s="1"/>
  <c r="D453" i="36"/>
  <c r="F453" i="36" s="1"/>
  <c r="D458" i="36"/>
  <c r="F458" i="36" s="1"/>
  <c r="D441" i="36"/>
  <c r="F441" i="36" s="1"/>
  <c r="D454" i="36"/>
  <c r="F454" i="36" s="1"/>
  <c r="D442" i="36"/>
  <c r="F442" i="36" s="1"/>
  <c r="D462" i="36"/>
  <c r="F462" i="36" s="1"/>
  <c r="D445" i="36"/>
  <c r="F445" i="36" s="1"/>
  <c r="D451" i="36"/>
  <c r="F451" i="36" s="1"/>
  <c r="D439" i="36"/>
  <c r="F439" i="36" s="1"/>
  <c r="D464" i="36"/>
  <c r="F464" i="36" s="1"/>
  <c r="D446" i="36"/>
  <c r="F446" i="36" s="1"/>
  <c r="D463" i="36"/>
  <c r="F463" i="36" s="1"/>
  <c r="D450" i="36"/>
  <c r="F450" i="36" s="1"/>
  <c r="D444" i="36"/>
  <c r="F444" i="36" s="1"/>
  <c r="D403" i="36"/>
  <c r="E409" i="36"/>
  <c r="D413" i="36"/>
  <c r="E424" i="36"/>
  <c r="E408" i="36"/>
  <c r="D412" i="36"/>
  <c r="E423" i="36"/>
  <c r="E407" i="36"/>
  <c r="D411" i="36"/>
  <c r="E422" i="36"/>
  <c r="E406" i="36"/>
  <c r="D399" i="36"/>
  <c r="D410" i="36"/>
  <c r="E421" i="36"/>
  <c r="E405" i="36"/>
  <c r="D425" i="36"/>
  <c r="D409" i="36"/>
  <c r="E420" i="36"/>
  <c r="E404" i="36"/>
  <c r="D424" i="36"/>
  <c r="D408" i="36"/>
  <c r="E419" i="36"/>
  <c r="E403" i="36"/>
  <c r="D423" i="36"/>
  <c r="D407" i="36"/>
  <c r="E418" i="36"/>
  <c r="E402" i="36"/>
  <c r="D422" i="36"/>
  <c r="D406" i="36"/>
  <c r="E417" i="36"/>
  <c r="E401" i="36"/>
  <c r="D421" i="36"/>
  <c r="E416" i="36"/>
  <c r="C317" i="36"/>
  <c r="B317" i="36"/>
  <c r="C316" i="36"/>
  <c r="B316" i="36"/>
  <c r="J225" i="48" l="1"/>
  <c r="J214" i="48"/>
  <c r="J219" i="48"/>
  <c r="I234" i="48"/>
  <c r="J223" i="48"/>
  <c r="J241" i="48"/>
  <c r="J208" i="48"/>
  <c r="J215" i="48"/>
  <c r="I218" i="48"/>
  <c r="I213" i="48"/>
  <c r="J235" i="48"/>
  <c r="I215" i="48"/>
  <c r="J257" i="48"/>
  <c r="I209" i="48"/>
  <c r="I249" i="48"/>
  <c r="I254" i="48"/>
  <c r="J230" i="48"/>
  <c r="J247" i="48"/>
  <c r="I231" i="48"/>
  <c r="J259" i="48"/>
  <c r="I211" i="48"/>
  <c r="I224" i="48"/>
  <c r="I230" i="48"/>
  <c r="I227" i="48"/>
  <c r="I210" i="48"/>
  <c r="I236" i="48"/>
  <c r="I244" i="48"/>
  <c r="I220" i="48"/>
  <c r="I259" i="48"/>
  <c r="J258" i="48"/>
  <c r="J220" i="48"/>
  <c r="I237" i="48"/>
  <c r="J248" i="48"/>
  <c r="I228" i="48"/>
  <c r="J221" i="48"/>
  <c r="I248" i="48"/>
  <c r="J250" i="48"/>
  <c r="I232" i="48"/>
  <c r="I239" i="48"/>
  <c r="J252" i="48"/>
  <c r="I223" i="48"/>
  <c r="J222" i="48"/>
  <c r="I253" i="48"/>
  <c r="I243" i="48"/>
  <c r="I261" i="48"/>
  <c r="J211" i="48"/>
  <c r="J261" i="48"/>
  <c r="I216" i="48"/>
  <c r="J236" i="48"/>
  <c r="J212" i="48"/>
  <c r="I240" i="48"/>
  <c r="J246" i="48"/>
  <c r="I225" i="48"/>
  <c r="J255" i="48"/>
  <c r="J256" i="48"/>
  <c r="J231" i="48"/>
  <c r="I242" i="48"/>
  <c r="J251" i="48"/>
  <c r="J228" i="48"/>
  <c r="J217" i="48"/>
  <c r="I214" i="48"/>
  <c r="J253" i="48"/>
  <c r="J240" i="48"/>
  <c r="I212" i="48"/>
  <c r="I241" i="48"/>
  <c r="J210" i="48"/>
  <c r="I247" i="48"/>
  <c r="I260" i="48"/>
  <c r="I219" i="48"/>
  <c r="I257" i="48"/>
  <c r="I208" i="48"/>
  <c r="I256" i="48"/>
  <c r="J227" i="48"/>
  <c r="I258" i="48"/>
  <c r="J216" i="48"/>
  <c r="J239" i="48"/>
  <c r="I255" i="48"/>
  <c r="I226" i="48"/>
  <c r="J237" i="48"/>
  <c r="J245" i="48"/>
  <c r="J249" i="48"/>
  <c r="J224" i="48"/>
  <c r="J242" i="48"/>
  <c r="I246" i="48"/>
  <c r="I221" i="48"/>
  <c r="I238" i="48"/>
  <c r="I233" i="48"/>
  <c r="J213" i="48"/>
  <c r="I222" i="48"/>
  <c r="I250" i="48"/>
  <c r="J234" i="48"/>
  <c r="J260" i="48"/>
  <c r="J244" i="48"/>
  <c r="J238" i="48"/>
  <c r="J226" i="48"/>
  <c r="I245" i="48"/>
  <c r="J254" i="48"/>
  <c r="I252" i="48"/>
  <c r="J232" i="48"/>
  <c r="I251" i="48"/>
  <c r="I217" i="48"/>
  <c r="J233" i="48"/>
  <c r="J229" i="48"/>
  <c r="J218" i="48"/>
  <c r="I235" i="48"/>
  <c r="I229" i="48"/>
  <c r="J243" i="48"/>
  <c r="J209" i="48"/>
  <c r="D378" i="36"/>
  <c r="D364" i="36"/>
  <c r="D365" i="36"/>
  <c r="D366" i="36"/>
  <c r="D383" i="36"/>
  <c r="D386" i="36"/>
  <c r="D363" i="36"/>
  <c r="D379" i="36"/>
  <c r="D380" i="36"/>
  <c r="D381" i="36"/>
  <c r="D382" i="36"/>
  <c r="D367" i="36"/>
  <c r="D368" i="36"/>
  <c r="D388" i="36"/>
  <c r="D369" i="36"/>
  <c r="D370" i="36"/>
  <c r="D387" i="36"/>
  <c r="D372" i="36"/>
  <c r="D362" i="36"/>
  <c r="D384" i="36"/>
  <c r="D385" i="36"/>
  <c r="D371" i="36"/>
  <c r="D373" i="36"/>
  <c r="D375" i="36"/>
  <c r="D374" i="36"/>
  <c r="D377" i="36"/>
  <c r="D376" i="36"/>
  <c r="E373" i="36"/>
  <c r="E362" i="36"/>
  <c r="E377" i="36"/>
  <c r="E378" i="36"/>
  <c r="E379" i="36"/>
  <c r="E364" i="36"/>
  <c r="E366" i="36"/>
  <c r="E372" i="36"/>
  <c r="E374" i="36"/>
  <c r="E375" i="36"/>
  <c r="E376" i="36"/>
  <c r="E380" i="36"/>
  <c r="E365" i="36"/>
  <c r="E382" i="36"/>
  <c r="E368" i="36"/>
  <c r="E370" i="36"/>
  <c r="E387" i="36"/>
  <c r="E363" i="36"/>
  <c r="E388" i="36"/>
  <c r="E381" i="36"/>
  <c r="E383" i="36"/>
  <c r="E385" i="36"/>
  <c r="E371" i="36"/>
  <c r="E367" i="36"/>
  <c r="E386" i="36"/>
  <c r="E369" i="36"/>
  <c r="E384" i="36"/>
  <c r="D330" i="36"/>
  <c r="D346" i="36"/>
  <c r="D331" i="36"/>
  <c r="D347" i="36"/>
  <c r="D332" i="36"/>
  <c r="D348" i="36"/>
  <c r="D349" i="36"/>
  <c r="D350" i="36"/>
  <c r="D324" i="36"/>
  <c r="D339" i="36"/>
  <c r="D342" i="36"/>
  <c r="D333" i="36"/>
  <c r="D334" i="36"/>
  <c r="D337" i="36"/>
  <c r="D338" i="36"/>
  <c r="D325" i="36"/>
  <c r="D344" i="36"/>
  <c r="D335" i="36"/>
  <c r="D336" i="36"/>
  <c r="D340" i="36"/>
  <c r="D341" i="36"/>
  <c r="D327" i="36"/>
  <c r="D343" i="36"/>
  <c r="D329" i="36"/>
  <c r="D326" i="36"/>
  <c r="D328" i="36"/>
  <c r="D345" i="36"/>
  <c r="E325" i="36"/>
  <c r="E341" i="36"/>
  <c r="E342" i="36"/>
  <c r="E344" i="36"/>
  <c r="E345" i="36"/>
  <c r="E346" i="36"/>
  <c r="E348" i="36"/>
  <c r="E334" i="36"/>
  <c r="E336" i="36"/>
  <c r="E339" i="36"/>
  <c r="E326" i="36"/>
  <c r="E343" i="36"/>
  <c r="E328" i="36"/>
  <c r="E329" i="36"/>
  <c r="E330" i="36"/>
  <c r="E331" i="36"/>
  <c r="E332" i="36"/>
  <c r="E333" i="36"/>
  <c r="E349" i="36"/>
  <c r="E335" i="36"/>
  <c r="E338" i="36"/>
  <c r="E327" i="36"/>
  <c r="E350" i="36"/>
  <c r="E337" i="36"/>
  <c r="E340" i="36"/>
  <c r="E347" i="36"/>
  <c r="E324" i="36"/>
  <c r="E153" i="48"/>
  <c r="I137" i="48"/>
  <c r="B36" i="39"/>
  <c r="C171" i="36"/>
  <c r="C172" i="36"/>
  <c r="C173" i="36"/>
  <c r="C174" i="36"/>
  <c r="C175" i="36"/>
  <c r="C176" i="36"/>
  <c r="C177" i="36"/>
  <c r="C178" i="36"/>
  <c r="C179" i="36"/>
  <c r="C170" i="36"/>
  <c r="C165" i="36"/>
  <c r="C166" i="36"/>
  <c r="C167" i="36"/>
  <c r="C168" i="36"/>
  <c r="C164" i="36"/>
  <c r="C127" i="36"/>
  <c r="E119" i="36"/>
  <c r="D120" i="36"/>
  <c r="E121" i="36"/>
  <c r="E122" i="36"/>
  <c r="I122" i="36" s="1"/>
  <c r="E123" i="36"/>
  <c r="E124" i="36"/>
  <c r="D125" i="36"/>
  <c r="C126" i="36"/>
  <c r="E118" i="36"/>
  <c r="E113" i="36"/>
  <c r="D114" i="36"/>
  <c r="D115" i="36"/>
  <c r="E116" i="36"/>
  <c r="E112" i="36"/>
  <c r="B46" i="36"/>
  <c r="C59" i="36" s="1"/>
  <c r="E62" i="48" l="1"/>
  <c r="J178" i="48"/>
  <c r="J157" i="48"/>
  <c r="J176" i="48"/>
  <c r="I174" i="48"/>
  <c r="I160" i="48"/>
  <c r="J199" i="48"/>
  <c r="G380" i="36"/>
  <c r="K380" i="36" s="1"/>
  <c r="I380" i="36"/>
  <c r="M380" i="36" s="1"/>
  <c r="I192" i="48"/>
  <c r="F373" i="36"/>
  <c r="J373" i="36" s="1"/>
  <c r="H373" i="36"/>
  <c r="L373" i="36" s="1"/>
  <c r="I182" i="48"/>
  <c r="F363" i="36"/>
  <c r="J363" i="36" s="1"/>
  <c r="H363" i="36"/>
  <c r="L363" i="36" s="1"/>
  <c r="J165" i="48"/>
  <c r="J174" i="48"/>
  <c r="I168" i="48"/>
  <c r="J188" i="48"/>
  <c r="G369" i="36"/>
  <c r="K369" i="36" s="1"/>
  <c r="I369" i="36"/>
  <c r="M369" i="36" s="1"/>
  <c r="J194" i="48"/>
  <c r="G375" i="36"/>
  <c r="K375" i="36" s="1"/>
  <c r="I375" i="36"/>
  <c r="M375" i="36" s="1"/>
  <c r="I204" i="48"/>
  <c r="F385" i="36"/>
  <c r="J385" i="36" s="1"/>
  <c r="H385" i="36"/>
  <c r="L385" i="36" s="1"/>
  <c r="I202" i="48"/>
  <c r="F383" i="36"/>
  <c r="J383" i="36" s="1"/>
  <c r="H383" i="36"/>
  <c r="L383" i="36" s="1"/>
  <c r="J175" i="48"/>
  <c r="I185" i="48"/>
  <c r="F366" i="36"/>
  <c r="J366" i="36" s="1"/>
  <c r="H366" i="36"/>
  <c r="L366" i="36" s="1"/>
  <c r="J205" i="48"/>
  <c r="G386" i="36"/>
  <c r="K386" i="36" s="1"/>
  <c r="I386" i="36"/>
  <c r="M386" i="36" s="1"/>
  <c r="J191" i="48"/>
  <c r="G372" i="36"/>
  <c r="K372" i="36" s="1"/>
  <c r="I372" i="36"/>
  <c r="M372" i="36" s="1"/>
  <c r="I165" i="48"/>
  <c r="I198" i="48"/>
  <c r="F379" i="36"/>
  <c r="J379" i="36" s="1"/>
  <c r="H379" i="36"/>
  <c r="L379" i="36" s="1"/>
  <c r="I190" i="48"/>
  <c r="F371" i="36"/>
  <c r="J371" i="36" s="1"/>
  <c r="H371" i="36"/>
  <c r="L371" i="36" s="1"/>
  <c r="J186" i="48"/>
  <c r="G367" i="36"/>
  <c r="K367" i="36" s="1"/>
  <c r="I367" i="36"/>
  <c r="M367" i="36" s="1"/>
  <c r="I163" i="48"/>
  <c r="I155" i="48"/>
  <c r="J161" i="48"/>
  <c r="I175" i="48"/>
  <c r="I172" i="48"/>
  <c r="J204" i="48"/>
  <c r="G385" i="36"/>
  <c r="K385" i="36" s="1"/>
  <c r="I385" i="36"/>
  <c r="M385" i="36" s="1"/>
  <c r="J183" i="48"/>
  <c r="I364" i="36"/>
  <c r="M364" i="36" s="1"/>
  <c r="G364" i="36"/>
  <c r="K364" i="36" s="1"/>
  <c r="I206" i="48"/>
  <c r="F387" i="36"/>
  <c r="J387" i="36" s="1"/>
  <c r="H387" i="36"/>
  <c r="L387" i="36" s="1"/>
  <c r="I197" i="48"/>
  <c r="H378" i="36"/>
  <c r="L378" i="36" s="1"/>
  <c r="F378" i="36"/>
  <c r="J378" i="36" s="1"/>
  <c r="I176" i="48"/>
  <c r="J172" i="48"/>
  <c r="J155" i="48"/>
  <c r="J185" i="48"/>
  <c r="G366" i="36"/>
  <c r="K366" i="36" s="1"/>
  <c r="I366" i="36"/>
  <c r="M366" i="36" s="1"/>
  <c r="J198" i="48"/>
  <c r="G379" i="36"/>
  <c r="K379" i="36" s="1"/>
  <c r="I379" i="36"/>
  <c r="M379" i="36" s="1"/>
  <c r="I205" i="48"/>
  <c r="F386" i="36"/>
  <c r="J386" i="36" s="1"/>
  <c r="H386" i="36"/>
  <c r="L386" i="36" s="1"/>
  <c r="I203" i="48"/>
  <c r="F384" i="36"/>
  <c r="J384" i="36" s="1"/>
  <c r="H384" i="36"/>
  <c r="L384" i="36" s="1"/>
  <c r="I184" i="48"/>
  <c r="F365" i="36"/>
  <c r="J365" i="36" s="1"/>
  <c r="H365" i="36"/>
  <c r="L365" i="36" s="1"/>
  <c r="J202" i="48"/>
  <c r="G383" i="36"/>
  <c r="K383" i="36" s="1"/>
  <c r="I383" i="36"/>
  <c r="M383" i="36" s="1"/>
  <c r="J159" i="48"/>
  <c r="I156" i="48"/>
  <c r="I154" i="48"/>
  <c r="J200" i="48"/>
  <c r="G381" i="36"/>
  <c r="K381" i="36" s="1"/>
  <c r="I381" i="36"/>
  <c r="M381" i="36" s="1"/>
  <c r="J197" i="48"/>
  <c r="G378" i="36"/>
  <c r="K378" i="36" s="1"/>
  <c r="I378" i="36"/>
  <c r="M378" i="36" s="1"/>
  <c r="I188" i="48"/>
  <c r="F369" i="36"/>
  <c r="J369" i="36" s="1"/>
  <c r="H369" i="36"/>
  <c r="L369" i="36" s="1"/>
  <c r="J195" i="48"/>
  <c r="I376" i="36"/>
  <c r="M376" i="36" s="1"/>
  <c r="G376" i="36"/>
  <c r="K376" i="36" s="1"/>
  <c r="J179" i="48"/>
  <c r="J193" i="48"/>
  <c r="I374" i="36"/>
  <c r="M374" i="36" s="1"/>
  <c r="G374" i="36"/>
  <c r="K374" i="36" s="1"/>
  <c r="J163" i="48"/>
  <c r="I158" i="48"/>
  <c r="I169" i="48"/>
  <c r="I189" i="48"/>
  <c r="H370" i="36"/>
  <c r="L370" i="36" s="1"/>
  <c r="F370" i="36"/>
  <c r="J370" i="36" s="1"/>
  <c r="J158" i="48"/>
  <c r="I180" i="48"/>
  <c r="J196" i="48"/>
  <c r="I377" i="36"/>
  <c r="M377" i="36" s="1"/>
  <c r="G377" i="36"/>
  <c r="K377" i="36" s="1"/>
  <c r="I207" i="48"/>
  <c r="H388" i="36"/>
  <c r="L388" i="36" s="1"/>
  <c r="F388" i="36"/>
  <c r="J388" i="36" s="1"/>
  <c r="J184" i="48"/>
  <c r="I365" i="36"/>
  <c r="M365" i="36" s="1"/>
  <c r="G365" i="36"/>
  <c r="K365" i="36" s="1"/>
  <c r="I167" i="48"/>
  <c r="I181" i="48"/>
  <c r="F362" i="36"/>
  <c r="J362" i="36" s="1"/>
  <c r="H362" i="36"/>
  <c r="L362" i="36" s="1"/>
  <c r="J207" i="48"/>
  <c r="G388" i="36"/>
  <c r="K388" i="36" s="1"/>
  <c r="I388" i="36"/>
  <c r="M388" i="36" s="1"/>
  <c r="J173" i="48"/>
  <c r="I173" i="48"/>
  <c r="I179" i="48"/>
  <c r="J182" i="48"/>
  <c r="G363" i="36"/>
  <c r="K363" i="36" s="1"/>
  <c r="I363" i="36"/>
  <c r="M363" i="36" s="1"/>
  <c r="J181" i="48"/>
  <c r="I362" i="36"/>
  <c r="M362" i="36" s="1"/>
  <c r="G362" i="36"/>
  <c r="K362" i="36" s="1"/>
  <c r="I187" i="48"/>
  <c r="H368" i="36"/>
  <c r="L368" i="36" s="1"/>
  <c r="F368" i="36"/>
  <c r="J368" i="36" s="1"/>
  <c r="J168" i="48"/>
  <c r="I164" i="48"/>
  <c r="J160" i="48"/>
  <c r="J156" i="48"/>
  <c r="I178" i="48"/>
  <c r="J192" i="48"/>
  <c r="G373" i="36"/>
  <c r="K373" i="36" s="1"/>
  <c r="I373" i="36"/>
  <c r="M373" i="36" s="1"/>
  <c r="I186" i="48"/>
  <c r="F367" i="36"/>
  <c r="J367" i="36" s="1"/>
  <c r="H367" i="36"/>
  <c r="L367" i="36" s="1"/>
  <c r="J203" i="48"/>
  <c r="I384" i="36"/>
  <c r="M384" i="36" s="1"/>
  <c r="G384" i="36"/>
  <c r="K384" i="36" s="1"/>
  <c r="J171" i="48"/>
  <c r="J162" i="48"/>
  <c r="J190" i="48"/>
  <c r="G371" i="36"/>
  <c r="K371" i="36" s="1"/>
  <c r="I371" i="36"/>
  <c r="M371" i="36" s="1"/>
  <c r="I183" i="48"/>
  <c r="F364" i="36"/>
  <c r="J364" i="36" s="1"/>
  <c r="H364" i="36"/>
  <c r="L364" i="36" s="1"/>
  <c r="I159" i="48"/>
  <c r="J154" i="48"/>
  <c r="I157" i="48"/>
  <c r="J206" i="48"/>
  <c r="G387" i="36"/>
  <c r="K387" i="36" s="1"/>
  <c r="I387" i="36"/>
  <c r="M387" i="36" s="1"/>
  <c r="J177" i="48"/>
  <c r="J169" i="48"/>
  <c r="I171" i="48"/>
  <c r="I162" i="48"/>
  <c r="J189" i="48"/>
  <c r="G370" i="36"/>
  <c r="K370" i="36" s="1"/>
  <c r="I370" i="36"/>
  <c r="M370" i="36" s="1"/>
  <c r="I195" i="48"/>
  <c r="H376" i="36"/>
  <c r="L376" i="36" s="1"/>
  <c r="F376" i="36"/>
  <c r="J376" i="36" s="1"/>
  <c r="I201" i="48"/>
  <c r="F382" i="36"/>
  <c r="J382" i="36" s="1"/>
  <c r="H382" i="36"/>
  <c r="L382" i="36" s="1"/>
  <c r="J180" i="48"/>
  <c r="I194" i="48"/>
  <c r="F375" i="36"/>
  <c r="J375" i="36" s="1"/>
  <c r="H375" i="36"/>
  <c r="L375" i="36" s="1"/>
  <c r="I191" i="48"/>
  <c r="F372" i="36"/>
  <c r="J372" i="36" s="1"/>
  <c r="H372" i="36"/>
  <c r="L372" i="36" s="1"/>
  <c r="J170" i="48"/>
  <c r="J166" i="48"/>
  <c r="I170" i="48"/>
  <c r="I177" i="48"/>
  <c r="J187" i="48"/>
  <c r="G368" i="36"/>
  <c r="K368" i="36" s="1"/>
  <c r="I368" i="36"/>
  <c r="M368" i="36" s="1"/>
  <c r="I196" i="48"/>
  <c r="F377" i="36"/>
  <c r="J377" i="36" s="1"/>
  <c r="H377" i="36"/>
  <c r="L377" i="36" s="1"/>
  <c r="I200" i="48"/>
  <c r="F381" i="36"/>
  <c r="J381" i="36" s="1"/>
  <c r="H381" i="36"/>
  <c r="L381" i="36" s="1"/>
  <c r="J167" i="48"/>
  <c r="J164" i="48"/>
  <c r="I166" i="48"/>
  <c r="I161" i="48"/>
  <c r="J201" i="48"/>
  <c r="G382" i="36"/>
  <c r="K382" i="36" s="1"/>
  <c r="I382" i="36"/>
  <c r="M382" i="36" s="1"/>
  <c r="I193" i="48"/>
  <c r="H374" i="36"/>
  <c r="L374" i="36" s="1"/>
  <c r="F374" i="36"/>
  <c r="J374" i="36" s="1"/>
  <c r="I199" i="48"/>
  <c r="F380" i="36"/>
  <c r="J380" i="36" s="1"/>
  <c r="H380" i="36"/>
  <c r="L380" i="36" s="1"/>
  <c r="I91" i="48"/>
  <c r="I92" i="48"/>
  <c r="I86" i="48"/>
  <c r="I93" i="48"/>
  <c r="I88" i="48"/>
  <c r="I82" i="48"/>
  <c r="I89" i="48"/>
  <c r="I83" i="48"/>
  <c r="I94" i="48"/>
  <c r="F125" i="36"/>
  <c r="F95" i="48"/>
  <c r="I141" i="36"/>
  <c r="E102" i="48"/>
  <c r="E177" i="36"/>
  <c r="E119" i="48"/>
  <c r="I103" i="48"/>
  <c r="E103" i="48"/>
  <c r="E176" i="36"/>
  <c r="E118" i="48"/>
  <c r="E104" i="48"/>
  <c r="I105" i="48"/>
  <c r="E105" i="48"/>
  <c r="E174" i="36"/>
  <c r="E116" i="48"/>
  <c r="E139" i="36"/>
  <c r="I139" i="36" s="1"/>
  <c r="E100" i="48"/>
  <c r="E175" i="36"/>
  <c r="E117" i="48"/>
  <c r="J81" i="48"/>
  <c r="F81" i="48"/>
  <c r="E164" i="36"/>
  <c r="E106" i="48"/>
  <c r="E173" i="36"/>
  <c r="E115" i="48"/>
  <c r="F120" i="36"/>
  <c r="F90" i="48"/>
  <c r="D168" i="36"/>
  <c r="E110" i="48"/>
  <c r="E172" i="36"/>
  <c r="E114" i="48"/>
  <c r="E167" i="36"/>
  <c r="E109" i="48"/>
  <c r="D171" i="36"/>
  <c r="E113" i="48"/>
  <c r="F115" i="36"/>
  <c r="F85" i="48"/>
  <c r="E127" i="36"/>
  <c r="E97" i="48"/>
  <c r="D166" i="36"/>
  <c r="E108" i="48"/>
  <c r="E179" i="36"/>
  <c r="E121" i="48"/>
  <c r="F114" i="36"/>
  <c r="F84" i="48"/>
  <c r="E128" i="36"/>
  <c r="I128" i="36" s="1"/>
  <c r="E98" i="48"/>
  <c r="E165" i="36"/>
  <c r="E107" i="48"/>
  <c r="E138" i="36"/>
  <c r="I138" i="36" s="1"/>
  <c r="E99" i="48"/>
  <c r="E170" i="36"/>
  <c r="E112" i="48"/>
  <c r="E126" i="36"/>
  <c r="E96" i="48"/>
  <c r="D140" i="36"/>
  <c r="E101" i="48"/>
  <c r="E178" i="36"/>
  <c r="E120" i="48"/>
  <c r="F137" i="48"/>
  <c r="E171" i="36"/>
  <c r="C117" i="36"/>
  <c r="E87" i="48" s="1"/>
  <c r="C169" i="36"/>
  <c r="E111" i="48" s="1"/>
  <c r="B37" i="39"/>
  <c r="D173" i="36"/>
  <c r="D177" i="36"/>
  <c r="D172" i="36"/>
  <c r="E166" i="36"/>
  <c r="E168" i="36"/>
  <c r="D139" i="36"/>
  <c r="D164" i="36"/>
  <c r="D178" i="36"/>
  <c r="D176" i="36"/>
  <c r="D170" i="36"/>
  <c r="D175" i="36"/>
  <c r="D167" i="36"/>
  <c r="D174" i="36"/>
  <c r="D165" i="36"/>
  <c r="D179" i="36"/>
  <c r="E120" i="36"/>
  <c r="E125" i="36"/>
  <c r="D128" i="36"/>
  <c r="E140" i="36"/>
  <c r="I140" i="36" s="1"/>
  <c r="D123" i="36"/>
  <c r="D121" i="36"/>
  <c r="I104" i="48"/>
  <c r="D112" i="36"/>
  <c r="D126" i="36"/>
  <c r="D119" i="36"/>
  <c r="D116" i="36"/>
  <c r="E114" i="36"/>
  <c r="D124" i="36"/>
  <c r="D141" i="36"/>
  <c r="D138" i="36"/>
  <c r="D118" i="36"/>
  <c r="E115" i="36"/>
  <c r="D122" i="36"/>
  <c r="D113" i="36"/>
  <c r="D127" i="36"/>
  <c r="D59" i="36"/>
  <c r="F141" i="36" l="1"/>
  <c r="J95" i="48"/>
  <c r="J84" i="48"/>
  <c r="J90" i="48"/>
  <c r="J85" i="48"/>
  <c r="I121" i="48"/>
  <c r="I119" i="48"/>
  <c r="I112" i="48"/>
  <c r="I99" i="48"/>
  <c r="I102" i="48"/>
  <c r="I117" i="48"/>
  <c r="I113" i="48"/>
  <c r="I116" i="48"/>
  <c r="I107" i="48"/>
  <c r="I115" i="48"/>
  <c r="I101" i="48"/>
  <c r="I120" i="48"/>
  <c r="I118" i="48"/>
  <c r="I96" i="48"/>
  <c r="I100" i="48"/>
  <c r="I85" i="48"/>
  <c r="I90" i="48"/>
  <c r="I114" i="48"/>
  <c r="I97" i="48"/>
  <c r="I98" i="48"/>
  <c r="I106" i="48"/>
  <c r="I95" i="48"/>
  <c r="I110" i="48"/>
  <c r="I108" i="48"/>
  <c r="I109" i="48"/>
  <c r="I84" i="48"/>
  <c r="J153" i="48"/>
  <c r="F153" i="48"/>
  <c r="F140" i="36"/>
  <c r="J140" i="36" s="1"/>
  <c r="F101" i="48"/>
  <c r="F171" i="36"/>
  <c r="F113" i="48"/>
  <c r="F123" i="36"/>
  <c r="F93" i="48"/>
  <c r="F138" i="36"/>
  <c r="J138" i="36" s="1"/>
  <c r="F99" i="48"/>
  <c r="J141" i="36"/>
  <c r="F102" i="48"/>
  <c r="F128" i="36"/>
  <c r="J128" i="36" s="1"/>
  <c r="F98" i="48"/>
  <c r="F139" i="36"/>
  <c r="J139" i="36" s="1"/>
  <c r="F100" i="48"/>
  <c r="F176" i="36"/>
  <c r="F118" i="48"/>
  <c r="F172" i="36"/>
  <c r="F114" i="48"/>
  <c r="F166" i="36"/>
  <c r="F108" i="48"/>
  <c r="J105" i="48"/>
  <c r="F105" i="48"/>
  <c r="F165" i="36"/>
  <c r="F107" i="48"/>
  <c r="F177" i="36"/>
  <c r="F119" i="48"/>
  <c r="F124" i="36"/>
  <c r="F94" i="48"/>
  <c r="F174" i="36"/>
  <c r="F116" i="48"/>
  <c r="F118" i="36"/>
  <c r="F88" i="48"/>
  <c r="F173" i="36"/>
  <c r="F115" i="48"/>
  <c r="F127" i="36"/>
  <c r="F97" i="48"/>
  <c r="F126" i="36"/>
  <c r="F96" i="48"/>
  <c r="F167" i="36"/>
  <c r="F109" i="48"/>
  <c r="F121" i="36"/>
  <c r="F91" i="48"/>
  <c r="F164" i="36"/>
  <c r="F106" i="48"/>
  <c r="F116" i="36"/>
  <c r="F86" i="48"/>
  <c r="J103" i="48"/>
  <c r="F103" i="48"/>
  <c r="F112" i="36"/>
  <c r="F82" i="48"/>
  <c r="F168" i="36"/>
  <c r="F110" i="48"/>
  <c r="J104" i="48"/>
  <c r="F104" i="48"/>
  <c r="F178" i="36"/>
  <c r="F120" i="48"/>
  <c r="F179" i="36"/>
  <c r="F121" i="48"/>
  <c r="F59" i="36"/>
  <c r="F62" i="48"/>
  <c r="F119" i="36"/>
  <c r="F89" i="48"/>
  <c r="F113" i="36"/>
  <c r="F83" i="48"/>
  <c r="F175" i="36"/>
  <c r="F117" i="48"/>
  <c r="F122" i="36"/>
  <c r="J122" i="36" s="1"/>
  <c r="F92" i="48"/>
  <c r="F170" i="36"/>
  <c r="F112" i="48"/>
  <c r="E169" i="36"/>
  <c r="D169" i="36"/>
  <c r="E117" i="36"/>
  <c r="D117" i="36"/>
  <c r="J96" i="48" l="1"/>
  <c r="J107" i="48"/>
  <c r="J119" i="48"/>
  <c r="J102" i="48"/>
  <c r="J101" i="48"/>
  <c r="J115" i="48"/>
  <c r="J106" i="48"/>
  <c r="J112" i="48"/>
  <c r="J120" i="48"/>
  <c r="J89" i="48"/>
  <c r="J121" i="48"/>
  <c r="J88" i="48"/>
  <c r="J93" i="48"/>
  <c r="J100" i="48"/>
  <c r="J98" i="48"/>
  <c r="J108" i="48"/>
  <c r="J114" i="48"/>
  <c r="J97" i="48"/>
  <c r="J92" i="48"/>
  <c r="J99" i="48"/>
  <c r="J117" i="48"/>
  <c r="J91" i="48"/>
  <c r="J83" i="48"/>
  <c r="J109" i="48"/>
  <c r="J94" i="48"/>
  <c r="J113" i="48"/>
  <c r="J82" i="48"/>
  <c r="J86" i="48"/>
  <c r="J110" i="48"/>
  <c r="J118" i="48"/>
  <c r="I87" i="48"/>
  <c r="I111" i="48"/>
  <c r="J62" i="48"/>
  <c r="F169" i="36"/>
  <c r="F111" i="48"/>
  <c r="F117" i="36"/>
  <c r="F87" i="48"/>
  <c r="J116" i="48"/>
  <c r="I81" i="48"/>
  <c r="J111" i="48" l="1"/>
  <c r="J87" i="48"/>
  <c r="E59" i="36"/>
  <c r="I62" i="48" l="1"/>
  <c r="C55" i="36"/>
  <c r="C56" i="36"/>
  <c r="C57" i="36"/>
  <c r="C58" i="36"/>
  <c r="C60" i="36"/>
  <c r="C61" i="36"/>
  <c r="C62" i="36"/>
  <c r="C63" i="36"/>
  <c r="C64" i="36"/>
  <c r="C65" i="36"/>
  <c r="C66" i="36"/>
  <c r="C67" i="36"/>
  <c r="C68" i="36"/>
  <c r="C69" i="36"/>
  <c r="C54" i="36"/>
  <c r="H43" i="13"/>
  <c r="C31" i="13"/>
  <c r="C30" i="13"/>
  <c r="W13" i="15"/>
  <c r="T13" i="15"/>
  <c r="D57" i="36" l="1"/>
  <c r="E60" i="48"/>
  <c r="D55" i="36"/>
  <c r="E58" i="48"/>
  <c r="E74" i="48"/>
  <c r="D56" i="36"/>
  <c r="E59" i="48"/>
  <c r="D67" i="36"/>
  <c r="E70" i="48"/>
  <c r="E73" i="48"/>
  <c r="D64" i="36"/>
  <c r="E67" i="48"/>
  <c r="E76" i="48"/>
  <c r="D63" i="36"/>
  <c r="E66" i="48"/>
  <c r="E77" i="48"/>
  <c r="D69" i="36"/>
  <c r="E72" i="48"/>
  <c r="D65" i="36"/>
  <c r="E68" i="48"/>
  <c r="E75" i="48"/>
  <c r="D62" i="36"/>
  <c r="E65" i="48"/>
  <c r="E78" i="48"/>
  <c r="D58" i="36"/>
  <c r="E61" i="48"/>
  <c r="D54" i="36"/>
  <c r="E57" i="48"/>
  <c r="D68" i="36"/>
  <c r="E71" i="48"/>
  <c r="D66" i="36"/>
  <c r="E69" i="48"/>
  <c r="D61" i="36"/>
  <c r="E64" i="48"/>
  <c r="E79" i="48"/>
  <c r="D60" i="36"/>
  <c r="E63" i="48"/>
  <c r="E80" i="48"/>
  <c r="E57" i="36"/>
  <c r="E58" i="36"/>
  <c r="E54" i="36"/>
  <c r="E55" i="36"/>
  <c r="E68" i="36"/>
  <c r="E80" i="36"/>
  <c r="E56" i="36"/>
  <c r="E69" i="36"/>
  <c r="E79" i="36"/>
  <c r="E66" i="36"/>
  <c r="E82" i="36"/>
  <c r="E65" i="36"/>
  <c r="E83" i="36"/>
  <c r="E78" i="36"/>
  <c r="E60" i="36"/>
  <c r="E63" i="36"/>
  <c r="E64" i="36"/>
  <c r="E70" i="36"/>
  <c r="E67" i="36"/>
  <c r="E81" i="36"/>
  <c r="E62" i="36"/>
  <c r="E61" i="36"/>
  <c r="I58" i="48" l="1"/>
  <c r="I63" i="48"/>
  <c r="I59" i="48"/>
  <c r="I66" i="48"/>
  <c r="I61" i="48"/>
  <c r="I57" i="48"/>
  <c r="I60" i="48"/>
  <c r="I68" i="48"/>
  <c r="I70" i="48"/>
  <c r="I71" i="48"/>
  <c r="I64" i="48"/>
  <c r="I69" i="48"/>
  <c r="I65" i="48"/>
  <c r="I72" i="48"/>
  <c r="F57" i="36"/>
  <c r="F60" i="48"/>
  <c r="F68" i="36"/>
  <c r="F71" i="48"/>
  <c r="I82" i="36"/>
  <c r="I78" i="48"/>
  <c r="F64" i="36"/>
  <c r="F67" i="48"/>
  <c r="F65" i="36"/>
  <c r="F68" i="48"/>
  <c r="F54" i="36"/>
  <c r="F57" i="48"/>
  <c r="F66" i="36"/>
  <c r="F69" i="48"/>
  <c r="I83" i="36"/>
  <c r="I79" i="48"/>
  <c r="F67" i="36"/>
  <c r="F70" i="48"/>
  <c r="F81" i="36"/>
  <c r="F77" i="48"/>
  <c r="I78" i="36"/>
  <c r="I74" i="48"/>
  <c r="F70" i="36"/>
  <c r="F73" i="48"/>
  <c r="I80" i="48"/>
  <c r="F60" i="36"/>
  <c r="F63" i="48"/>
  <c r="F56" i="36"/>
  <c r="F59" i="48"/>
  <c r="F82" i="36"/>
  <c r="F78" i="48"/>
  <c r="F63" i="36"/>
  <c r="F66" i="48"/>
  <c r="I70" i="36"/>
  <c r="I73" i="48"/>
  <c r="I64" i="36"/>
  <c r="I67" i="48"/>
  <c r="F61" i="36"/>
  <c r="F64" i="48"/>
  <c r="F62" i="36"/>
  <c r="F65" i="48"/>
  <c r="F80" i="36"/>
  <c r="F76" i="48"/>
  <c r="F55" i="36"/>
  <c r="F58" i="48"/>
  <c r="F79" i="36"/>
  <c r="F75" i="48"/>
  <c r="J80" i="48"/>
  <c r="F80" i="48"/>
  <c r="F69" i="36"/>
  <c r="F72" i="48"/>
  <c r="I79" i="36"/>
  <c r="I75" i="48"/>
  <c r="F58" i="36"/>
  <c r="F61" i="48"/>
  <c r="I81" i="36"/>
  <c r="I77" i="48"/>
  <c r="F83" i="36"/>
  <c r="F79" i="48"/>
  <c r="F78" i="36"/>
  <c r="F74" i="48"/>
  <c r="I80" i="36"/>
  <c r="I76" i="48"/>
  <c r="O134" i="25"/>
  <c r="M134" i="25"/>
  <c r="K134" i="25"/>
  <c r="I134" i="25"/>
  <c r="H134" i="25"/>
  <c r="O99" i="25"/>
  <c r="M99" i="25"/>
  <c r="K99" i="25"/>
  <c r="I99" i="25"/>
  <c r="T134" i="24"/>
  <c r="R134" i="24"/>
  <c r="P134" i="24"/>
  <c r="N134" i="24"/>
  <c r="T99" i="24"/>
  <c r="R99" i="24"/>
  <c r="P99" i="24"/>
  <c r="N99" i="24"/>
  <c r="U134" i="23"/>
  <c r="S134" i="23"/>
  <c r="Q134" i="23"/>
  <c r="O134" i="23"/>
  <c r="U99" i="23"/>
  <c r="S99" i="23"/>
  <c r="Q99" i="23"/>
  <c r="O99" i="23"/>
  <c r="O134" i="22"/>
  <c r="M134" i="22"/>
  <c r="K134" i="22"/>
  <c r="I134" i="22"/>
  <c r="O99" i="22"/>
  <c r="M99" i="22"/>
  <c r="K99" i="22"/>
  <c r="I99" i="22"/>
  <c r="J78" i="48" l="1"/>
  <c r="J82" i="36"/>
  <c r="J69" i="48"/>
  <c r="J57" i="48"/>
  <c r="J75" i="48"/>
  <c r="J79" i="36"/>
  <c r="J59" i="48"/>
  <c r="J76" i="48"/>
  <c r="J80" i="36"/>
  <c r="J74" i="48"/>
  <c r="J78" i="36"/>
  <c r="J79" i="48"/>
  <c r="J83" i="36"/>
  <c r="J68" i="48"/>
  <c r="J65" i="48"/>
  <c r="J67" i="48"/>
  <c r="J64" i="36"/>
  <c r="J64" i="48"/>
  <c r="J71" i="48"/>
  <c r="J66" i="48"/>
  <c r="J63" i="48"/>
  <c r="J58" i="48"/>
  <c r="J73" i="48"/>
  <c r="J70" i="36"/>
  <c r="J61" i="48"/>
  <c r="J77" i="48"/>
  <c r="J81" i="36"/>
  <c r="J72" i="48"/>
  <c r="J70" i="48"/>
  <c r="J60" i="48"/>
  <c r="E457" i="48" l="1"/>
  <c r="F457" i="48" s="1"/>
  <c r="E456" i="48"/>
  <c r="F456" i="48" s="1"/>
  <c r="E455" i="48"/>
  <c r="F455" i="48" s="1"/>
  <c r="J457" i="48" l="1"/>
  <c r="I457" i="48"/>
  <c r="J455" i="48"/>
  <c r="I455" i="48"/>
  <c r="J456" i="48"/>
  <c r="I456" i="48"/>
  <c r="B14" i="45"/>
  <c r="D28" i="45" s="1"/>
  <c r="B12" i="45"/>
  <c r="B15" i="45" s="1"/>
  <c r="D24" i="44"/>
  <c r="E24" i="44"/>
  <c r="D25" i="44"/>
  <c r="E25" i="44"/>
  <c r="D26" i="44"/>
  <c r="E26" i="44"/>
  <c r="D27" i="44"/>
  <c r="E27" i="44"/>
  <c r="D32" i="44"/>
  <c r="E32" i="44"/>
  <c r="D33" i="44"/>
  <c r="E33" i="44"/>
  <c r="D34" i="44"/>
  <c r="E34" i="44"/>
  <c r="D35" i="44"/>
  <c r="E35" i="44"/>
  <c r="D40" i="44"/>
  <c r="E40" i="44"/>
  <c r="D41" i="44"/>
  <c r="E41" i="44"/>
  <c r="D42" i="44"/>
  <c r="E42" i="44"/>
  <c r="D43" i="44"/>
  <c r="E43" i="44"/>
  <c r="B14" i="44"/>
  <c r="D20" i="44" s="1"/>
  <c r="B12" i="44"/>
  <c r="B15" i="44" s="1"/>
  <c r="E21" i="44" s="1"/>
  <c r="D39" i="45" l="1"/>
  <c r="D22" i="45"/>
  <c r="D23" i="45"/>
  <c r="D24" i="45"/>
  <c r="D30" i="45"/>
  <c r="D31" i="45"/>
  <c r="D32" i="45"/>
  <c r="D38" i="45"/>
  <c r="D40" i="45"/>
  <c r="E45" i="45"/>
  <c r="E37" i="45"/>
  <c r="E29" i="45"/>
  <c r="E21" i="45"/>
  <c r="E20" i="45"/>
  <c r="E27" i="45"/>
  <c r="E19" i="45"/>
  <c r="E31" i="45"/>
  <c r="E38" i="45"/>
  <c r="E44" i="45"/>
  <c r="E36" i="45"/>
  <c r="E28" i="45"/>
  <c r="E35" i="45"/>
  <c r="E34" i="45"/>
  <c r="E39" i="45"/>
  <c r="E25" i="45"/>
  <c r="E40" i="45"/>
  <c r="E43" i="45"/>
  <c r="E32" i="45"/>
  <c r="E23" i="45"/>
  <c r="E26" i="45"/>
  <c r="E41" i="45"/>
  <c r="E22" i="45"/>
  <c r="E42" i="45"/>
  <c r="E33" i="45"/>
  <c r="E30" i="45"/>
  <c r="E24" i="45"/>
  <c r="D25" i="45"/>
  <c r="D33" i="45"/>
  <c r="D27" i="45"/>
  <c r="D43" i="45"/>
  <c r="D42" i="45"/>
  <c r="D36" i="45"/>
  <c r="D20" i="45"/>
  <c r="D41" i="45"/>
  <c r="D26" i="45"/>
  <c r="D35" i="45"/>
  <c r="D44" i="45"/>
  <c r="D21" i="45"/>
  <c r="D29" i="45"/>
  <c r="D37" i="45"/>
  <c r="D45" i="45"/>
  <c r="D34" i="45"/>
  <c r="D19" i="45"/>
  <c r="E39" i="44"/>
  <c r="E23" i="44"/>
  <c r="E31" i="44"/>
  <c r="E44" i="44"/>
  <c r="E36" i="44"/>
  <c r="E28" i="44"/>
  <c r="E20" i="44"/>
  <c r="D39" i="44"/>
  <c r="D31" i="44"/>
  <c r="D23" i="44"/>
  <c r="D19" i="44"/>
  <c r="E38" i="44"/>
  <c r="E30" i="44"/>
  <c r="E22" i="44"/>
  <c r="E19" i="44"/>
  <c r="D38" i="44"/>
  <c r="D30" i="44"/>
  <c r="D22" i="44"/>
  <c r="E45" i="44"/>
  <c r="E37" i="44"/>
  <c r="E29" i="44"/>
  <c r="D45" i="44"/>
  <c r="D37" i="44"/>
  <c r="D29" i="44"/>
  <c r="D21" i="44"/>
  <c r="D44" i="44"/>
  <c r="D36" i="44"/>
  <c r="D28" i="44"/>
  <c r="B25" i="41"/>
  <c r="B24" i="41"/>
  <c r="B36" i="41" s="1"/>
  <c r="B45" i="41" s="1"/>
  <c r="B56" i="41" s="1"/>
  <c r="B62" i="41" s="1"/>
  <c r="D8" i="42"/>
  <c r="D9" i="42"/>
  <c r="D11" i="42"/>
  <c r="D12" i="42"/>
  <c r="D13" i="42"/>
  <c r="D16" i="42"/>
  <c r="D17" i="42"/>
  <c r="D21" i="42"/>
  <c r="D24" i="42"/>
  <c r="D7" i="42"/>
  <c r="C19" i="42"/>
  <c r="D19" i="42" s="1"/>
  <c r="C10" i="42"/>
  <c r="D10" i="42" s="1"/>
  <c r="C17" i="42"/>
  <c r="C20" i="42"/>
  <c r="D20" i="42" s="1"/>
  <c r="C16" i="42"/>
  <c r="C18" i="42"/>
  <c r="D18" i="42" s="1"/>
  <c r="C23" i="42"/>
  <c r="D23" i="42" s="1"/>
  <c r="C15" i="42"/>
  <c r="D15" i="42" s="1"/>
  <c r="C14" i="42"/>
  <c r="D14" i="42" s="1"/>
  <c r="C13" i="42"/>
  <c r="C11" i="42"/>
  <c r="C12" i="42"/>
  <c r="B37" i="41" l="1"/>
  <c r="B46" i="41" s="1"/>
  <c r="E72" i="41"/>
  <c r="E74" i="41"/>
  <c r="E67" i="41"/>
  <c r="E75" i="41"/>
  <c r="E76" i="41"/>
  <c r="E87" i="41"/>
  <c r="E73" i="41"/>
  <c r="E77" i="41"/>
  <c r="E86" i="41"/>
  <c r="E78" i="41"/>
  <c r="E79" i="41"/>
  <c r="E68" i="41"/>
  <c r="E80" i="41"/>
  <c r="E69" i="41"/>
  <c r="E81" i="41"/>
  <c r="E70" i="41"/>
  <c r="E82" i="41"/>
  <c r="E71" i="41"/>
  <c r="E83" i="41"/>
  <c r="E84" i="41"/>
  <c r="C85" i="41"/>
  <c r="E85" i="41" s="1"/>
  <c r="D85" i="41"/>
  <c r="F85" i="41" s="1"/>
  <c r="B39" i="41"/>
  <c r="D71" i="41" l="1"/>
  <c r="D72" i="41"/>
  <c r="D73" i="41"/>
  <c r="D75" i="41"/>
  <c r="E390" i="48" s="1"/>
  <c r="F390" i="48" s="1"/>
  <c r="D74" i="41"/>
  <c r="E389" i="48" s="1"/>
  <c r="F389" i="48" s="1"/>
  <c r="D81" i="41"/>
  <c r="E396" i="48" s="1"/>
  <c r="F396" i="48" s="1"/>
  <c r="D67" i="41"/>
  <c r="E382" i="48" s="1"/>
  <c r="F382" i="48" s="1"/>
  <c r="D87" i="41"/>
  <c r="D78" i="41"/>
  <c r="E393" i="48" s="1"/>
  <c r="F393" i="48" s="1"/>
  <c r="D83" i="41"/>
  <c r="E398" i="48" s="1"/>
  <c r="F398" i="48" s="1"/>
  <c r="D77" i="41"/>
  <c r="E392" i="48" s="1"/>
  <c r="F392" i="48" s="1"/>
  <c r="D68" i="41"/>
  <c r="E383" i="48" s="1"/>
  <c r="F383" i="48" s="1"/>
  <c r="D69" i="41"/>
  <c r="E384" i="48" s="1"/>
  <c r="F384" i="48" s="1"/>
  <c r="D79" i="41"/>
  <c r="E394" i="48" s="1"/>
  <c r="F394" i="48" s="1"/>
  <c r="D84" i="41"/>
  <c r="E399" i="48" s="1"/>
  <c r="F399" i="48" s="1"/>
  <c r="D86" i="41"/>
  <c r="D76" i="41"/>
  <c r="D80" i="41"/>
  <c r="D82" i="41"/>
  <c r="D70" i="41"/>
  <c r="E400" i="48"/>
  <c r="F400" i="48" s="1"/>
  <c r="I400" i="48"/>
  <c r="J400" i="48"/>
  <c r="E385" i="48"/>
  <c r="F385" i="48" s="1"/>
  <c r="E395" i="48"/>
  <c r="F395" i="48" s="1"/>
  <c r="E397" i="48"/>
  <c r="F397" i="48" s="1"/>
  <c r="E387" i="48"/>
  <c r="F387" i="48" s="1"/>
  <c r="E388" i="48"/>
  <c r="F388" i="48" s="1"/>
  <c r="E386" i="48"/>
  <c r="F386" i="48" s="1"/>
  <c r="E391" i="48"/>
  <c r="F391" i="48" s="1"/>
  <c r="B32" i="40"/>
  <c r="B34" i="40" s="1"/>
  <c r="D127" i="40" s="1"/>
  <c r="I379" i="48" s="1"/>
  <c r="B35" i="40"/>
  <c r="E129" i="40" s="1"/>
  <c r="J381" i="48" s="1"/>
  <c r="C20" i="22"/>
  <c r="B35" i="39"/>
  <c r="B34" i="39"/>
  <c r="I306" i="48" l="1"/>
  <c r="J296" i="48"/>
  <c r="F83" i="41"/>
  <c r="I398" i="48"/>
  <c r="F86" i="41"/>
  <c r="F87" i="41"/>
  <c r="I396" i="48"/>
  <c r="F81" i="41"/>
  <c r="F79" i="41"/>
  <c r="I394" i="48"/>
  <c r="F76" i="41"/>
  <c r="I391" i="48"/>
  <c r="I388" i="48"/>
  <c r="F73" i="41"/>
  <c r="F72" i="41"/>
  <c r="I387" i="48"/>
  <c r="F80" i="41"/>
  <c r="I395" i="48"/>
  <c r="F71" i="41"/>
  <c r="I386" i="48"/>
  <c r="F77" i="41"/>
  <c r="I392" i="48"/>
  <c r="I385" i="48"/>
  <c r="F70" i="41"/>
  <c r="F82" i="41"/>
  <c r="I397" i="48"/>
  <c r="I384" i="48"/>
  <c r="F69" i="41"/>
  <c r="I393" i="48"/>
  <c r="F78" i="41"/>
  <c r="I390" i="48"/>
  <c r="F75" i="41"/>
  <c r="F67" i="41"/>
  <c r="F74" i="41"/>
  <c r="I389" i="48"/>
  <c r="F84" i="41"/>
  <c r="I399" i="48"/>
  <c r="F68" i="41"/>
  <c r="I383" i="48"/>
  <c r="I320" i="48"/>
  <c r="J319" i="48"/>
  <c r="J320" i="48"/>
  <c r="J315" i="48"/>
  <c r="J314" i="48"/>
  <c r="I314" i="48"/>
  <c r="I315" i="48"/>
  <c r="J307" i="48"/>
  <c r="J313" i="48"/>
  <c r="I313" i="48"/>
  <c r="J312" i="48"/>
  <c r="I299" i="48"/>
  <c r="I312" i="48"/>
  <c r="I307" i="48"/>
  <c r="J321" i="48"/>
  <c r="I321" i="48"/>
  <c r="E88" i="40"/>
  <c r="J353" i="48" s="1"/>
  <c r="E93" i="40"/>
  <c r="J358" i="48" s="1"/>
  <c r="E94" i="40"/>
  <c r="J359" i="48" s="1"/>
  <c r="E123" i="40"/>
  <c r="J375" i="48" s="1"/>
  <c r="D93" i="40"/>
  <c r="I358" i="48" s="1"/>
  <c r="D87" i="40"/>
  <c r="I352" i="48" s="1"/>
  <c r="D115" i="40"/>
  <c r="I367" i="48" s="1"/>
  <c r="D122" i="40"/>
  <c r="I374" i="48" s="1"/>
  <c r="D116" i="40"/>
  <c r="I368" i="48" s="1"/>
  <c r="D88" i="40"/>
  <c r="I353" i="48" s="1"/>
  <c r="D94" i="40"/>
  <c r="I359" i="48" s="1"/>
  <c r="D101" i="40"/>
  <c r="I366" i="48" s="1"/>
  <c r="D117" i="40"/>
  <c r="I369" i="48" s="1"/>
  <c r="D123" i="40"/>
  <c r="I375" i="48" s="1"/>
  <c r="E101" i="40"/>
  <c r="J366" i="48" s="1"/>
  <c r="E116" i="40"/>
  <c r="J368" i="48" s="1"/>
  <c r="E115" i="40"/>
  <c r="J367" i="48" s="1"/>
  <c r="E117" i="40"/>
  <c r="J369" i="48" s="1"/>
  <c r="E87" i="40"/>
  <c r="J352" i="48" s="1"/>
  <c r="E122" i="40"/>
  <c r="J374" i="48" s="1"/>
  <c r="D95" i="40"/>
  <c r="I360" i="48" s="1"/>
  <c r="D124" i="40"/>
  <c r="I376" i="48" s="1"/>
  <c r="E95" i="40"/>
  <c r="J360" i="48" s="1"/>
  <c r="E124" i="40"/>
  <c r="J376" i="48" s="1"/>
  <c r="D96" i="40"/>
  <c r="I361" i="48" s="1"/>
  <c r="D125" i="40"/>
  <c r="I377" i="48" s="1"/>
  <c r="E96" i="40"/>
  <c r="J361" i="48" s="1"/>
  <c r="E125" i="40"/>
  <c r="J377" i="48" s="1"/>
  <c r="D118" i="40"/>
  <c r="I370" i="48" s="1"/>
  <c r="E89" i="40"/>
  <c r="J354" i="48" s="1"/>
  <c r="E126" i="40"/>
  <c r="J378" i="48" s="1"/>
  <c r="E98" i="40"/>
  <c r="J363" i="48" s="1"/>
  <c r="D91" i="40"/>
  <c r="I356" i="48" s="1"/>
  <c r="D99" i="40"/>
  <c r="I364" i="48" s="1"/>
  <c r="D120" i="40"/>
  <c r="I372" i="48" s="1"/>
  <c r="D128" i="40"/>
  <c r="I380" i="48" s="1"/>
  <c r="D126" i="40"/>
  <c r="I378" i="48" s="1"/>
  <c r="D90" i="40"/>
  <c r="I355" i="48" s="1"/>
  <c r="D119" i="40"/>
  <c r="I371" i="48" s="1"/>
  <c r="E127" i="40"/>
  <c r="J379" i="48" s="1"/>
  <c r="E91" i="40"/>
  <c r="J356" i="48" s="1"/>
  <c r="E99" i="40"/>
  <c r="J364" i="48" s="1"/>
  <c r="E120" i="40"/>
  <c r="J372" i="48" s="1"/>
  <c r="E128" i="40"/>
  <c r="J380" i="48" s="1"/>
  <c r="D89" i="40"/>
  <c r="I354" i="48" s="1"/>
  <c r="E119" i="40"/>
  <c r="J371" i="48" s="1"/>
  <c r="D92" i="40"/>
  <c r="I357" i="48" s="1"/>
  <c r="D100" i="40"/>
  <c r="I365" i="48" s="1"/>
  <c r="D121" i="40"/>
  <c r="I373" i="48" s="1"/>
  <c r="D129" i="40"/>
  <c r="I381" i="48" s="1"/>
  <c r="D97" i="40"/>
  <c r="I362" i="48" s="1"/>
  <c r="E97" i="40"/>
  <c r="J362" i="48" s="1"/>
  <c r="E118" i="40"/>
  <c r="J370" i="48" s="1"/>
  <c r="D98" i="40"/>
  <c r="I363" i="48" s="1"/>
  <c r="E90" i="40"/>
  <c r="J355" i="48" s="1"/>
  <c r="E92" i="40"/>
  <c r="J357" i="48" s="1"/>
  <c r="E100" i="40"/>
  <c r="J365" i="48" s="1"/>
  <c r="E121" i="40"/>
  <c r="J373" i="48" s="1"/>
  <c r="J311" i="48"/>
  <c r="I319" i="48"/>
  <c r="J310" i="48"/>
  <c r="I318" i="48"/>
  <c r="I310" i="48"/>
  <c r="I311" i="48"/>
  <c r="J318" i="48"/>
  <c r="J317" i="48"/>
  <c r="J309" i="48"/>
  <c r="I317" i="48"/>
  <c r="I309" i="48"/>
  <c r="J316" i="48"/>
  <c r="J308" i="48"/>
  <c r="I316" i="48"/>
  <c r="I308" i="48"/>
  <c r="I300" i="48"/>
  <c r="B28" i="39"/>
  <c r="B27" i="39"/>
  <c r="J137" i="48"/>
  <c r="I293" i="48" l="1"/>
  <c r="J303" i="48"/>
  <c r="J304" i="48"/>
  <c r="J295" i="48"/>
  <c r="I303" i="48"/>
  <c r="J299" i="48"/>
  <c r="I297" i="48"/>
  <c r="I294" i="48"/>
  <c r="J306" i="48"/>
  <c r="I301" i="48"/>
  <c r="J298" i="48"/>
  <c r="J297" i="48"/>
  <c r="J292" i="48"/>
  <c r="I305" i="48"/>
  <c r="J302" i="48"/>
  <c r="I304" i="48"/>
  <c r="J305" i="48"/>
  <c r="J300" i="48"/>
  <c r="I298" i="48"/>
  <c r="J293" i="48"/>
  <c r="I296" i="48"/>
  <c r="I292" i="48"/>
  <c r="J301" i="48"/>
  <c r="I302" i="48"/>
  <c r="J294" i="48"/>
  <c r="I295" i="48"/>
  <c r="J387" i="48"/>
  <c r="J383" i="48"/>
  <c r="J388" i="48"/>
  <c r="J397" i="48"/>
  <c r="J399" i="48"/>
  <c r="J391" i="48"/>
  <c r="J389" i="48"/>
  <c r="J386" i="48"/>
  <c r="J393" i="48"/>
  <c r="J395" i="48"/>
  <c r="J384" i="48"/>
  <c r="J392" i="48"/>
  <c r="J394" i="48"/>
  <c r="J398" i="48"/>
  <c r="J385" i="48"/>
  <c r="J390" i="48"/>
  <c r="J396" i="48"/>
  <c r="I382" i="48"/>
  <c r="J382" i="48"/>
  <c r="I153" i="48"/>
  <c r="X15" i="15" l="1"/>
  <c r="R11" i="15"/>
  <c r="Q11" i="15"/>
  <c r="B50" i="34" l="1"/>
  <c r="B49" i="34"/>
  <c r="D130" i="34" l="1"/>
  <c r="D146" i="34"/>
  <c r="D107" i="34"/>
  <c r="D131" i="34"/>
  <c r="D147" i="34"/>
  <c r="D92" i="34"/>
  <c r="D108" i="34"/>
  <c r="D109" i="34"/>
  <c r="D149" i="34"/>
  <c r="D110" i="34"/>
  <c r="D138" i="34"/>
  <c r="D140" i="34"/>
  <c r="D101" i="34"/>
  <c r="D141" i="34"/>
  <c r="D103" i="34"/>
  <c r="D145" i="34"/>
  <c r="D142" i="34"/>
  <c r="D104" i="34"/>
  <c r="D105" i="34"/>
  <c r="D106" i="34"/>
  <c r="D132" i="34"/>
  <c r="D148" i="34"/>
  <c r="D93" i="34"/>
  <c r="D150" i="34"/>
  <c r="D111" i="34"/>
  <c r="D124" i="34"/>
  <c r="D96" i="34"/>
  <c r="D113" i="34"/>
  <c r="D133" i="34"/>
  <c r="D94" i="34"/>
  <c r="D95" i="34"/>
  <c r="D136" i="34"/>
  <c r="D137" i="34"/>
  <c r="D114" i="34"/>
  <c r="D139" i="34"/>
  <c r="D117" i="34"/>
  <c r="D91" i="34"/>
  <c r="D126" i="34"/>
  <c r="D127" i="34"/>
  <c r="D134" i="34"/>
  <c r="D98" i="34"/>
  <c r="D100" i="34"/>
  <c r="D102" i="34"/>
  <c r="D135" i="34"/>
  <c r="D112" i="34"/>
  <c r="D115" i="34"/>
  <c r="D144" i="34"/>
  <c r="D97" i="34"/>
  <c r="D116" i="34"/>
  <c r="D125" i="34"/>
  <c r="D128" i="34"/>
  <c r="D99" i="34"/>
  <c r="D143" i="34"/>
  <c r="D129" i="34"/>
  <c r="E125" i="34"/>
  <c r="E141" i="34"/>
  <c r="E102" i="34"/>
  <c r="E91" i="34"/>
  <c r="E142" i="34"/>
  <c r="E103" i="34"/>
  <c r="E144" i="34"/>
  <c r="E105" i="34"/>
  <c r="E146" i="34"/>
  <c r="E108" i="34"/>
  <c r="E148" i="34"/>
  <c r="E95" i="34"/>
  <c r="E138" i="34"/>
  <c r="E116" i="34"/>
  <c r="E126" i="34"/>
  <c r="E112" i="34"/>
  <c r="E97" i="34"/>
  <c r="E139" i="34"/>
  <c r="E127" i="34"/>
  <c r="E143" i="34"/>
  <c r="E104" i="34"/>
  <c r="E92" i="34"/>
  <c r="E93" i="34"/>
  <c r="E128" i="34"/>
  <c r="E107" i="34"/>
  <c r="E133" i="34"/>
  <c r="E96" i="34"/>
  <c r="E100" i="34"/>
  <c r="E117" i="34"/>
  <c r="E129" i="34"/>
  <c r="E145" i="34"/>
  <c r="E106" i="34"/>
  <c r="E147" i="34"/>
  <c r="E149" i="34"/>
  <c r="E135" i="34"/>
  <c r="E137" i="34"/>
  <c r="E140" i="34"/>
  <c r="E130" i="34"/>
  <c r="E109" i="34"/>
  <c r="E94" i="34"/>
  <c r="E150" i="34"/>
  <c r="E136" i="34"/>
  <c r="E114" i="34"/>
  <c r="E99" i="34"/>
  <c r="E101" i="34"/>
  <c r="E131" i="34"/>
  <c r="E110" i="34"/>
  <c r="E134" i="34"/>
  <c r="E115" i="34"/>
  <c r="E132" i="34"/>
  <c r="E111" i="34"/>
  <c r="E124" i="34"/>
  <c r="E113" i="34"/>
  <c r="E98" i="34"/>
  <c r="D66" i="34"/>
  <c r="D67" i="34"/>
  <c r="D68" i="34"/>
  <c r="D69" i="34"/>
  <c r="D70" i="34"/>
  <c r="D65" i="34"/>
  <c r="J39" i="48" l="1"/>
  <c r="I100" i="34"/>
  <c r="G100" i="34"/>
  <c r="J33" i="48"/>
  <c r="I94" i="34"/>
  <c r="G94" i="34"/>
  <c r="H94" i="34"/>
  <c r="F94" i="34"/>
  <c r="F104" i="34"/>
  <c r="H104" i="34"/>
  <c r="J30" i="48"/>
  <c r="I91" i="34"/>
  <c r="G91" i="34"/>
  <c r="F111" i="34"/>
  <c r="H111" i="34"/>
  <c r="J51" i="48"/>
  <c r="G112" i="34"/>
  <c r="I112" i="34"/>
  <c r="F115" i="34"/>
  <c r="H115" i="34"/>
  <c r="J42" i="48"/>
  <c r="G103" i="34"/>
  <c r="I103" i="34"/>
  <c r="J48" i="48"/>
  <c r="I109" i="34"/>
  <c r="G109" i="34"/>
  <c r="J31" i="48"/>
  <c r="I92" i="34"/>
  <c r="G92" i="34"/>
  <c r="J38" i="48"/>
  <c r="G99" i="34"/>
  <c r="I99" i="34"/>
  <c r="J53" i="48"/>
  <c r="G114" i="34"/>
  <c r="I114" i="34"/>
  <c r="H108" i="34"/>
  <c r="F108" i="34"/>
  <c r="J41" i="48"/>
  <c r="G102" i="34"/>
  <c r="I102" i="34"/>
  <c r="F102" i="34"/>
  <c r="H102" i="34"/>
  <c r="F96" i="34"/>
  <c r="H96" i="34"/>
  <c r="F105" i="34"/>
  <c r="H105" i="34"/>
  <c r="J36" i="48"/>
  <c r="G97" i="34"/>
  <c r="I97" i="34"/>
  <c r="F98" i="34"/>
  <c r="H98" i="34"/>
  <c r="J43" i="48"/>
  <c r="I104" i="34"/>
  <c r="G104" i="34"/>
  <c r="J47" i="48"/>
  <c r="I108" i="34"/>
  <c r="G108" i="34"/>
  <c r="F95" i="34"/>
  <c r="H95" i="34"/>
  <c r="F103" i="34"/>
  <c r="H103" i="34"/>
  <c r="H92" i="34"/>
  <c r="F92" i="34"/>
  <c r="F107" i="34"/>
  <c r="H107" i="34"/>
  <c r="J50" i="48"/>
  <c r="G111" i="34"/>
  <c r="I111" i="34"/>
  <c r="J56" i="48"/>
  <c r="I117" i="34"/>
  <c r="G117" i="34"/>
  <c r="H99" i="34"/>
  <c r="F99" i="34"/>
  <c r="F113" i="34"/>
  <c r="H113" i="34"/>
  <c r="J49" i="48"/>
  <c r="I110" i="34"/>
  <c r="G110" i="34"/>
  <c r="F117" i="34"/>
  <c r="H117" i="34"/>
  <c r="J54" i="48"/>
  <c r="I115" i="34"/>
  <c r="G115" i="34"/>
  <c r="H109" i="34"/>
  <c r="F109" i="34"/>
  <c r="F91" i="34"/>
  <c r="H91" i="34"/>
  <c r="H101" i="34"/>
  <c r="F101" i="34"/>
  <c r="J44" i="48"/>
  <c r="G105" i="34"/>
  <c r="I105" i="34"/>
  <c r="H106" i="34"/>
  <c r="F106" i="34"/>
  <c r="H116" i="34"/>
  <c r="F116" i="34"/>
  <c r="J32" i="48"/>
  <c r="I93" i="34"/>
  <c r="G93" i="34"/>
  <c r="H112" i="34"/>
  <c r="F112" i="34"/>
  <c r="J46" i="48"/>
  <c r="G107" i="34"/>
  <c r="I107" i="34"/>
  <c r="J40" i="48"/>
  <c r="G101" i="34"/>
  <c r="I101" i="34"/>
  <c r="F114" i="34"/>
  <c r="H114" i="34"/>
  <c r="J45" i="48"/>
  <c r="G106" i="34"/>
  <c r="I106" i="34"/>
  <c r="J52" i="48"/>
  <c r="G113" i="34"/>
  <c r="I113" i="34"/>
  <c r="H100" i="34"/>
  <c r="F100" i="34"/>
  <c r="J55" i="48"/>
  <c r="I116" i="34"/>
  <c r="G116" i="34"/>
  <c r="J35" i="48"/>
  <c r="I96" i="34"/>
  <c r="G96" i="34"/>
  <c r="H110" i="34"/>
  <c r="F110" i="34"/>
  <c r="J37" i="48"/>
  <c r="G98" i="34"/>
  <c r="I98" i="34"/>
  <c r="J34" i="48"/>
  <c r="G95" i="34"/>
  <c r="I95" i="34"/>
  <c r="H93" i="34"/>
  <c r="F93" i="34"/>
  <c r="F97" i="34"/>
  <c r="H97" i="34"/>
  <c r="F67" i="34"/>
  <c r="E67" i="34"/>
  <c r="I26" i="48" s="1"/>
  <c r="E70" i="34"/>
  <c r="I29" i="48" s="1"/>
  <c r="F70" i="34"/>
  <c r="J29" i="48" s="1"/>
  <c r="E68" i="34"/>
  <c r="F68" i="34"/>
  <c r="J27" i="48" s="1"/>
  <c r="E65" i="34"/>
  <c r="I24" i="48" s="1"/>
  <c r="F65" i="34"/>
  <c r="J24" i="48" s="1"/>
  <c r="E69" i="34"/>
  <c r="F69" i="34"/>
  <c r="F66" i="34"/>
  <c r="E66" i="34"/>
  <c r="E35" i="48"/>
  <c r="F35" i="48" s="1"/>
  <c r="I35" i="48"/>
  <c r="I31" i="48"/>
  <c r="E31" i="48"/>
  <c r="F31" i="48" s="1"/>
  <c r="I54" i="48"/>
  <c r="E54" i="48"/>
  <c r="F54" i="48" s="1"/>
  <c r="I41" i="48"/>
  <c r="E41" i="48"/>
  <c r="F41" i="48" s="1"/>
  <c r="E30" i="48"/>
  <c r="F30" i="48" s="1"/>
  <c r="I30" i="48"/>
  <c r="E43" i="48"/>
  <c r="F43" i="48" s="1"/>
  <c r="I43" i="48"/>
  <c r="I56" i="48"/>
  <c r="E56" i="48"/>
  <c r="F56" i="48" s="1"/>
  <c r="E44" i="48"/>
  <c r="F44" i="48" s="1"/>
  <c r="I44" i="48"/>
  <c r="E37" i="48"/>
  <c r="F37" i="48" s="1"/>
  <c r="I37" i="48"/>
  <c r="E50" i="48"/>
  <c r="F50" i="48" s="1"/>
  <c r="I50" i="48"/>
  <c r="E28" i="48"/>
  <c r="F28" i="48" s="1"/>
  <c r="I33" i="48"/>
  <c r="E33" i="48"/>
  <c r="F33" i="48" s="1"/>
  <c r="E48" i="48"/>
  <c r="F48" i="48" s="1"/>
  <c r="I48" i="48"/>
  <c r="J26" i="48"/>
  <c r="E26" i="48"/>
  <c r="F26" i="48" s="1"/>
  <c r="E40" i="48"/>
  <c r="F40" i="48" s="1"/>
  <c r="I40" i="48"/>
  <c r="I45" i="48"/>
  <c r="E45" i="48"/>
  <c r="F45" i="48" s="1"/>
  <c r="I55" i="48"/>
  <c r="E55" i="48"/>
  <c r="F55" i="48" s="1"/>
  <c r="I51" i="48"/>
  <c r="E51" i="48"/>
  <c r="F51" i="48" s="1"/>
  <c r="I53" i="48"/>
  <c r="E53" i="48"/>
  <c r="F53" i="48" s="1"/>
  <c r="E49" i="48"/>
  <c r="F49" i="48" s="1"/>
  <c r="I49" i="48"/>
  <c r="I52" i="48"/>
  <c r="E52" i="48"/>
  <c r="F52" i="48" s="1"/>
  <c r="E24" i="48"/>
  <c r="F24" i="48" s="1"/>
  <c r="E29" i="48"/>
  <c r="F29" i="48" s="1"/>
  <c r="I34" i="48"/>
  <c r="E34" i="48"/>
  <c r="F34" i="48" s="1"/>
  <c r="E27" i="48"/>
  <c r="F27" i="48" s="1"/>
  <c r="E42" i="48"/>
  <c r="F42" i="48" s="1"/>
  <c r="I42" i="48"/>
  <c r="E25" i="48"/>
  <c r="F25" i="48" s="1"/>
  <c r="E46" i="48"/>
  <c r="F46" i="48" s="1"/>
  <c r="I46" i="48"/>
  <c r="I38" i="48"/>
  <c r="E38" i="48"/>
  <c r="F38" i="48" s="1"/>
  <c r="I47" i="48"/>
  <c r="E47" i="48"/>
  <c r="F47" i="48" s="1"/>
  <c r="I39" i="48"/>
  <c r="E39" i="48"/>
  <c r="F39" i="48" s="1"/>
  <c r="I32" i="48"/>
  <c r="E32" i="48"/>
  <c r="F32" i="48" s="1"/>
  <c r="E36" i="48"/>
  <c r="F36" i="48" s="1"/>
  <c r="I36" i="48"/>
  <c r="I66" i="34" l="1"/>
  <c r="G66" i="34"/>
  <c r="I65" i="34"/>
  <c r="G65" i="34"/>
  <c r="H69" i="34"/>
  <c r="J69" i="34"/>
  <c r="H68" i="34"/>
  <c r="J68" i="34"/>
  <c r="G68" i="34"/>
  <c r="I68" i="34"/>
  <c r="J70" i="34"/>
  <c r="H70" i="34"/>
  <c r="J66" i="34"/>
  <c r="H66" i="34"/>
  <c r="H65" i="34"/>
  <c r="J65" i="34"/>
  <c r="I25" i="48"/>
  <c r="G70" i="34"/>
  <c r="I70" i="34"/>
  <c r="G67" i="34"/>
  <c r="I67" i="34"/>
  <c r="G69" i="34"/>
  <c r="I69" i="34"/>
  <c r="I27" i="48"/>
  <c r="I28" i="48"/>
  <c r="J25" i="48"/>
  <c r="J28" i="48"/>
  <c r="J67" i="34"/>
  <c r="H67" i="34"/>
  <c r="Y134" i="24"/>
  <c r="X134" i="24"/>
  <c r="J18" i="13"/>
  <c r="J19" i="13" s="1"/>
  <c r="J20" i="13" s="1"/>
  <c r="J21" i="13" s="1"/>
  <c r="J22" i="13" s="1"/>
  <c r="J23" i="13" s="1"/>
  <c r="J24" i="13" s="1"/>
  <c r="H18" i="13"/>
  <c r="H19" i="13" s="1"/>
  <c r="H20" i="13" s="1"/>
  <c r="H21" i="13" s="1"/>
  <c r="H22" i="13" s="1"/>
  <c r="H23" i="13" s="1"/>
  <c r="I135" i="24"/>
  <c r="G135" i="24"/>
  <c r="E135" i="24"/>
  <c r="K135" i="24" s="1"/>
  <c r="M134" i="24"/>
  <c r="I128" i="24"/>
  <c r="G128" i="24"/>
  <c r="E128" i="24"/>
  <c r="K128" i="24" s="1"/>
  <c r="I121" i="24"/>
  <c r="K121" i="24" s="1"/>
  <c r="G121" i="24"/>
  <c r="E121" i="24"/>
  <c r="I114" i="24"/>
  <c r="G114" i="24"/>
  <c r="E114" i="24"/>
  <c r="I107" i="24"/>
  <c r="G107" i="24"/>
  <c r="E107" i="24"/>
  <c r="K107" i="24" s="1"/>
  <c r="I100" i="24"/>
  <c r="G100" i="24"/>
  <c r="E100" i="24"/>
  <c r="I93" i="24"/>
  <c r="G93" i="24"/>
  <c r="E93" i="24"/>
  <c r="I86" i="24"/>
  <c r="G86" i="24"/>
  <c r="E86" i="24"/>
  <c r="I79" i="24"/>
  <c r="G79" i="24"/>
  <c r="E79" i="24"/>
  <c r="K79" i="24" s="1"/>
  <c r="E9" i="25" s="1"/>
  <c r="C222" i="36" s="1"/>
  <c r="C254" i="36" s="1"/>
  <c r="I72" i="24"/>
  <c r="K72" i="24" s="1"/>
  <c r="G72" i="24"/>
  <c r="E72" i="24"/>
  <c r="I65" i="24"/>
  <c r="G65" i="24"/>
  <c r="E65" i="24"/>
  <c r="K65" i="24" s="1"/>
  <c r="K58" i="24"/>
  <c r="I51" i="24"/>
  <c r="G51" i="24"/>
  <c r="E51" i="24"/>
  <c r="K51" i="24" s="1"/>
  <c r="I44" i="24"/>
  <c r="G44" i="24"/>
  <c r="E44" i="24"/>
  <c r="I37" i="24"/>
  <c r="G37" i="24"/>
  <c r="E37" i="24"/>
  <c r="I135" i="23"/>
  <c r="G135" i="23"/>
  <c r="E135" i="23"/>
  <c r="AA134" i="23"/>
  <c r="Y134" i="23"/>
  <c r="M134" i="23"/>
  <c r="I128" i="23"/>
  <c r="G128" i="23"/>
  <c r="E128" i="23"/>
  <c r="K128" i="23" s="1"/>
  <c r="C16" i="25" s="1"/>
  <c r="AA127" i="23"/>
  <c r="Y127" i="23"/>
  <c r="M127" i="23"/>
  <c r="I121" i="23"/>
  <c r="K121" i="23" s="1"/>
  <c r="C15" i="25" s="1"/>
  <c r="G121" i="23"/>
  <c r="E121" i="23"/>
  <c r="I114" i="23"/>
  <c r="G114" i="23"/>
  <c r="E114" i="23"/>
  <c r="I107" i="23"/>
  <c r="G107" i="23"/>
  <c r="E107" i="23"/>
  <c r="K107" i="23" s="1"/>
  <c r="C13" i="25" s="1"/>
  <c r="AA106" i="23"/>
  <c r="Y106" i="23"/>
  <c r="M106" i="23"/>
  <c r="I100" i="23"/>
  <c r="G100" i="23"/>
  <c r="E100" i="23"/>
  <c r="I93" i="23"/>
  <c r="G93" i="23"/>
  <c r="E93" i="23"/>
  <c r="I86" i="23"/>
  <c r="G86" i="23"/>
  <c r="E86" i="23"/>
  <c r="I79" i="23"/>
  <c r="G79" i="23"/>
  <c r="E79" i="23"/>
  <c r="I72" i="23"/>
  <c r="G72" i="23"/>
  <c r="E72" i="23"/>
  <c r="K72" i="23" s="1"/>
  <c r="C8" i="25" s="1"/>
  <c r="I65" i="23"/>
  <c r="K65" i="23"/>
  <c r="C7" i="25"/>
  <c r="G65" i="23"/>
  <c r="E65" i="23"/>
  <c r="K58" i="23"/>
  <c r="C6" i="25"/>
  <c r="I51" i="23"/>
  <c r="G51" i="23"/>
  <c r="E51" i="23"/>
  <c r="K51" i="23" s="1"/>
  <c r="C5" i="25" s="1"/>
  <c r="K44" i="23"/>
  <c r="C4" i="25" s="1"/>
  <c r="I37" i="23"/>
  <c r="G37" i="23"/>
  <c r="E37" i="23"/>
  <c r="K135" i="21"/>
  <c r="I135" i="21"/>
  <c r="M135" i="21" s="1"/>
  <c r="G135" i="21"/>
  <c r="E135" i="21"/>
  <c r="M128" i="21"/>
  <c r="K121" i="21"/>
  <c r="I121" i="21"/>
  <c r="G121" i="21"/>
  <c r="E121" i="21"/>
  <c r="M121" i="21" s="1"/>
  <c r="M114" i="21"/>
  <c r="E14" i="22"/>
  <c r="F14" i="22" s="1"/>
  <c r="K107" i="21"/>
  <c r="I107" i="21"/>
  <c r="G107" i="21"/>
  <c r="M107" i="21" s="1"/>
  <c r="E13" i="22" s="1"/>
  <c r="F13" i="22" s="1"/>
  <c r="E107" i="21"/>
  <c r="K100" i="21"/>
  <c r="I100" i="21"/>
  <c r="G100" i="21"/>
  <c r="E100" i="21"/>
  <c r="K93" i="21"/>
  <c r="I93" i="21"/>
  <c r="M93" i="21" s="1"/>
  <c r="G93" i="21"/>
  <c r="E93" i="21"/>
  <c r="K86" i="21"/>
  <c r="I86" i="21"/>
  <c r="M86" i="21"/>
  <c r="G86" i="21"/>
  <c r="E86" i="21"/>
  <c r="K79" i="21"/>
  <c r="I79" i="21"/>
  <c r="G79" i="21"/>
  <c r="E79" i="21"/>
  <c r="K72" i="21"/>
  <c r="I72" i="21"/>
  <c r="G72" i="21"/>
  <c r="E72" i="21"/>
  <c r="M72" i="21"/>
  <c r="K65" i="21"/>
  <c r="I65" i="21"/>
  <c r="G65" i="21"/>
  <c r="E65" i="21"/>
  <c r="M65" i="21" s="1"/>
  <c r="M58" i="21"/>
  <c r="K51" i="21"/>
  <c r="I51" i="21"/>
  <c r="G51" i="21"/>
  <c r="E51" i="21"/>
  <c r="M51" i="21" s="1"/>
  <c r="K44" i="21"/>
  <c r="I44" i="21"/>
  <c r="G44" i="21"/>
  <c r="E44" i="21"/>
  <c r="M44" i="21" s="1"/>
  <c r="K37" i="21"/>
  <c r="I37" i="21"/>
  <c r="G37" i="21"/>
  <c r="E37" i="21"/>
  <c r="M37" i="21" s="1"/>
  <c r="K135" i="20"/>
  <c r="I135" i="20"/>
  <c r="M135" i="20" s="1"/>
  <c r="C17" i="22" s="1"/>
  <c r="G135" i="20"/>
  <c r="E135" i="20"/>
  <c r="U134" i="20"/>
  <c r="S134" i="20"/>
  <c r="Q134" i="20"/>
  <c r="O134" i="20"/>
  <c r="M128" i="20"/>
  <c r="C16" i="22" s="1"/>
  <c r="E16" i="22" s="1"/>
  <c r="F16" i="22" s="1"/>
  <c r="K121" i="20"/>
  <c r="I121" i="20"/>
  <c r="G121" i="20"/>
  <c r="E121" i="20"/>
  <c r="M121" i="20" s="1"/>
  <c r="C15" i="22" s="1"/>
  <c r="M114" i="20"/>
  <c r="C14" i="22"/>
  <c r="M107" i="20"/>
  <c r="C13" i="22"/>
  <c r="K100" i="20"/>
  <c r="I100" i="20"/>
  <c r="G100" i="20"/>
  <c r="M100" i="20"/>
  <c r="C12" i="22" s="1"/>
  <c r="E100" i="20"/>
  <c r="U99" i="20"/>
  <c r="S99" i="20"/>
  <c r="Q99" i="20"/>
  <c r="O99" i="20"/>
  <c r="K93" i="20"/>
  <c r="I93" i="20"/>
  <c r="G93" i="20"/>
  <c r="E93" i="20"/>
  <c r="M93" i="20" s="1"/>
  <c r="C11" i="22" s="1"/>
  <c r="K86" i="20"/>
  <c r="I86" i="20"/>
  <c r="G86" i="20"/>
  <c r="E86" i="20"/>
  <c r="K79" i="20"/>
  <c r="M79" i="20" s="1"/>
  <c r="I79" i="20"/>
  <c r="G79" i="20"/>
  <c r="E79" i="20"/>
  <c r="K72" i="20"/>
  <c r="I72" i="20"/>
  <c r="G72" i="20"/>
  <c r="E72" i="20"/>
  <c r="K65" i="20"/>
  <c r="M65" i="20"/>
  <c r="C7" i="22" s="1"/>
  <c r="I65" i="20"/>
  <c r="G65" i="20"/>
  <c r="E65" i="20"/>
  <c r="M58" i="20"/>
  <c r="C6" i="22" s="1"/>
  <c r="K51" i="20"/>
  <c r="I51" i="20"/>
  <c r="G51" i="20"/>
  <c r="E51" i="20"/>
  <c r="M44" i="20"/>
  <c r="C4" i="22" s="1"/>
  <c r="K37" i="20"/>
  <c r="I37" i="20"/>
  <c r="G37" i="20"/>
  <c r="E37" i="20"/>
  <c r="P13" i="15"/>
  <c r="C28" i="13" s="1"/>
  <c r="Z13" i="15"/>
  <c r="D18" i="13" s="1"/>
  <c r="D19" i="13" s="1"/>
  <c r="AA10" i="15"/>
  <c r="AC10" i="15" s="1"/>
  <c r="AA11" i="15"/>
  <c r="AC11" i="15" s="1"/>
  <c r="AA12" i="15"/>
  <c r="AC12" i="15" s="1"/>
  <c r="C19" i="13"/>
  <c r="X17" i="15"/>
  <c r="C48" i="13" s="1"/>
  <c r="M13" i="15"/>
  <c r="C26" i="13" s="1"/>
  <c r="C54" i="13"/>
  <c r="Z17" i="15"/>
  <c r="D43" i="13" s="1"/>
  <c r="D44" i="13" s="1"/>
  <c r="D45" i="13" s="1"/>
  <c r="AA14" i="15"/>
  <c r="AC14" i="15" s="1"/>
  <c r="AA15" i="15"/>
  <c r="AA16" i="15"/>
  <c r="AC16" i="15" s="1"/>
  <c r="Q13" i="15"/>
  <c r="C29" i="13" s="1"/>
  <c r="S13" i="15"/>
  <c r="C21" i="13" s="1"/>
  <c r="O17" i="15"/>
  <c r="C52" i="13" s="1"/>
  <c r="X13" i="15"/>
  <c r="C23" i="13" s="1"/>
  <c r="P17" i="15"/>
  <c r="C53" i="13" s="1"/>
  <c r="O13" i="15"/>
  <c r="C27" i="13" s="1"/>
  <c r="M17" i="15"/>
  <c r="C51" i="13" s="1"/>
  <c r="C50" i="13"/>
  <c r="L13" i="15"/>
  <c r="C25" i="13" s="1"/>
  <c r="N8" i="15"/>
  <c r="N7" i="15"/>
  <c r="C24" i="13"/>
  <c r="C49" i="13"/>
  <c r="C47" i="13"/>
  <c r="C45" i="13"/>
  <c r="C44" i="13"/>
  <c r="H44" i="13"/>
  <c r="R13" i="15"/>
  <c r="C22" i="13" s="1"/>
  <c r="N13" i="15"/>
  <c r="C20" i="13" s="1"/>
  <c r="K13" i="15"/>
  <c r="C18" i="13" s="1"/>
  <c r="AA8" i="15"/>
  <c r="AC8" i="15" s="1"/>
  <c r="AA7" i="15"/>
  <c r="AC7" i="15" s="1"/>
  <c r="AA6" i="15"/>
  <c r="AC6" i="15" s="1"/>
  <c r="F27" i="15"/>
  <c r="G23" i="15"/>
  <c r="G24" i="15"/>
  <c r="E25" i="15"/>
  <c r="E24" i="15"/>
  <c r="E23" i="15"/>
  <c r="S17" i="15"/>
  <c r="C46" i="13" s="1"/>
  <c r="K17" i="15"/>
  <c r="C43" i="13" s="1"/>
  <c r="Y17" i="15"/>
  <c r="E17" i="15"/>
  <c r="E16" i="15"/>
  <c r="E15" i="15"/>
  <c r="E14" i="15"/>
  <c r="Y13" i="15"/>
  <c r="E13" i="15"/>
  <c r="E12" i="15"/>
  <c r="E11" i="15"/>
  <c r="E10" i="15"/>
  <c r="X9" i="15"/>
  <c r="Z9" i="15"/>
  <c r="S9" i="15"/>
  <c r="P9" i="15"/>
  <c r="O9" i="15"/>
  <c r="M9" i="15"/>
  <c r="K9" i="15"/>
  <c r="Y9" i="15"/>
  <c r="E9" i="15"/>
  <c r="E8" i="15"/>
  <c r="E7" i="15"/>
  <c r="E6" i="15"/>
  <c r="G4" i="15"/>
  <c r="F4" i="15"/>
  <c r="D4" i="15"/>
  <c r="E4" i="15" s="1"/>
  <c r="E3" i="15"/>
  <c r="E2" i="15"/>
  <c r="E1" i="15"/>
  <c r="M86" i="20"/>
  <c r="C10" i="22" s="1"/>
  <c r="E11" i="22"/>
  <c r="F11" i="22" s="1"/>
  <c r="M51" i="20"/>
  <c r="C5" i="22" s="1"/>
  <c r="K79" i="23"/>
  <c r="C9" i="25"/>
  <c r="K93" i="23"/>
  <c r="C11" i="25" s="1"/>
  <c r="C9" i="22"/>
  <c r="E6" i="22"/>
  <c r="F6" i="22" s="1"/>
  <c r="M37" i="20"/>
  <c r="C3" i="22" s="1"/>
  <c r="M79" i="21"/>
  <c r="M100" i="21"/>
  <c r="M72" i="20"/>
  <c r="C8" i="22"/>
  <c r="E8" i="22" s="1"/>
  <c r="F8" i="22" s="1"/>
  <c r="C77" i="40" l="1"/>
  <c r="C53" i="40"/>
  <c r="C71" i="40"/>
  <c r="C47" i="40"/>
  <c r="C55" i="40"/>
  <c r="C79" i="40"/>
  <c r="C52" i="40"/>
  <c r="E332" i="48" s="1"/>
  <c r="F332" i="48" s="1"/>
  <c r="C76" i="40"/>
  <c r="C50" i="40"/>
  <c r="C74" i="40"/>
  <c r="E345" i="48" s="1"/>
  <c r="F345" i="48" s="1"/>
  <c r="C45" i="40"/>
  <c r="E325" i="48" s="1"/>
  <c r="F325" i="48" s="1"/>
  <c r="C69" i="40"/>
  <c r="E340" i="48" s="1"/>
  <c r="F340" i="48" s="1"/>
  <c r="C53" i="39"/>
  <c r="E53" i="39" s="1"/>
  <c r="C50" i="39"/>
  <c r="E50" i="39" s="1"/>
  <c r="C47" i="39"/>
  <c r="E47" i="39" s="1"/>
  <c r="C52" i="39"/>
  <c r="E52" i="39" s="1"/>
  <c r="C45" i="39"/>
  <c r="E45" i="39" s="1"/>
  <c r="C55" i="39"/>
  <c r="E55" i="39" s="1"/>
  <c r="D222" i="36"/>
  <c r="F222" i="36" s="1"/>
  <c r="E129" i="48"/>
  <c r="E222" i="36"/>
  <c r="E333" i="48"/>
  <c r="F333" i="48" s="1"/>
  <c r="E15" i="25"/>
  <c r="C229" i="36" s="1"/>
  <c r="E6" i="25"/>
  <c r="C218" i="36" s="1"/>
  <c r="C250" i="36" s="1"/>
  <c r="K37" i="24"/>
  <c r="K44" i="24"/>
  <c r="K114" i="24"/>
  <c r="E7" i="25"/>
  <c r="C220" i="36" s="1"/>
  <c r="C252" i="36" s="1"/>
  <c r="K86" i="24"/>
  <c r="K100" i="24"/>
  <c r="E4" i="25"/>
  <c r="C216" i="36" s="1"/>
  <c r="C248" i="36" s="1"/>
  <c r="K93" i="24"/>
  <c r="E11" i="25" s="1"/>
  <c r="C224" i="36" s="1"/>
  <c r="C256" i="36" s="1"/>
  <c r="K37" i="23"/>
  <c r="C3" i="25" s="1"/>
  <c r="E3" i="25" s="1"/>
  <c r="C215" i="36" s="1"/>
  <c r="C247" i="36" s="1"/>
  <c r="K114" i="23"/>
  <c r="C14" i="25" s="1"/>
  <c r="K135" i="23"/>
  <c r="C17" i="25" s="1"/>
  <c r="E17" i="25" s="1"/>
  <c r="C228" i="36" s="1"/>
  <c r="C260" i="36" s="1"/>
  <c r="K86" i="23"/>
  <c r="C10" i="25" s="1"/>
  <c r="E10" i="22"/>
  <c r="F10" i="22" s="1"/>
  <c r="E3" i="22"/>
  <c r="F3" i="22" s="1"/>
  <c r="E17" i="22"/>
  <c r="F17" i="22" s="1"/>
  <c r="E348" i="48"/>
  <c r="F348" i="48" s="1"/>
  <c r="E342" i="48"/>
  <c r="F342" i="48" s="1"/>
  <c r="E12" i="22"/>
  <c r="F12" i="22" s="1"/>
  <c r="E7" i="22"/>
  <c r="F7" i="22" s="1"/>
  <c r="E15" i="22"/>
  <c r="F15" i="22" s="1"/>
  <c r="E9" i="22"/>
  <c r="F9" i="22" s="1"/>
  <c r="E5" i="22"/>
  <c r="F5" i="22" s="1"/>
  <c r="E8" i="25"/>
  <c r="C221" i="36" s="1"/>
  <c r="C253" i="36" s="1"/>
  <c r="E5" i="25"/>
  <c r="C217" i="36" s="1"/>
  <c r="C249" i="36" s="1"/>
  <c r="N9" i="15"/>
  <c r="AA17" i="15"/>
  <c r="G25" i="15"/>
  <c r="AA13" i="15"/>
  <c r="E18" i="13"/>
  <c r="E19" i="13"/>
  <c r="D20" i="13"/>
  <c r="D21" i="13" s="1"/>
  <c r="E21" i="13" s="1"/>
  <c r="E20" i="13"/>
  <c r="E43" i="13"/>
  <c r="E44" i="13"/>
  <c r="J25" i="13"/>
  <c r="H24" i="13"/>
  <c r="E4" i="22"/>
  <c r="F4" i="22" s="1"/>
  <c r="D46" i="13"/>
  <c r="D47" i="13" s="1"/>
  <c r="E45" i="13"/>
  <c r="H45" i="13"/>
  <c r="E13" i="25"/>
  <c r="C226" i="36" s="1"/>
  <c r="C258" i="36" s="1"/>
  <c r="AA9" i="15"/>
  <c r="E16" i="25"/>
  <c r="C219" i="36" s="1"/>
  <c r="C251" i="36" s="1"/>
  <c r="AC9" i="15"/>
  <c r="AC13" i="15"/>
  <c r="K100" i="23"/>
  <c r="C12" i="25" s="1"/>
  <c r="AC15" i="15"/>
  <c r="D79" i="40" l="1"/>
  <c r="G251" i="36" s="1"/>
  <c r="E79" i="40"/>
  <c r="H251" i="36" s="1"/>
  <c r="D50" i="40"/>
  <c r="E50" i="40"/>
  <c r="E55" i="40"/>
  <c r="D55" i="40"/>
  <c r="C46" i="40"/>
  <c r="C70" i="40"/>
  <c r="E341" i="48" s="1"/>
  <c r="F341" i="48" s="1"/>
  <c r="E47" i="40"/>
  <c r="D47" i="40"/>
  <c r="E350" i="48"/>
  <c r="F350" i="48" s="1"/>
  <c r="C66" i="40"/>
  <c r="C42" i="40"/>
  <c r="E330" i="48"/>
  <c r="F330" i="48" s="1"/>
  <c r="E71" i="40"/>
  <c r="H253" i="36" s="1"/>
  <c r="D71" i="40"/>
  <c r="G253" i="36" s="1"/>
  <c r="C75" i="40"/>
  <c r="C51" i="40"/>
  <c r="D52" i="40"/>
  <c r="E52" i="40"/>
  <c r="D53" i="40"/>
  <c r="E53" i="40"/>
  <c r="C49" i="40"/>
  <c r="C73" i="40"/>
  <c r="C44" i="40"/>
  <c r="C68" i="40"/>
  <c r="E339" i="48" s="1"/>
  <c r="F339" i="48" s="1"/>
  <c r="C67" i="40"/>
  <c r="E338" i="48" s="1"/>
  <c r="F338" i="48" s="1"/>
  <c r="C43" i="40"/>
  <c r="E323" i="48" s="1"/>
  <c r="F323" i="48" s="1"/>
  <c r="C72" i="40"/>
  <c r="E343" i="48" s="1"/>
  <c r="F343" i="48" s="1"/>
  <c r="C48" i="40"/>
  <c r="E327" i="48"/>
  <c r="F327" i="48" s="1"/>
  <c r="D69" i="40"/>
  <c r="G250" i="36" s="1"/>
  <c r="E69" i="40"/>
  <c r="H250" i="36" s="1"/>
  <c r="D77" i="40"/>
  <c r="G259" i="36" s="1"/>
  <c r="E77" i="40"/>
  <c r="H259" i="36" s="1"/>
  <c r="E74" i="40"/>
  <c r="H256" i="36" s="1"/>
  <c r="D74" i="40"/>
  <c r="G256" i="36" s="1"/>
  <c r="E76" i="40"/>
  <c r="H258" i="36" s="1"/>
  <c r="D76" i="40"/>
  <c r="G258" i="36" s="1"/>
  <c r="E347" i="48"/>
  <c r="F347" i="48" s="1"/>
  <c r="C56" i="40"/>
  <c r="E336" i="48" s="1"/>
  <c r="F336" i="48" s="1"/>
  <c r="C80" i="40"/>
  <c r="E335" i="48"/>
  <c r="F335" i="48" s="1"/>
  <c r="C78" i="40"/>
  <c r="E349" i="48" s="1"/>
  <c r="F349" i="48" s="1"/>
  <c r="C54" i="40"/>
  <c r="E45" i="40"/>
  <c r="D45" i="40"/>
  <c r="C46" i="39"/>
  <c r="C56" i="39"/>
  <c r="E56" i="39" s="1"/>
  <c r="C48" i="39"/>
  <c r="E48" i="39" s="1"/>
  <c r="C54" i="39"/>
  <c r="E54" i="39" s="1"/>
  <c r="C43" i="39"/>
  <c r="E43" i="39" s="1"/>
  <c r="C51" i="39"/>
  <c r="E51" i="39" s="1"/>
  <c r="C49" i="39"/>
  <c r="E49" i="39" s="1"/>
  <c r="C44" i="39"/>
  <c r="E44" i="39" s="1"/>
  <c r="J129" i="48"/>
  <c r="I129" i="48"/>
  <c r="C261" i="36"/>
  <c r="C262" i="36"/>
  <c r="E262" i="36" s="1"/>
  <c r="I262" i="36" s="1"/>
  <c r="F129" i="48"/>
  <c r="D254" i="36"/>
  <c r="G3" i="22"/>
  <c r="C42" i="39"/>
  <c r="E42" i="39" s="1"/>
  <c r="D228" i="36"/>
  <c r="F228" i="36" s="1"/>
  <c r="E135" i="48"/>
  <c r="E228" i="36"/>
  <c r="D219" i="36"/>
  <c r="F219" i="36" s="1"/>
  <c r="E219" i="36"/>
  <c r="E126" i="48"/>
  <c r="D229" i="36"/>
  <c r="E136" i="48"/>
  <c r="E229" i="36"/>
  <c r="E133" i="48"/>
  <c r="E226" i="36"/>
  <c r="D226" i="36"/>
  <c r="F226" i="36" s="1"/>
  <c r="D224" i="36"/>
  <c r="F224" i="36" s="1"/>
  <c r="E224" i="36"/>
  <c r="E131" i="48"/>
  <c r="E221" i="36"/>
  <c r="D221" i="36"/>
  <c r="F221" i="36" s="1"/>
  <c r="E128" i="48"/>
  <c r="E127" i="48"/>
  <c r="E220" i="36"/>
  <c r="D220" i="36"/>
  <c r="F220" i="36" s="1"/>
  <c r="E125" i="48"/>
  <c r="D218" i="36"/>
  <c r="F218" i="36" s="1"/>
  <c r="E218" i="36"/>
  <c r="E124" i="48"/>
  <c r="D217" i="36"/>
  <c r="F217" i="36" s="1"/>
  <c r="E217" i="36"/>
  <c r="E216" i="36"/>
  <c r="D216" i="36"/>
  <c r="F216" i="36" s="1"/>
  <c r="E123" i="48"/>
  <c r="E122" i="48"/>
  <c r="E215" i="36"/>
  <c r="D215" i="36"/>
  <c r="F215" i="36" s="1"/>
  <c r="E287" i="48"/>
  <c r="E284" i="48"/>
  <c r="E280" i="48"/>
  <c r="E290" i="48"/>
  <c r="E285" i="48"/>
  <c r="E277" i="48"/>
  <c r="E282" i="48"/>
  <c r="E288" i="48"/>
  <c r="D53" i="39"/>
  <c r="F53" i="39" s="1"/>
  <c r="E273" i="48"/>
  <c r="D50" i="39"/>
  <c r="F50" i="39" s="1"/>
  <c r="E270" i="48"/>
  <c r="D52" i="39"/>
  <c r="F52" i="39" s="1"/>
  <c r="E272" i="48"/>
  <c r="D55" i="39"/>
  <c r="F55" i="39" s="1"/>
  <c r="E275" i="48"/>
  <c r="D45" i="39"/>
  <c r="F45" i="39" s="1"/>
  <c r="E265" i="48"/>
  <c r="D47" i="39"/>
  <c r="F47" i="39" s="1"/>
  <c r="E267" i="48"/>
  <c r="E149" i="48"/>
  <c r="E142" i="48"/>
  <c r="E147" i="48"/>
  <c r="E144" i="48"/>
  <c r="E331" i="48"/>
  <c r="F331" i="48" s="1"/>
  <c r="E326" i="48"/>
  <c r="F326" i="48" s="1"/>
  <c r="I277" i="48"/>
  <c r="E324" i="48"/>
  <c r="F324" i="48" s="1"/>
  <c r="E291" i="48"/>
  <c r="E12" i="25"/>
  <c r="C225" i="36" s="1"/>
  <c r="C257" i="36" s="1"/>
  <c r="E10" i="25"/>
  <c r="C223" i="36" s="1"/>
  <c r="C255" i="36" s="1"/>
  <c r="E14" i="25"/>
  <c r="C227" i="36" s="1"/>
  <c r="C259" i="36" s="1"/>
  <c r="I285" i="48"/>
  <c r="I282" i="48"/>
  <c r="I288" i="48"/>
  <c r="I280" i="48"/>
  <c r="I287" i="48"/>
  <c r="E346" i="48"/>
  <c r="F346" i="48" s="1"/>
  <c r="I284" i="48"/>
  <c r="I290" i="48"/>
  <c r="D22" i="13"/>
  <c r="E22" i="13" s="1"/>
  <c r="E46" i="13"/>
  <c r="D48" i="13"/>
  <c r="E47" i="13"/>
  <c r="H25" i="13"/>
  <c r="AC17" i="15"/>
  <c r="J26" i="13"/>
  <c r="F18" i="13"/>
  <c r="H46" i="13"/>
  <c r="E42" i="40" l="1"/>
  <c r="D73" i="40"/>
  <c r="G255" i="36" s="1"/>
  <c r="E73" i="40"/>
  <c r="H255" i="36" s="1"/>
  <c r="E54" i="40"/>
  <c r="D54" i="40"/>
  <c r="D78" i="40"/>
  <c r="G261" i="36" s="1"/>
  <c r="E78" i="40"/>
  <c r="H261" i="36" s="1"/>
  <c r="D48" i="40"/>
  <c r="E48" i="40"/>
  <c r="D70" i="40"/>
  <c r="G252" i="36" s="1"/>
  <c r="E70" i="40"/>
  <c r="H252" i="36" s="1"/>
  <c r="E66" i="40"/>
  <c r="H247" i="36" s="1"/>
  <c r="D66" i="40"/>
  <c r="G247" i="36" s="1"/>
  <c r="D72" i="40"/>
  <c r="G254" i="36" s="1"/>
  <c r="E72" i="40"/>
  <c r="H254" i="36" s="1"/>
  <c r="E46" i="40"/>
  <c r="D46" i="40"/>
  <c r="E51" i="40"/>
  <c r="D51" i="40"/>
  <c r="E49" i="40"/>
  <c r="D49" i="40"/>
  <c r="E329" i="48"/>
  <c r="F329" i="48" s="1"/>
  <c r="D80" i="40"/>
  <c r="G260" i="36" s="1"/>
  <c r="E80" i="40"/>
  <c r="H260" i="36" s="1"/>
  <c r="E43" i="40"/>
  <c r="D43" i="40"/>
  <c r="D75" i="40"/>
  <c r="G257" i="36" s="1"/>
  <c r="E75" i="40"/>
  <c r="H257" i="36" s="1"/>
  <c r="E56" i="40"/>
  <c r="D56" i="40"/>
  <c r="D67" i="40"/>
  <c r="G248" i="36" s="1"/>
  <c r="E67" i="40"/>
  <c r="H248" i="36" s="1"/>
  <c r="E322" i="48"/>
  <c r="F322" i="48" s="1"/>
  <c r="E334" i="48"/>
  <c r="F334" i="48" s="1"/>
  <c r="E328" i="48"/>
  <c r="F328" i="48" s="1"/>
  <c r="E68" i="40"/>
  <c r="H249" i="36" s="1"/>
  <c r="D68" i="40"/>
  <c r="G249" i="36" s="1"/>
  <c r="D46" i="39"/>
  <c r="F46" i="39" s="1"/>
  <c r="E46" i="39"/>
  <c r="D44" i="40"/>
  <c r="E44" i="40"/>
  <c r="J345" i="48"/>
  <c r="I342" i="48"/>
  <c r="J342" i="48"/>
  <c r="I345" i="48"/>
  <c r="J340" i="48"/>
  <c r="J348" i="48"/>
  <c r="I340" i="48"/>
  <c r="I350" i="48"/>
  <c r="I347" i="48"/>
  <c r="J347" i="48"/>
  <c r="I348" i="48"/>
  <c r="J350" i="48"/>
  <c r="J135" i="48"/>
  <c r="J123" i="48"/>
  <c r="J125" i="48"/>
  <c r="J127" i="48"/>
  <c r="J128" i="48"/>
  <c r="J126" i="48"/>
  <c r="J122" i="48"/>
  <c r="J124" i="48"/>
  <c r="J131" i="48"/>
  <c r="J133" i="48"/>
  <c r="I135" i="48"/>
  <c r="I125" i="48"/>
  <c r="I127" i="48"/>
  <c r="I131" i="48"/>
  <c r="I133" i="48"/>
  <c r="I122" i="48"/>
  <c r="I136" i="48"/>
  <c r="I123" i="48"/>
  <c r="I128" i="48"/>
  <c r="I126" i="48"/>
  <c r="I124" i="48"/>
  <c r="I333" i="48"/>
  <c r="F53" i="40"/>
  <c r="H53" i="40"/>
  <c r="I330" i="48"/>
  <c r="F50" i="40"/>
  <c r="H50" i="40"/>
  <c r="I327" i="48"/>
  <c r="F47" i="40"/>
  <c r="H47" i="40"/>
  <c r="J327" i="48"/>
  <c r="G47" i="40"/>
  <c r="I47" i="40"/>
  <c r="J325" i="48"/>
  <c r="G45" i="40"/>
  <c r="I45" i="40"/>
  <c r="I335" i="48"/>
  <c r="F55" i="40"/>
  <c r="H55" i="40"/>
  <c r="I325" i="48"/>
  <c r="F45" i="40"/>
  <c r="H45" i="40"/>
  <c r="J330" i="48"/>
  <c r="I50" i="40"/>
  <c r="G50" i="40"/>
  <c r="J332" i="48"/>
  <c r="G52" i="40"/>
  <c r="I52" i="40"/>
  <c r="J335" i="48"/>
  <c r="G55" i="40"/>
  <c r="I55" i="40"/>
  <c r="I332" i="48"/>
  <c r="F52" i="40"/>
  <c r="H52" i="40"/>
  <c r="J333" i="48"/>
  <c r="G53" i="40"/>
  <c r="I53" i="40"/>
  <c r="F229" i="36"/>
  <c r="D262" i="36"/>
  <c r="F262" i="36" s="1"/>
  <c r="J262" i="36" s="1"/>
  <c r="F127" i="48"/>
  <c r="D252" i="36"/>
  <c r="F122" i="48"/>
  <c r="D247" i="36"/>
  <c r="F136" i="48"/>
  <c r="D261" i="36"/>
  <c r="F128" i="48"/>
  <c r="D253" i="36"/>
  <c r="F253" i="36" s="1"/>
  <c r="J253" i="36" s="1"/>
  <c r="F123" i="48"/>
  <c r="D248" i="36"/>
  <c r="F126" i="48"/>
  <c r="D251" i="36"/>
  <c r="F142" i="48" s="1"/>
  <c r="F131" i="48"/>
  <c r="D256" i="36"/>
  <c r="F147" i="48" s="1"/>
  <c r="F135" i="48"/>
  <c r="D260" i="36"/>
  <c r="F133" i="48"/>
  <c r="D258" i="36"/>
  <c r="F258" i="36" s="1"/>
  <c r="J258" i="36" s="1"/>
  <c r="F124" i="48"/>
  <c r="D249" i="36"/>
  <c r="F125" i="48"/>
  <c r="D250" i="36"/>
  <c r="F141" i="48" s="1"/>
  <c r="E227" i="36"/>
  <c r="E134" i="48"/>
  <c r="D227" i="36"/>
  <c r="E150" i="48"/>
  <c r="D225" i="36"/>
  <c r="F225" i="36" s="1"/>
  <c r="E132" i="48"/>
  <c r="E225" i="36"/>
  <c r="E130" i="48"/>
  <c r="D223" i="36"/>
  <c r="F223" i="36" s="1"/>
  <c r="E223" i="36"/>
  <c r="E289" i="48"/>
  <c r="J285" i="48"/>
  <c r="F285" i="48"/>
  <c r="J282" i="48"/>
  <c r="F282" i="48"/>
  <c r="E278" i="48"/>
  <c r="E286" i="48"/>
  <c r="E281" i="48"/>
  <c r="J277" i="48"/>
  <c r="F277" i="48"/>
  <c r="E283" i="48"/>
  <c r="J288" i="48"/>
  <c r="F288" i="48"/>
  <c r="J280" i="48"/>
  <c r="F280" i="48"/>
  <c r="J284" i="48"/>
  <c r="F284" i="48"/>
  <c r="E279" i="48"/>
  <c r="E337" i="48"/>
  <c r="F337" i="48" s="1"/>
  <c r="E344" i="48"/>
  <c r="F344" i="48" s="1"/>
  <c r="E351" i="48"/>
  <c r="F351" i="48" s="1"/>
  <c r="J290" i="48"/>
  <c r="F290" i="48"/>
  <c r="J287" i="48"/>
  <c r="F287" i="48"/>
  <c r="D44" i="39"/>
  <c r="F44" i="39" s="1"/>
  <c r="E264" i="48"/>
  <c r="D51" i="39"/>
  <c r="F51" i="39" s="1"/>
  <c r="E271" i="48"/>
  <c r="I270" i="48"/>
  <c r="I267" i="48"/>
  <c r="D54" i="39"/>
  <c r="F54" i="39" s="1"/>
  <c r="E274" i="48"/>
  <c r="I265" i="48"/>
  <c r="F272" i="48"/>
  <c r="D56" i="39"/>
  <c r="F56" i="39" s="1"/>
  <c r="E276" i="48"/>
  <c r="I275" i="48"/>
  <c r="I272" i="48"/>
  <c r="I273" i="48"/>
  <c r="D49" i="39"/>
  <c r="F49" i="39" s="1"/>
  <c r="E269" i="48"/>
  <c r="F270" i="48"/>
  <c r="D48" i="39"/>
  <c r="F48" i="39" s="1"/>
  <c r="E268" i="48"/>
  <c r="F265" i="48"/>
  <c r="F275" i="48"/>
  <c r="E266" i="48"/>
  <c r="F267" i="48"/>
  <c r="D43" i="39"/>
  <c r="F43" i="39" s="1"/>
  <c r="E263" i="48"/>
  <c r="D42" i="39"/>
  <c r="F42" i="39" s="1"/>
  <c r="E262" i="48"/>
  <c r="F273" i="48"/>
  <c r="E250" i="36"/>
  <c r="I250" i="36" s="1"/>
  <c r="E141" i="48"/>
  <c r="I291" i="48"/>
  <c r="E143" i="48"/>
  <c r="E148" i="48"/>
  <c r="E151" i="48"/>
  <c r="E140" i="48"/>
  <c r="E138" i="48"/>
  <c r="E146" i="48"/>
  <c r="E256" i="36"/>
  <c r="I256" i="36" s="1"/>
  <c r="I281" i="48"/>
  <c r="I278" i="48"/>
  <c r="I289" i="48"/>
  <c r="I286" i="48"/>
  <c r="I279" i="48"/>
  <c r="I283" i="48"/>
  <c r="D23" i="13"/>
  <c r="D24" i="13" s="1"/>
  <c r="E24" i="13" s="1"/>
  <c r="G18" i="13"/>
  <c r="F19" i="13"/>
  <c r="J27" i="13"/>
  <c r="H26" i="13"/>
  <c r="F43" i="13"/>
  <c r="H47" i="13"/>
  <c r="D49" i="13"/>
  <c r="E48" i="13"/>
  <c r="I351" i="48" l="1"/>
  <c r="J349" i="48"/>
  <c r="H58" i="36"/>
  <c r="J58" i="36" s="1"/>
  <c r="H118" i="36"/>
  <c r="J118" i="36" s="1"/>
  <c r="J344" i="48"/>
  <c r="H124" i="36"/>
  <c r="J124" i="36" s="1"/>
  <c r="H60" i="36"/>
  <c r="J60" i="36" s="1"/>
  <c r="G66" i="36"/>
  <c r="I66" i="36" s="1"/>
  <c r="I338" i="48"/>
  <c r="H66" i="36"/>
  <c r="J66" i="36" s="1"/>
  <c r="J338" i="48"/>
  <c r="J337" i="48"/>
  <c r="G118" i="36"/>
  <c r="I118" i="36" s="1"/>
  <c r="J343" i="48"/>
  <c r="G60" i="36"/>
  <c r="I60" i="36" s="1"/>
  <c r="H115" i="36"/>
  <c r="J115" i="36" s="1"/>
  <c r="I341" i="48"/>
  <c r="G121" i="36"/>
  <c r="I121" i="36" s="1"/>
  <c r="I349" i="48"/>
  <c r="I343" i="48"/>
  <c r="H121" i="36"/>
  <c r="J121" i="36" s="1"/>
  <c r="I339" i="48"/>
  <c r="G115" i="36"/>
  <c r="I115" i="36" s="1"/>
  <c r="G63" i="36"/>
  <c r="I63" i="36" s="1"/>
  <c r="J341" i="48"/>
  <c r="H125" i="36"/>
  <c r="J125" i="36" s="1"/>
  <c r="G57" i="36"/>
  <c r="I57" i="36" s="1"/>
  <c r="H57" i="36"/>
  <c r="J57" i="36" s="1"/>
  <c r="H67" i="36"/>
  <c r="J67" i="36" s="1"/>
  <c r="G125" i="36"/>
  <c r="I125" i="36" s="1"/>
  <c r="H116" i="36"/>
  <c r="J116" i="36" s="1"/>
  <c r="I344" i="48"/>
  <c r="H63" i="36"/>
  <c r="J63" i="36" s="1"/>
  <c r="J339" i="48"/>
  <c r="J346" i="48"/>
  <c r="G116" i="36"/>
  <c r="I116" i="36" s="1"/>
  <c r="G67" i="36"/>
  <c r="I67" i="36" s="1"/>
  <c r="J351" i="48"/>
  <c r="I346" i="48"/>
  <c r="I337" i="48"/>
  <c r="G124" i="36"/>
  <c r="I124" i="36" s="1"/>
  <c r="G58" i="36"/>
  <c r="I58" i="36" s="1"/>
  <c r="F149" i="48"/>
  <c r="J132" i="48"/>
  <c r="J144" i="48"/>
  <c r="J149" i="48"/>
  <c r="J130" i="48"/>
  <c r="J136" i="48"/>
  <c r="I134" i="48"/>
  <c r="I130" i="48"/>
  <c r="I147" i="48"/>
  <c r="I132" i="48"/>
  <c r="I141" i="48"/>
  <c r="J324" i="48"/>
  <c r="G44" i="40"/>
  <c r="I44" i="40"/>
  <c r="J326" i="48"/>
  <c r="G46" i="40"/>
  <c r="I46" i="40"/>
  <c r="J322" i="48"/>
  <c r="I42" i="40"/>
  <c r="G42" i="40"/>
  <c r="I324" i="48"/>
  <c r="F44" i="40"/>
  <c r="H44" i="40"/>
  <c r="I336" i="48"/>
  <c r="F56" i="40"/>
  <c r="H56" i="40"/>
  <c r="I326" i="48"/>
  <c r="F46" i="40"/>
  <c r="H46" i="40"/>
  <c r="J329" i="48"/>
  <c r="G49" i="40"/>
  <c r="I49" i="40"/>
  <c r="I334" i="48"/>
  <c r="H54" i="40"/>
  <c r="F54" i="40"/>
  <c r="I323" i="48"/>
  <c r="F43" i="40"/>
  <c r="H43" i="40"/>
  <c r="J331" i="48"/>
  <c r="G51" i="40"/>
  <c r="I51" i="40"/>
  <c r="I329" i="48"/>
  <c r="F49" i="40"/>
  <c r="H49" i="40"/>
  <c r="J336" i="48"/>
  <c r="G56" i="40"/>
  <c r="I56" i="40"/>
  <c r="J323" i="48"/>
  <c r="G43" i="40"/>
  <c r="I43" i="40"/>
  <c r="I331" i="48"/>
  <c r="F51" i="40"/>
  <c r="H51" i="40"/>
  <c r="J334" i="48"/>
  <c r="G54" i="40"/>
  <c r="I54" i="40"/>
  <c r="I322" i="48"/>
  <c r="H42" i="40"/>
  <c r="F42" i="40"/>
  <c r="J328" i="48"/>
  <c r="G48" i="40"/>
  <c r="I48" i="40"/>
  <c r="I328" i="48"/>
  <c r="F48" i="40"/>
  <c r="H48" i="40"/>
  <c r="D259" i="36"/>
  <c r="F227" i="36"/>
  <c r="F251" i="36"/>
  <c r="J251" i="36" s="1"/>
  <c r="F132" i="48"/>
  <c r="D257" i="36"/>
  <c r="F257" i="36" s="1"/>
  <c r="J257" i="36" s="1"/>
  <c r="F256" i="36"/>
  <c r="J256" i="36" s="1"/>
  <c r="F130" i="48"/>
  <c r="D255" i="36"/>
  <c r="F255" i="36" s="1"/>
  <c r="J255" i="36" s="1"/>
  <c r="F144" i="48"/>
  <c r="F250" i="36"/>
  <c r="J250" i="36" s="1"/>
  <c r="F134" i="48"/>
  <c r="J286" i="48"/>
  <c r="F286" i="48"/>
  <c r="J279" i="48"/>
  <c r="F279" i="48"/>
  <c r="J278" i="48"/>
  <c r="F278" i="48"/>
  <c r="J283" i="48"/>
  <c r="F283" i="48"/>
  <c r="J281" i="48"/>
  <c r="F281" i="48"/>
  <c r="J291" i="48"/>
  <c r="F291" i="48"/>
  <c r="J289" i="48"/>
  <c r="F289" i="48"/>
  <c r="J265" i="48"/>
  <c r="F276" i="48"/>
  <c r="F268" i="48"/>
  <c r="I268" i="48"/>
  <c r="I271" i="48"/>
  <c r="J270" i="48"/>
  <c r="J275" i="48"/>
  <c r="J272" i="48"/>
  <c r="F274" i="48"/>
  <c r="F271" i="48"/>
  <c r="I262" i="48"/>
  <c r="I269" i="48"/>
  <c r="F269" i="48"/>
  <c r="I264" i="48"/>
  <c r="I266" i="48"/>
  <c r="F263" i="48"/>
  <c r="J267" i="48"/>
  <c r="I276" i="48"/>
  <c r="I263" i="48"/>
  <c r="J273" i="48"/>
  <c r="F262" i="48"/>
  <c r="I274" i="48"/>
  <c r="F266" i="48"/>
  <c r="F264" i="48"/>
  <c r="E252" i="36"/>
  <c r="I252" i="36" s="1"/>
  <c r="F249" i="36"/>
  <c r="J249" i="36" s="1"/>
  <c r="F140" i="48"/>
  <c r="F260" i="36"/>
  <c r="J260" i="36" s="1"/>
  <c r="F151" i="48"/>
  <c r="E254" i="36"/>
  <c r="I254" i="36" s="1"/>
  <c r="E145" i="48"/>
  <c r="F247" i="36"/>
  <c r="J247" i="36" s="1"/>
  <c r="F138" i="48"/>
  <c r="F254" i="36"/>
  <c r="J254" i="36" s="1"/>
  <c r="F145" i="48"/>
  <c r="F252" i="36"/>
  <c r="J252" i="36" s="1"/>
  <c r="F143" i="48"/>
  <c r="F261" i="36"/>
  <c r="J261" i="36" s="1"/>
  <c r="F152" i="48"/>
  <c r="F248" i="36"/>
  <c r="J248" i="36" s="1"/>
  <c r="F139" i="48"/>
  <c r="E261" i="36"/>
  <c r="I261" i="36" s="1"/>
  <c r="E152" i="48"/>
  <c r="E248" i="36"/>
  <c r="I248" i="36" s="1"/>
  <c r="E139" i="48"/>
  <c r="E257" i="36"/>
  <c r="I257" i="36" s="1"/>
  <c r="E249" i="36"/>
  <c r="I249" i="36" s="1"/>
  <c r="E253" i="36"/>
  <c r="I253" i="36" s="1"/>
  <c r="E247" i="36"/>
  <c r="I247" i="36" s="1"/>
  <c r="E260" i="36"/>
  <c r="I260" i="36" s="1"/>
  <c r="E258" i="36"/>
  <c r="I258" i="36" s="1"/>
  <c r="E255" i="36"/>
  <c r="I255" i="36" s="1"/>
  <c r="E251" i="36"/>
  <c r="I251" i="36" s="1"/>
  <c r="E259" i="36"/>
  <c r="I259" i="36" s="1"/>
  <c r="E23" i="13"/>
  <c r="D25" i="13"/>
  <c r="E25" i="13" s="1"/>
  <c r="F20" i="13"/>
  <c r="G19" i="13"/>
  <c r="D50" i="13"/>
  <c r="E49" i="13"/>
  <c r="H27" i="13"/>
  <c r="I18" i="13"/>
  <c r="K18" i="13"/>
  <c r="F44" i="13"/>
  <c r="G43" i="13"/>
  <c r="I43" i="13" s="1"/>
  <c r="H48" i="13"/>
  <c r="J28" i="13"/>
  <c r="G119" i="36" l="1"/>
  <c r="I119" i="36" s="1"/>
  <c r="H117" i="36"/>
  <c r="J117" i="36" s="1"/>
  <c r="H62" i="36"/>
  <c r="J62" i="36" s="1"/>
  <c r="H119" i="36"/>
  <c r="J119" i="36" s="1"/>
  <c r="G59" i="36"/>
  <c r="I59" i="36" s="1"/>
  <c r="H126" i="36"/>
  <c r="J126" i="36" s="1"/>
  <c r="G112" i="36"/>
  <c r="I112" i="36" s="1"/>
  <c r="G126" i="36"/>
  <c r="I126" i="36" s="1"/>
  <c r="H68" i="36"/>
  <c r="J68" i="36" s="1"/>
  <c r="H56" i="36"/>
  <c r="J56" i="36" s="1"/>
  <c r="H123" i="36"/>
  <c r="J123" i="36" s="1"/>
  <c r="G68" i="36"/>
  <c r="I68" i="36" s="1"/>
  <c r="G117" i="36"/>
  <c r="I117" i="36" s="1"/>
  <c r="H127" i="36"/>
  <c r="J127" i="36" s="1"/>
  <c r="H65" i="36"/>
  <c r="J65" i="36" s="1"/>
  <c r="H61" i="36"/>
  <c r="J61" i="36" s="1"/>
  <c r="H69" i="36"/>
  <c r="J69" i="36" s="1"/>
  <c r="G114" i="36"/>
  <c r="I114" i="36" s="1"/>
  <c r="H120" i="36"/>
  <c r="J120" i="36" s="1"/>
  <c r="G54" i="36"/>
  <c r="I54" i="36" s="1"/>
  <c r="G113" i="36"/>
  <c r="I113" i="36" s="1"/>
  <c r="G65" i="36"/>
  <c r="I65" i="36" s="1"/>
  <c r="H54" i="36"/>
  <c r="J54" i="36" s="1"/>
  <c r="G61" i="36"/>
  <c r="I61" i="36" s="1"/>
  <c r="H114" i="36"/>
  <c r="J114" i="36" s="1"/>
  <c r="G120" i="36"/>
  <c r="I120" i="36" s="1"/>
  <c r="G56" i="36"/>
  <c r="I56" i="36" s="1"/>
  <c r="G123" i="36"/>
  <c r="I123" i="36" s="1"/>
  <c r="G69" i="36"/>
  <c r="I69" i="36" s="1"/>
  <c r="H112" i="36"/>
  <c r="J112" i="36" s="1"/>
  <c r="H55" i="36"/>
  <c r="J55" i="36" s="1"/>
  <c r="H59" i="36"/>
  <c r="J59" i="36" s="1"/>
  <c r="G62" i="36"/>
  <c r="I62" i="36" s="1"/>
  <c r="G55" i="36"/>
  <c r="I55" i="36" s="1"/>
  <c r="H113" i="36"/>
  <c r="J113" i="36" s="1"/>
  <c r="G127" i="36"/>
  <c r="I127" i="36" s="1"/>
  <c r="J148" i="48"/>
  <c r="J145" i="48"/>
  <c r="J138" i="48"/>
  <c r="J151" i="48"/>
  <c r="J142" i="48"/>
  <c r="J134" i="48"/>
  <c r="J146" i="48"/>
  <c r="J141" i="48"/>
  <c r="J147" i="48"/>
  <c r="J139" i="48"/>
  <c r="J152" i="48"/>
  <c r="J140" i="48"/>
  <c r="J143" i="48"/>
  <c r="I148" i="48"/>
  <c r="I145" i="48"/>
  <c r="I142" i="48"/>
  <c r="I146" i="48"/>
  <c r="I139" i="48"/>
  <c r="I144" i="48"/>
  <c r="I149" i="48"/>
  <c r="I151" i="48"/>
  <c r="I138" i="48"/>
  <c r="I143" i="48"/>
  <c r="I152" i="48"/>
  <c r="I140" i="48"/>
  <c r="I150" i="48"/>
  <c r="F148" i="48"/>
  <c r="F146" i="48"/>
  <c r="F259" i="36"/>
  <c r="J259" i="36" s="1"/>
  <c r="F150" i="48"/>
  <c r="J263" i="48"/>
  <c r="J264" i="48"/>
  <c r="J266" i="48"/>
  <c r="J268" i="48"/>
  <c r="J269" i="48"/>
  <c r="J271" i="48"/>
  <c r="J276" i="48"/>
  <c r="J262" i="48"/>
  <c r="J274" i="48"/>
  <c r="D26" i="13"/>
  <c r="J29" i="13"/>
  <c r="J30" i="13" s="1"/>
  <c r="I19" i="13"/>
  <c r="K19" i="13"/>
  <c r="F45" i="13"/>
  <c r="G44" i="13"/>
  <c r="I44" i="13" s="1"/>
  <c r="F21" i="13"/>
  <c r="G20" i="13"/>
  <c r="D27" i="13"/>
  <c r="E26" i="13"/>
  <c r="H49" i="13"/>
  <c r="H28" i="13"/>
  <c r="E50" i="13"/>
  <c r="D51" i="13"/>
  <c r="J150" i="48" l="1"/>
  <c r="J31" i="13"/>
  <c r="I20" i="13"/>
  <c r="K20" i="13"/>
  <c r="D52" i="13"/>
  <c r="E51" i="13"/>
  <c r="H29" i="13"/>
  <c r="H30" i="13" s="1"/>
  <c r="F22" i="13"/>
  <c r="G21" i="13"/>
  <c r="F46" i="13"/>
  <c r="G45" i="13"/>
  <c r="I45" i="13" s="1"/>
  <c r="D28" i="13"/>
  <c r="E27" i="13"/>
  <c r="H50" i="13"/>
  <c r="H31" i="13" l="1"/>
  <c r="F23" i="13"/>
  <c r="G22" i="13"/>
  <c r="F47" i="13"/>
  <c r="G46" i="13"/>
  <c r="I46" i="13" s="1"/>
  <c r="D53" i="13"/>
  <c r="E52" i="13"/>
  <c r="K21" i="13"/>
  <c r="I21" i="13"/>
  <c r="E28" i="13"/>
  <c r="D29" i="13"/>
  <c r="H51" i="13"/>
  <c r="E29" i="13" l="1"/>
  <c r="D30" i="13"/>
  <c r="H52" i="13"/>
  <c r="E53" i="13"/>
  <c r="D54" i="13"/>
  <c r="E54" i="13" s="1"/>
  <c r="I22" i="13"/>
  <c r="K22" i="13"/>
  <c r="F48" i="13"/>
  <c r="G47" i="13"/>
  <c r="I47" i="13" s="1"/>
  <c r="F24" i="13"/>
  <c r="G23" i="13"/>
  <c r="E30" i="13" l="1"/>
  <c r="D31" i="13"/>
  <c r="E31" i="13" s="1"/>
  <c r="F49" i="13"/>
  <c r="G48" i="13"/>
  <c r="I48" i="13" s="1"/>
  <c r="F25" i="13"/>
  <c r="G24" i="13"/>
  <c r="H53" i="13"/>
  <c r="K23" i="13"/>
  <c r="I23" i="13"/>
  <c r="F26" i="13" l="1"/>
  <c r="G25" i="13"/>
  <c r="K24" i="13"/>
  <c r="I24" i="13"/>
  <c r="H54" i="13"/>
  <c r="F50" i="13"/>
  <c r="G49" i="13"/>
  <c r="I49" i="13" s="1"/>
  <c r="K25" i="13" l="1"/>
  <c r="I25" i="13"/>
  <c r="F51" i="13"/>
  <c r="G50" i="13"/>
  <c r="I50" i="13" s="1"/>
  <c r="F27" i="13"/>
  <c r="G26" i="13"/>
  <c r="F52" i="13" l="1"/>
  <c r="G51" i="13"/>
  <c r="I51" i="13" s="1"/>
  <c r="K26" i="13"/>
  <c r="I26" i="13"/>
  <c r="F28" i="13"/>
  <c r="G27" i="13"/>
  <c r="K27" i="13" l="1"/>
  <c r="I27" i="13"/>
  <c r="F53" i="13"/>
  <c r="G52" i="13"/>
  <c r="I52" i="13" s="1"/>
  <c r="F29" i="13"/>
  <c r="G28" i="13"/>
  <c r="G29" i="13" l="1"/>
  <c r="I29" i="13" s="1"/>
  <c r="F30" i="13"/>
  <c r="K28" i="13"/>
  <c r="I28" i="13"/>
  <c r="F54" i="13"/>
  <c r="G54" i="13" s="1"/>
  <c r="I54" i="13" s="1"/>
  <c r="G53" i="13"/>
  <c r="I53" i="13" s="1"/>
  <c r="K29" i="13"/>
  <c r="F31" i="13" l="1"/>
  <c r="G31" i="13" s="1"/>
  <c r="G30" i="13"/>
  <c r="K30" i="13" l="1"/>
  <c r="I30" i="13"/>
  <c r="K31" i="13"/>
  <c r="I3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Browning</author>
  </authors>
  <commentList>
    <comment ref="C23" authorId="0" shapeId="0" xr:uid="{F14B3F10-1872-F742-A3B2-70FE5868FFA0}">
      <text>
        <r>
          <rPr>
            <b/>
            <sz val="10"/>
            <color rgb="FF000000"/>
            <rFont val="Tahoma"/>
            <family val="2"/>
          </rPr>
          <t>John Browning:</t>
        </r>
        <r>
          <rPr>
            <sz val="10"/>
            <color rgb="FF000000"/>
            <rFont val="Tahoma"/>
            <family val="2"/>
          </rPr>
          <t xml:space="preserve">
</t>
        </r>
        <r>
          <rPr>
            <sz val="10"/>
            <color rgb="FF000000"/>
            <rFont val="Tahoma"/>
            <family val="2"/>
          </rPr>
          <t xml:space="preserve">Result doubled to account for possible noncondensible fractions.
</t>
        </r>
      </text>
    </comment>
    <comment ref="C48" authorId="0" shapeId="0" xr:uid="{79686ED7-E840-614E-B9C9-7014C7930B51}">
      <text>
        <r>
          <rPr>
            <b/>
            <sz val="10"/>
            <color rgb="FF000000"/>
            <rFont val="Tahoma"/>
            <family val="2"/>
          </rPr>
          <t>John Browning:</t>
        </r>
        <r>
          <rPr>
            <sz val="10"/>
            <color rgb="FF000000"/>
            <rFont val="Tahoma"/>
            <family val="2"/>
          </rPr>
          <t xml:space="preserve">
</t>
        </r>
        <r>
          <rPr>
            <sz val="10"/>
            <color rgb="FF000000"/>
            <rFont val="Tahoma"/>
            <family val="2"/>
          </rPr>
          <t xml:space="preserve">Result doubled to account for possible noncondensible fractions.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Browning</author>
  </authors>
  <commentList>
    <comment ref="U13" authorId="0" shapeId="0" xr:uid="{00000000-0006-0000-0C00-000001000000}">
      <text>
        <r>
          <rPr>
            <b/>
            <sz val="9"/>
            <color indexed="81"/>
            <rFont val="Calibri"/>
            <family val="2"/>
          </rPr>
          <t>John Browning:</t>
        </r>
        <r>
          <rPr>
            <sz val="9"/>
            <color indexed="81"/>
            <rFont val="Calibri"/>
            <family val="2"/>
          </rPr>
          <t xml:space="preserve">
All three ND, result is 0 per CAO.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J.R.</author>
  </authors>
  <commentList>
    <comment ref="F5" authorId="0" shapeId="0" xr:uid="{995C387C-D29C-4071-A22C-FF8C2F10DB6D}">
      <text>
        <r>
          <rPr>
            <b/>
            <sz val="9"/>
            <color indexed="81"/>
            <rFont val="Tahoma"/>
            <family val="2"/>
          </rPr>
          <t>GISKA J.R.:</t>
        </r>
        <r>
          <rPr>
            <sz val="9"/>
            <color indexed="81"/>
            <rFont val="Tahoma"/>
            <family val="2"/>
          </rPr>
          <t xml:space="preserve">
per metric tonne of liquid steel.
Convert to pounds - 1 tonne = 2204.62 lb</t>
        </r>
      </text>
    </comment>
    <comment ref="F6" authorId="0" shapeId="0" xr:uid="{DD003AC1-F992-4E40-9C76-7DD98A71132A}">
      <text>
        <r>
          <rPr>
            <b/>
            <sz val="9"/>
            <color indexed="81"/>
            <rFont val="Tahoma"/>
            <family val="2"/>
          </rPr>
          <t>GISKA J.R.:</t>
        </r>
        <r>
          <rPr>
            <sz val="9"/>
            <color indexed="81"/>
            <rFont val="Tahoma"/>
            <family val="2"/>
          </rPr>
          <t xml:space="preserve">
per metric tonne of liquid steel.
Convert to pounds - 1 tonne = 2204.62 lb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Browning</author>
  </authors>
  <commentList>
    <comment ref="D22" authorId="0" shapeId="0" xr:uid="{4F015098-BEC4-BD4D-A0C4-3438CF57C5BC}">
      <text>
        <r>
          <rPr>
            <b/>
            <sz val="10"/>
            <color rgb="FF000000"/>
            <rFont val="Tahoma"/>
            <family val="2"/>
          </rPr>
          <t>John Browning:</t>
        </r>
        <r>
          <rPr>
            <sz val="10"/>
            <color rgb="FF000000"/>
            <rFont val="Tahoma"/>
            <family val="2"/>
          </rPr>
          <t xml:space="preserve">
</t>
        </r>
        <r>
          <rPr>
            <sz val="10"/>
            <color rgb="FF000000"/>
            <rFont val="Tahoma"/>
            <family val="2"/>
          </rPr>
          <t>Drawing does not indicate diameter. Based on 9'2" diameter of the larger 10,000 tank therefore working volume is slightly overestimated resulting in a conservative emission iestimate.</t>
        </r>
      </text>
    </comment>
  </commentList>
</comments>
</file>

<file path=xl/sharedStrings.xml><?xml version="1.0" encoding="utf-8"?>
<sst xmlns="http://schemas.openxmlformats.org/spreadsheetml/2006/main" count="10038" uniqueCount="1953">
  <si>
    <t>Cascade Steel Rolling Mills</t>
  </si>
  <si>
    <t>EU-4</t>
  </si>
  <si>
    <t>EU-5</t>
  </si>
  <si>
    <t>EU-7</t>
  </si>
  <si>
    <t>Billet Cutting</t>
  </si>
  <si>
    <t>EU-10</t>
  </si>
  <si>
    <t>Arsenic</t>
  </si>
  <si>
    <t>Cadmium</t>
  </si>
  <si>
    <t>Chromium</t>
  </si>
  <si>
    <t>Lead</t>
  </si>
  <si>
    <t>Manganese</t>
  </si>
  <si>
    <t>Mercury</t>
  </si>
  <si>
    <t>Nickel</t>
  </si>
  <si>
    <t>Acetaldehyde</t>
  </si>
  <si>
    <t>Acrolein</t>
  </si>
  <si>
    <t>Benzene</t>
  </si>
  <si>
    <t>Chlorobenzene</t>
  </si>
  <si>
    <t>Formaldehyde</t>
  </si>
  <si>
    <t>Hexane</t>
  </si>
  <si>
    <t>Naphthalene</t>
  </si>
  <si>
    <t>Styrene</t>
  </si>
  <si>
    <t>Toluene</t>
  </si>
  <si>
    <t>Notes</t>
  </si>
  <si>
    <t>Metal</t>
  </si>
  <si>
    <t>BH2</t>
  </si>
  <si>
    <t>Roof Monitor</t>
  </si>
  <si>
    <t>Aluminum</t>
  </si>
  <si>
    <t>Copper</t>
  </si>
  <si>
    <t>Vanadium</t>
  </si>
  <si>
    <t>Zinc</t>
  </si>
  <si>
    <t>Antimony</t>
  </si>
  <si>
    <t>Cobalt</t>
  </si>
  <si>
    <t>Ethyl benzene</t>
  </si>
  <si>
    <t>Ammonia</t>
  </si>
  <si>
    <t>BH-1</t>
  </si>
  <si>
    <t>BH-1A</t>
  </si>
  <si>
    <t>BH-2</t>
  </si>
  <si>
    <t>Avg</t>
  </si>
  <si>
    <t>Phophorus</t>
  </si>
  <si>
    <t>Date</t>
  </si>
  <si>
    <t>EU-12</t>
  </si>
  <si>
    <t>tons/day</t>
  </si>
  <si>
    <t>hrs/day</t>
  </si>
  <si>
    <t>hrs/yr</t>
  </si>
  <si>
    <t>Pollutant</t>
  </si>
  <si>
    <t>MMBTU/day</t>
  </si>
  <si>
    <t>MELTFUG</t>
  </si>
  <si>
    <t>RFS2</t>
  </si>
  <si>
    <t>BH02</t>
  </si>
  <si>
    <t>% moisture content</t>
  </si>
  <si>
    <t xml:space="preserve"> </t>
  </si>
  <si>
    <r>
      <t>2013 Filter Sample Analysis (</t>
    </r>
    <r>
      <rPr>
        <b/>
        <sz val="12"/>
        <color theme="1"/>
        <rFont val="Calibri"/>
        <family val="2"/>
        <scheme val="minor"/>
      </rPr>
      <t>mg/kg Filter</t>
    </r>
    <r>
      <rPr>
        <sz val="12"/>
        <color theme="1"/>
        <rFont val="Calibri"/>
        <family val="2"/>
        <scheme val="minor"/>
      </rPr>
      <t xml:space="preserve">), </t>
    </r>
    <r>
      <rPr>
        <i/>
        <sz val="12"/>
        <color theme="1"/>
        <rFont val="Calibri"/>
        <family val="2"/>
        <scheme val="minor"/>
      </rPr>
      <t>italicized were ND at the value listed</t>
    </r>
  </si>
  <si>
    <r>
      <t>Analysis of Filter Sample</t>
    </r>
    <r>
      <rPr>
        <vertAlign val="superscript"/>
        <sz val="12"/>
        <color theme="1"/>
        <rFont val="Calibri"/>
        <family val="2"/>
        <scheme val="minor"/>
      </rPr>
      <t>1</t>
    </r>
    <r>
      <rPr>
        <sz val="12"/>
        <color theme="1"/>
        <rFont val="Calibri"/>
        <family val="2"/>
        <scheme val="minor"/>
      </rPr>
      <t xml:space="preserve"> (mg/kg)</t>
    </r>
  </si>
  <si>
    <r>
      <t>Total Mass of Filter Sample</t>
    </r>
    <r>
      <rPr>
        <vertAlign val="superscript"/>
        <sz val="12"/>
        <color theme="1"/>
        <rFont val="Calibri"/>
        <family val="2"/>
        <scheme val="minor"/>
      </rPr>
      <t>2</t>
    </r>
    <r>
      <rPr>
        <sz val="12"/>
        <color theme="1"/>
        <rFont val="Calibri"/>
        <family val="2"/>
        <scheme val="minor"/>
      </rPr>
      <t xml:space="preserve"> (kg)</t>
    </r>
  </si>
  <si>
    <r>
      <t>Total Mass of Metal Caught on Filter</t>
    </r>
    <r>
      <rPr>
        <sz val="12"/>
        <color theme="1"/>
        <rFont val="Calibri"/>
        <family val="2"/>
        <scheme val="minor"/>
      </rPr>
      <t xml:space="preserve"> (mg)</t>
    </r>
  </si>
  <si>
    <r>
      <t>Total Mass of PM Caught on Filter</t>
    </r>
    <r>
      <rPr>
        <vertAlign val="superscript"/>
        <sz val="12"/>
        <color theme="1"/>
        <rFont val="Calibri"/>
        <family val="2"/>
        <scheme val="minor"/>
      </rPr>
      <t>3</t>
    </r>
    <r>
      <rPr>
        <sz val="12"/>
        <color theme="1"/>
        <rFont val="Calibri"/>
        <family val="2"/>
        <scheme val="minor"/>
      </rPr>
      <t xml:space="preserve"> (mg)</t>
    </r>
  </si>
  <si>
    <t>Mass Fraction of Metal in PM</t>
  </si>
  <si>
    <t>2013 ST PM Emission Factor (lb/ton)</t>
  </si>
  <si>
    <t>lb/hr</t>
  </si>
  <si>
    <r>
      <rPr>
        <vertAlign val="superscript"/>
        <sz val="12"/>
        <color theme="1"/>
        <rFont val="Calibri"/>
        <family val="2"/>
        <scheme val="minor"/>
      </rPr>
      <t>1</t>
    </r>
    <r>
      <rPr>
        <sz val="12"/>
        <color theme="1"/>
        <rFont val="Calibri"/>
        <family val="2"/>
        <scheme val="minor"/>
      </rPr>
      <t>Average of three runs. Units in mg of metal per kg of total sample inclusive of collected material and filter media. 6/20/2013 Test America Report. See "Filter Data" tab.</t>
    </r>
  </si>
  <si>
    <r>
      <rPr>
        <vertAlign val="superscript"/>
        <sz val="12"/>
        <color theme="1"/>
        <rFont val="Calibri"/>
        <family val="2"/>
        <scheme val="minor"/>
      </rPr>
      <t>2</t>
    </r>
    <r>
      <rPr>
        <sz val="12"/>
        <color theme="1"/>
        <rFont val="Calibri"/>
        <family val="2"/>
        <scheme val="minor"/>
      </rPr>
      <t>Average of three runs. Page 59 of 2013 Horizon Report. Total weight of sample inclusive of collected materials and filter media after drying.</t>
    </r>
  </si>
  <si>
    <t>As was ND on three sample filters</t>
  </si>
  <si>
    <r>
      <rPr>
        <b/>
        <sz val="12"/>
        <color theme="1"/>
        <rFont val="Calibri"/>
        <family val="2"/>
        <scheme val="minor"/>
      </rPr>
      <t>BH1A</t>
    </r>
    <r>
      <rPr>
        <sz val="12"/>
        <color theme="1"/>
        <rFont val="Calibri"/>
        <family val="2"/>
        <scheme val="minor"/>
      </rPr>
      <t xml:space="preserve"> Filter Analysis Derived Emission Factor (lb/ton)</t>
    </r>
  </si>
  <si>
    <r>
      <rPr>
        <b/>
        <sz val="12"/>
        <color theme="1"/>
        <rFont val="Calibri"/>
        <family val="2"/>
        <scheme val="minor"/>
      </rPr>
      <t>BH1</t>
    </r>
    <r>
      <rPr>
        <sz val="12"/>
        <color theme="1"/>
        <rFont val="Calibri"/>
        <family val="2"/>
        <scheme val="minor"/>
      </rPr>
      <t xml:space="preserve"> Filter Analysis Derived Emission Factor (lb/ton)</t>
    </r>
  </si>
  <si>
    <r>
      <rPr>
        <vertAlign val="superscript"/>
        <sz val="12"/>
        <color theme="1"/>
        <rFont val="Calibri"/>
        <family val="2"/>
        <scheme val="minor"/>
      </rPr>
      <t>3</t>
    </r>
    <r>
      <rPr>
        <sz val="12"/>
        <color theme="1"/>
        <rFont val="Calibri"/>
        <family val="2"/>
        <scheme val="minor"/>
      </rPr>
      <t>Average of three runs. Page 60 of 2013 Horizon Report with blank correction (pg 53)</t>
    </r>
  </si>
  <si>
    <r>
      <rPr>
        <vertAlign val="superscript"/>
        <sz val="12"/>
        <color theme="1"/>
        <rFont val="Calibri"/>
        <family val="2"/>
        <scheme val="minor"/>
      </rPr>
      <t>3</t>
    </r>
    <r>
      <rPr>
        <sz val="12"/>
        <color theme="1"/>
        <rFont val="Calibri"/>
        <family val="2"/>
        <scheme val="minor"/>
      </rPr>
      <t>Average of three runs. Page 59 of 2013 Horizon Report with blank correction (pg 53)</t>
    </r>
  </si>
  <si>
    <t>Co was ND in three sample filters</t>
  </si>
  <si>
    <t>Cu was ND in three sample filters</t>
  </si>
  <si>
    <t>V was ND in three sample filters</t>
  </si>
  <si>
    <r>
      <rPr>
        <vertAlign val="superscript"/>
        <sz val="12"/>
        <color theme="1"/>
        <rFont val="Calibri"/>
        <family val="2"/>
        <scheme val="minor"/>
      </rPr>
      <t>2</t>
    </r>
    <r>
      <rPr>
        <sz val="12"/>
        <color theme="1"/>
        <rFont val="Calibri"/>
        <family val="2"/>
        <scheme val="minor"/>
      </rPr>
      <t>Average of three runs. Page 60 of 2013 Horizon Report. Total weight of sample inclusive of collected materials and filter media after drying (negative mass shown w/o blank correction).</t>
    </r>
  </si>
  <si>
    <r>
      <rPr>
        <b/>
        <sz val="12"/>
        <color theme="1"/>
        <rFont val="Calibri"/>
        <family val="2"/>
        <scheme val="minor"/>
      </rPr>
      <t>BH2</t>
    </r>
    <r>
      <rPr>
        <sz val="12"/>
        <color theme="1"/>
        <rFont val="Calibri"/>
        <family val="2"/>
        <scheme val="minor"/>
      </rPr>
      <t xml:space="preserve"> Filter Analysis Derived Emission Factor (lb/ton)</t>
    </r>
  </si>
  <si>
    <t/>
  </si>
  <si>
    <t>Average</t>
  </si>
  <si>
    <t>Tare (g)</t>
  </si>
  <si>
    <t>Average post (g)</t>
  </si>
  <si>
    <t>Net (g)</t>
  </si>
  <si>
    <t xml:space="preserve">Blank Correction (g) </t>
  </si>
  <si>
    <t>Total PM, incl blank (g)</t>
  </si>
  <si>
    <t>= ND</t>
  </si>
  <si>
    <t>If all samples are ND, then average is zero per DEQ HRA draft guidance</t>
  </si>
  <si>
    <t>Cd was ND on three sample filters</t>
  </si>
  <si>
    <t>Ni was ND on three sample filters</t>
  </si>
  <si>
    <t>7429-90-5</t>
  </si>
  <si>
    <t>7440-38-2</t>
  </si>
  <si>
    <t>7440-43-9</t>
  </si>
  <si>
    <t>18540-29-9</t>
  </si>
  <si>
    <t>7440-48-4</t>
  </si>
  <si>
    <t>7440-50-8</t>
  </si>
  <si>
    <t>7439-92-1</t>
  </si>
  <si>
    <t>7439-96-5</t>
  </si>
  <si>
    <t>7439-97-6</t>
  </si>
  <si>
    <t>7782-49-2</t>
  </si>
  <si>
    <t>7440-62-2</t>
  </si>
  <si>
    <t>7440-41-7</t>
  </si>
  <si>
    <t>7440-66-6</t>
  </si>
  <si>
    <t>7440-39-3</t>
  </si>
  <si>
    <t>1313-27-5</t>
  </si>
  <si>
    <t>75-07-0</t>
  </si>
  <si>
    <t>107-02-8</t>
  </si>
  <si>
    <t>7664-41-7</t>
  </si>
  <si>
    <t>71-43-2</t>
  </si>
  <si>
    <t>108-90-7</t>
  </si>
  <si>
    <t>74-87-3</t>
  </si>
  <si>
    <t>100-41-4</t>
  </si>
  <si>
    <t>Fluorides</t>
  </si>
  <si>
    <t>50-00-0</t>
  </si>
  <si>
    <t>110-54-3</t>
  </si>
  <si>
    <t>91-20-3</t>
  </si>
  <si>
    <t>100-42-5</t>
  </si>
  <si>
    <t>108-88-3</t>
  </si>
  <si>
    <t>75-01-4</t>
  </si>
  <si>
    <t>1330-20-7</t>
  </si>
  <si>
    <t>Client:</t>
  </si>
  <si>
    <t>Facility:</t>
  </si>
  <si>
    <t>McMinnville Facility</t>
  </si>
  <si>
    <t>Test Location:</t>
  </si>
  <si>
    <t>Test Method:</t>
  </si>
  <si>
    <t>Oregon Method 8</t>
  </si>
  <si>
    <t>Source Condition</t>
  </si>
  <si>
    <t>Acetone Wash Only no Blank Subtraction</t>
  </si>
  <si>
    <t>Start Time</t>
  </si>
  <si>
    <t>End Time</t>
  </si>
  <si>
    <t>Run 1</t>
  </si>
  <si>
    <t>Run 3</t>
  </si>
  <si>
    <t>Run 5</t>
  </si>
  <si>
    <t>Run 7</t>
  </si>
  <si>
    <t>Stack Conditions</t>
  </si>
  <si>
    <t>Average Gas Temperature, °F</t>
  </si>
  <si>
    <t>Flue Gas Moisture, percent by volume</t>
  </si>
  <si>
    <t>Average Flue Pressure, in. Hg</t>
  </si>
  <si>
    <t>Gas Sample Volume, dscf</t>
  </si>
  <si>
    <t>Average Gas Velocity, ft/sec</t>
  </si>
  <si>
    <t>Gas Volumetric Flow Rate, acfm</t>
  </si>
  <si>
    <t>Gas Volumetric Flow Rate, dscfm</t>
  </si>
  <si>
    <t>Gas Volumetric Flow Rate, scfm</t>
  </si>
  <si>
    <t>Average %CO2 by volume, dry basis</t>
  </si>
  <si>
    <t>Average %O2 by volume, dry basis</t>
  </si>
  <si>
    <t>Isokinetic Variance</t>
  </si>
  <si>
    <t>Metal Production Rate, ton/hr</t>
  </si>
  <si>
    <t>Heat Input, mmBtu/hr</t>
  </si>
  <si>
    <t>Heat Input, mmBtu/hr:</t>
  </si>
  <si>
    <t>Total HAP Metal Emissions</t>
  </si>
  <si>
    <t>ug of sample collected</t>
  </si>
  <si>
    <t>lb/Gwh</t>
  </si>
  <si>
    <t>lb/TBtu (Heat Input)</t>
  </si>
  <si>
    <t>Aluminum (Al) Emissions</t>
  </si>
  <si>
    <t>≤</t>
  </si>
  <si>
    <t>ppb</t>
  </si>
  <si>
    <t>ug/dscm</t>
  </si>
  <si>
    <t>lb/ton</t>
  </si>
  <si>
    <t>lb/ton ND Adjusted</t>
  </si>
  <si>
    <t>Antimony (Sb) Emissions</t>
  </si>
  <si>
    <t>Arsenic (As) Emissions</t>
  </si>
  <si>
    <t>Beryllium (Be) Emissions</t>
  </si>
  <si>
    <t>Chromium (Cr) Emissions</t>
  </si>
  <si>
    <t>Cobalt (Co) Emissions</t>
  </si>
  <si>
    <t>Copper (Cu) Emissions</t>
  </si>
  <si>
    <t>Lead (Pb) Emissions</t>
  </si>
  <si>
    <t>Manganese (Mn) Emissions</t>
  </si>
  <si>
    <t>Nickel (Ni) Emissions</t>
  </si>
  <si>
    <t>Phosphorus (P) Emissions</t>
  </si>
  <si>
    <t>Selenium (Se) Emissions</t>
  </si>
  <si>
    <t>Zinc (Zn) Emissions</t>
  </si>
  <si>
    <t>Cadmium (Cd) Emissions</t>
  </si>
  <si>
    <t>Vanadium Emissions</t>
  </si>
  <si>
    <t>Filter Only Reagent Blank Subtraction</t>
  </si>
  <si>
    <t>Billet Cutting Vent</t>
  </si>
  <si>
    <t>Acetone Rinse  (lb/ton)</t>
  </si>
  <si>
    <t>Total (lb/ton)</t>
  </si>
  <si>
    <t>Acetone Only no Blank Subtraction</t>
  </si>
  <si>
    <t>Cd and V Results corrected per R1</t>
  </si>
  <si>
    <t>Billet Weight</t>
  </si>
  <si>
    <t>tons</t>
  </si>
  <si>
    <t>Total (lb/billet cut)</t>
  </si>
  <si>
    <t>7440-36-0</t>
  </si>
  <si>
    <t>7783-06-4</t>
  </si>
  <si>
    <t>T slag/day</t>
  </si>
  <si>
    <t>T slag/yr</t>
  </si>
  <si>
    <t>lb/cf</t>
  </si>
  <si>
    <t>Crust Thickness</t>
  </si>
  <si>
    <t>ft</t>
  </si>
  <si>
    <t>Sulfur content</t>
  </si>
  <si>
    <t>wt %</t>
  </si>
  <si>
    <t>Effectiveness of oxidizing agent</t>
  </si>
  <si>
    <t>(estimate)</t>
  </si>
  <si>
    <t>Slag Production</t>
  </si>
  <si>
    <t>Slag Density</t>
  </si>
  <si>
    <t>Area of slag pile</t>
  </si>
  <si>
    <t>BH1/BH1A (using BH1A filter analysis data because BH1 had negative mass (filter weighed less than tare after drying))</t>
  </si>
  <si>
    <r>
      <t xml:space="preserve">Ave. of 2013/2016 ST PM Emission Factor </t>
    </r>
    <r>
      <rPr>
        <b/>
        <sz val="12"/>
        <color theme="1"/>
        <rFont val="Calibri"/>
        <family val="2"/>
        <scheme val="minor"/>
      </rPr>
      <t>BH1A</t>
    </r>
    <r>
      <rPr>
        <sz val="12"/>
        <color theme="1"/>
        <rFont val="Calibri"/>
        <family val="2"/>
        <scheme val="minor"/>
      </rPr>
      <t xml:space="preserve"> (lb/ton)</t>
    </r>
  </si>
  <si>
    <r>
      <t xml:space="preserve">Ave. of 2013/2016 ST PM Emission Factor </t>
    </r>
    <r>
      <rPr>
        <b/>
        <sz val="12"/>
        <color theme="1"/>
        <rFont val="Calibri"/>
        <family val="2"/>
        <scheme val="minor"/>
      </rPr>
      <t>BH1</t>
    </r>
    <r>
      <rPr>
        <sz val="12"/>
        <color theme="1"/>
        <rFont val="Calibri"/>
        <family val="2"/>
        <scheme val="minor"/>
      </rPr>
      <t xml:space="preserve"> (lb/ton)</t>
    </r>
  </si>
  <si>
    <t>cuts/day</t>
  </si>
  <si>
    <t>50-32-8</t>
  </si>
  <si>
    <t>7440-22-4</t>
  </si>
  <si>
    <t>Copper and compounds</t>
  </si>
  <si>
    <t>Hydrogen sulfide</t>
  </si>
  <si>
    <t>Molybdenum trioxide</t>
  </si>
  <si>
    <t>Vanadium (fume or dust)</t>
  </si>
  <si>
    <t>Attachment B - Emission Calculations</t>
  </si>
  <si>
    <t>Toxics Emission Unit ID:</t>
  </si>
  <si>
    <t>Emission Point:</t>
  </si>
  <si>
    <t>Description:</t>
  </si>
  <si>
    <t># torches</t>
  </si>
  <si>
    <t>Gas Flow Rate</t>
  </si>
  <si>
    <t>Operating Parameters &amp; Input Assumptions:</t>
  </si>
  <si>
    <t>Operating Hours</t>
  </si>
  <si>
    <t>CFH per torch (see included cut sheet)</t>
  </si>
  <si>
    <t>PM Emission Rate</t>
  </si>
  <si>
    <t>TAC</t>
  </si>
  <si>
    <t>CAS or DEQ ID</t>
  </si>
  <si>
    <t>wt.%</t>
  </si>
  <si>
    <t>Emission Rate (lb/yr)</t>
  </si>
  <si>
    <t>Emission Rate (lb/day)</t>
  </si>
  <si>
    <t>Manganese and Compounds</t>
  </si>
  <si>
    <t>Copper and Compounds</t>
  </si>
  <si>
    <t>Chromium VI, chromate and dichromate particulate</t>
  </si>
  <si>
    <t>Lead and Compounds</t>
  </si>
  <si>
    <t>Annual Gas Usage</t>
  </si>
  <si>
    <t>Daily Gas Usage</t>
  </si>
  <si>
    <t>CF/yr</t>
  </si>
  <si>
    <t>CF/day</t>
  </si>
  <si>
    <t>Arsenic and compounds</t>
  </si>
  <si>
    <t>Barium and compounds</t>
  </si>
  <si>
    <t>Benzo[a]pyrene</t>
  </si>
  <si>
    <t>Beryllium and compounds</t>
  </si>
  <si>
    <t>Cadmium and compounds</t>
  </si>
  <si>
    <t>Chloromethane (methyl chloride)</t>
  </si>
  <si>
    <t>Cobalt and compounds</t>
  </si>
  <si>
    <t>Lead and compounds</t>
  </si>
  <si>
    <t>Manganese and compounds</t>
  </si>
  <si>
    <t>Mercury and compounds</t>
  </si>
  <si>
    <t>Nickel compounds, insoluble</t>
  </si>
  <si>
    <t>Polycyclic aromatic hydrocarbons (PAHs)</t>
  </si>
  <si>
    <t>Selenium and compounds</t>
  </si>
  <si>
    <t>Xylene (mixture), including m-xylene, o-xylene, p-xylene</t>
  </si>
  <si>
    <t>Zinc and compounds</t>
  </si>
  <si>
    <t>Nickel Compounds, Insoluble</t>
  </si>
  <si>
    <t>EF (lb/MMSCF)</t>
  </si>
  <si>
    <t>Co was ND on three sample filters</t>
  </si>
  <si>
    <t>Filter Weights and Total PM from 2013 Horizon Report</t>
  </si>
  <si>
    <t>If one or two samples are above detection limit, remaining are at 1/2 the detection limit</t>
  </si>
  <si>
    <t>Daily Steel Production</t>
  </si>
  <si>
    <t>Annual Steel Production</t>
  </si>
  <si>
    <t>tons/year</t>
  </si>
  <si>
    <t>MMCF/day</t>
  </si>
  <si>
    <t>Aluminum and Compounds</t>
  </si>
  <si>
    <t>Antimony and Compounds</t>
  </si>
  <si>
    <t>Arsenic and Compounds</t>
  </si>
  <si>
    <t>Beryllium and Compounds</t>
  </si>
  <si>
    <t>Cobalt and Compounds</t>
  </si>
  <si>
    <t>Mercury and Compounds</t>
  </si>
  <si>
    <t>Selenium and Compounds</t>
  </si>
  <si>
    <t>Zinc and Compounds</t>
  </si>
  <si>
    <t>Cadmium and Compounds</t>
  </si>
  <si>
    <t>Phosphorus and Compounds</t>
  </si>
  <si>
    <t>(As total Chromium)</t>
  </si>
  <si>
    <t>Chromium VI Speciation Factor</t>
  </si>
  <si>
    <t>MMCF/yr</t>
  </si>
  <si>
    <t>Table B-3: Billet Cutting at Casting</t>
  </si>
  <si>
    <t>Metal TACs emissions from torch cutting of metal billets produced from casting</t>
  </si>
  <si>
    <t>EU-10ng</t>
  </si>
  <si>
    <t>Gas combustion emissions from torch cutting of metal billets produced from casting</t>
  </si>
  <si>
    <t>Approx. Billet Weight</t>
  </si>
  <si>
    <t>Daily Billet Cuts</t>
  </si>
  <si>
    <t>Annual Billet Cuts</t>
  </si>
  <si>
    <t>cuts/yr</t>
  </si>
  <si>
    <t>Emission Point(s):</t>
  </si>
  <si>
    <t>EF (lb/cut)</t>
  </si>
  <si>
    <t>Metal TACs emissions from torch cutting of scrap metal billets</t>
  </si>
  <si>
    <t>EU-12ng</t>
  </si>
  <si>
    <t>Gas combustion emissions from torch cutting of scrap metal billets produced from casting</t>
  </si>
  <si>
    <t>SHF01</t>
  </si>
  <si>
    <t>k factor</t>
  </si>
  <si>
    <t>% (AP-42: Table 13.2.4-1)</t>
  </si>
  <si>
    <r>
      <t xml:space="preserve">mph </t>
    </r>
    <r>
      <rPr>
        <sz val="12"/>
        <rFont val="Calibri (Body)"/>
      </rPr>
      <t>(meterological data - McMinnville WS - 5-yr average based on 2014-2018 data)</t>
    </r>
  </si>
  <si>
    <t>Analytical Result (mg/kg)</t>
  </si>
  <si>
    <t>Silver and Compounds</t>
  </si>
  <si>
    <t>Barium and Compounds</t>
  </si>
  <si>
    <t>Mass Fraction</t>
  </si>
  <si>
    <t>Analytical Result was ND. Value shown is 1/2 MDL</t>
  </si>
  <si>
    <t>Analytical Result was for total Molybdenum. Value shown as Molybdenum Trioxide</t>
  </si>
  <si>
    <t>Daily Slag Handling Rate</t>
  </si>
  <si>
    <t>Annual Slag Handling Rate</t>
  </si>
  <si>
    <t>ton/day</t>
  </si>
  <si>
    <t>ton/yr</t>
  </si>
  <si>
    <t>Slag Handling Rate</t>
  </si>
  <si>
    <t>by mass of steel production rate</t>
  </si>
  <si>
    <t>Table B-6: New Slag Handling Enclosure</t>
  </si>
  <si>
    <t>Slag Hydrogen Sulfide (H2S) Emissions Estimate- Engineering Calculation</t>
  </si>
  <si>
    <t>sq ft</t>
  </si>
  <si>
    <t>lb slag</t>
  </si>
  <si>
    <t>Mass of Slag in Crust of Pile</t>
  </si>
  <si>
    <t>Fraction slag crust produced</t>
  </si>
  <si>
    <t>(Ref: F.H Rehmus, D.P. Manka &amp; E.A. Upton, "Control of H2S Emission During Slag Quenching", Journal of the Air Pollution Control Association, 23:10, 1973.)</t>
  </si>
  <si>
    <t>lb slag in crust/ton slag produced</t>
  </si>
  <si>
    <t>H2S Emission Factor</t>
  </si>
  <si>
    <t>lb-H2S/ton-slag (assume all S in slag crust converted to H2S minus effectiveness of oxidizing agent)</t>
  </si>
  <si>
    <t>Table B-7: Gas Combustion Emissions @ Rod &amp; Bar Mill Reheat Furnace</t>
  </si>
  <si>
    <t>Stack natural gas combusion byproduct TAC emissions</t>
  </si>
  <si>
    <t>MMBTU/yr (Permit Review Report Detail Sheets)</t>
  </si>
  <si>
    <t>HHV Natual Gas</t>
  </si>
  <si>
    <t>BTU/CF</t>
  </si>
  <si>
    <t>Table B-8: Gas Combustion Emissions @ Thermal Treatment Oven</t>
  </si>
  <si>
    <t>EU-14</t>
  </si>
  <si>
    <t>TTO</t>
  </si>
  <si>
    <t>GDF</t>
  </si>
  <si>
    <t>EU-15</t>
  </si>
  <si>
    <t>Organic TAC emissions from filling a gasoline storage tank and dispensing fuel to vehicles.</t>
  </si>
  <si>
    <t>Annual Gasoline Throughput</t>
  </si>
  <si>
    <t>gal/yr (Permit Review Report, historical records)</t>
  </si>
  <si>
    <t>gal/day (estimate)</t>
  </si>
  <si>
    <t>Emissions (lb/yr)</t>
  </si>
  <si>
    <t>Emissions (lb/day)</t>
  </si>
  <si>
    <t>(provided by CSRM)</t>
  </si>
  <si>
    <t>Cascade Steel Rolling Mills CAO ATEI</t>
  </si>
  <si>
    <t>Supporting Data Reduction - Baghouse Dust Filter Analysis</t>
  </si>
  <si>
    <t>Supporting Data Reduction - Slag Composition Analytical</t>
  </si>
  <si>
    <t>Supporting Data Reduction - Baghouse Dust Filter Raw Data</t>
  </si>
  <si>
    <t>CSRM Metals Data</t>
  </si>
  <si>
    <t>Supporting Data Reduction - Billet Cutting @ Casting Vent Source Test Data</t>
  </si>
  <si>
    <t>Supporting Data Reduction - Melt Shop Roof Monitor Source Test Data</t>
  </si>
  <si>
    <t>MELTFUG Emissions (lb/yr)</t>
  </si>
  <si>
    <t>MELTFUG Emissions (lb/day)</t>
  </si>
  <si>
    <t>Stainless Steel Daily EF Multiplier</t>
  </si>
  <si>
    <t>Table B-2: Emissions at the Melt Shop</t>
  </si>
  <si>
    <t>Baghouse Capture Eff.</t>
  </si>
  <si>
    <t>Table B-9: Emissions at Gasoline Dispensing Facility</t>
  </si>
  <si>
    <t>BH01 Emissions (lb/yr)</t>
  </si>
  <si>
    <t>BH01 Emissions (lb/day)</t>
  </si>
  <si>
    <t>% (provided by CSRM, avg. of three years)</t>
  </si>
  <si>
    <t>EU-16ng</t>
  </si>
  <si>
    <t>VERTP</t>
  </si>
  <si>
    <t>Melt Shop natural gas fired vertical preheater, emissions emitted through a stack</t>
  </si>
  <si>
    <t>Melt Shop Activities</t>
  </si>
  <si>
    <t>Scrap Billet Cutting (see Tabl B-4)</t>
  </si>
  <si>
    <t>BH01</t>
  </si>
  <si>
    <t>Emissions from Baghouse BH-1 (emission point BH01)</t>
  </si>
  <si>
    <t>BH01 Emissions Total (lb/yr)</t>
  </si>
  <si>
    <t>Stainless Steel Annual EF Multiplier</t>
  </si>
  <si>
    <t>0.5% annual production rate</t>
  </si>
  <si>
    <t>BH01 EF (lb/ton)(annual)</t>
  </si>
  <si>
    <t>BH01 EF (lb/ton)(daily)</t>
  </si>
  <si>
    <t>Emissions from Baghouse BH-1A (emission point BH01A)</t>
  </si>
  <si>
    <t>Emissions from Baghouse BH-2 (emission point BH02)</t>
  </si>
  <si>
    <t>BH01A EF (lb/ton)(annual)</t>
  </si>
  <si>
    <t>BH01A EF (lb/ton)(daily)</t>
  </si>
  <si>
    <t>BH01A Emissions (lb/yr)</t>
  </si>
  <si>
    <t>BH01A Emissions (lb/day)</t>
  </si>
  <si>
    <t>BH02 EF (lb/ton)(annual)</t>
  </si>
  <si>
    <t>BH02 EF (lb/ton)(daily)</t>
  </si>
  <si>
    <t>BH02 Emissions (lb/yr)</t>
  </si>
  <si>
    <t>BH02 Emissions (lb/day)</t>
  </si>
  <si>
    <t>EF (lb/cut)(annual)</t>
  </si>
  <si>
    <t>EF (lb/cut)(daily)</t>
  </si>
  <si>
    <t>RMELT</t>
  </si>
  <si>
    <t>RMELT Emissions (lb/yr)</t>
  </si>
  <si>
    <t>RMELT Emissions (lb/day)</t>
  </si>
  <si>
    <t>RMELT EF (lb/ton)(annual)</t>
  </si>
  <si>
    <t>RMELT EF (lb/ton)(daily)</t>
  </si>
  <si>
    <t>Emissions from EU-3 Roof Monitor (emission point RMELT)</t>
  </si>
  <si>
    <t>MELTFUG EF (lb/ton)(annual)</t>
  </si>
  <si>
    <t>MELTFUG EF (lb/ton)(daily)</t>
  </si>
  <si>
    <t>Scrap Billet Cutting @ Melt Shop Charge Bay: EU-12 Fugitives (Emission Point MELTFUG)</t>
  </si>
  <si>
    <t>Vertical Preheater: EU-4 Emitted Through VERTP</t>
  </si>
  <si>
    <t>Operating Parameters &amp; Input Assumptions (Natural Gas Sources):</t>
  </si>
  <si>
    <t>Natural Gas Source</t>
  </si>
  <si>
    <t># of units</t>
  </si>
  <si>
    <t>Btu rating each unit (MMBtu/hr)</t>
  </si>
  <si>
    <t>EAF Burners</t>
  </si>
  <si>
    <t>EAF Burner</t>
  </si>
  <si>
    <t>Tundish preheaters</t>
  </si>
  <si>
    <t>Horizontal heaters</t>
  </si>
  <si>
    <t>Tundish Dryer</t>
  </si>
  <si>
    <t>Vertical Preheater</t>
  </si>
  <si>
    <t>Max. Daily Operating Hours</t>
  </si>
  <si>
    <t>Max. Annual Operating Hours</t>
  </si>
  <si>
    <t>HHV Natural Gas</t>
  </si>
  <si>
    <t>hrs/year</t>
  </si>
  <si>
    <t>btu/cf</t>
  </si>
  <si>
    <t>Annual Natural Gas Usage (MMCF/yr)</t>
  </si>
  <si>
    <t>Daily Natural Gas Usage (MMCF/day)</t>
  </si>
  <si>
    <t>EU4 VERTP</t>
  </si>
  <si>
    <t>BH01A</t>
  </si>
  <si>
    <t>Tundish Preheaters and dryers</t>
  </si>
  <si>
    <t>Tundish and Horizontal Heaters: EU-16ng Emitted Through RMELT</t>
  </si>
  <si>
    <t>Table B-5: Slag Handling outside Melt Shop</t>
  </si>
  <si>
    <t>EPA Drop Equation: AP-42 13.2.4 (first dump - hot and dry)</t>
  </si>
  <si>
    <t>EPA Drop Equation: AP-42 13.2.4 (wet and cool)</t>
  </si>
  <si>
    <t>Melt Shop Slag Handling: EU-5 Emission Point SHF01</t>
  </si>
  <si>
    <t>(this table has been deleted from the EI Supporting Information documents)</t>
  </si>
  <si>
    <t>Table B-4: Scrap Billet Cutting at Melt Shop Charge Bay</t>
  </si>
  <si>
    <t>Scrap Billet Cutting @ Charge Bay Torch Natural Gas: EU-12ng Emissions at MELTFUG</t>
  </si>
  <si>
    <t>EU-1</t>
  </si>
  <si>
    <t>EU-3_RMELT</t>
  </si>
  <si>
    <t>EU-1_MELTFUG</t>
  </si>
  <si>
    <t>EU-16ng_RMELT</t>
  </si>
  <si>
    <t>EU-1_BH01</t>
  </si>
  <si>
    <t>EU-1_BH01A</t>
  </si>
  <si>
    <t>EU-16ng_MELTFUG</t>
  </si>
  <si>
    <t>EU-12_MELTFUG</t>
  </si>
  <si>
    <t>EU-12ng_MELTFUG</t>
  </si>
  <si>
    <t>lbs/hr</t>
  </si>
  <si>
    <t>lbs/yr</t>
  </si>
  <si>
    <t>lbs/day</t>
  </si>
  <si>
    <t>EU-09ng</t>
  </si>
  <si>
    <t>lbs/MMSCF</t>
  </si>
  <si>
    <t>lbs/ton</t>
  </si>
  <si>
    <t>lbs/bag</t>
  </si>
  <si>
    <t>lb/MMSCF</t>
  </si>
  <si>
    <t>lb/cut</t>
  </si>
  <si>
    <t>Stack</t>
  </si>
  <si>
    <t>lb/kgal</t>
  </si>
  <si>
    <t>Fugitive</t>
  </si>
  <si>
    <t>None</t>
  </si>
  <si>
    <t>Baghouse</t>
  </si>
  <si>
    <t>Bahouse</t>
  </si>
  <si>
    <t>Fugtitive</t>
  </si>
  <si>
    <t>Torch cutting metal scrap</t>
  </si>
  <si>
    <t>Torch cutting metal scrap natural gas combusion</t>
  </si>
  <si>
    <t>Melt Shop EAF through BH01</t>
  </si>
  <si>
    <t>Melt Shop EAF through BH01A</t>
  </si>
  <si>
    <t>Melt Shop EAF through BH01 - Fluoride Bags</t>
  </si>
  <si>
    <t>Melt Shop EAF through BH02</t>
  </si>
  <si>
    <t>Roof monitor emission</t>
  </si>
  <si>
    <t>Melt Shop EAF fugitives</t>
  </si>
  <si>
    <t>Melt Shop natural gas fired vertical preheater</t>
  </si>
  <si>
    <t>Melt Shop NG fired EAF preheaters and heaters through BH01</t>
  </si>
  <si>
    <t>Melt Shop NG fired EAF preheaters and heaters through Roof Monitor</t>
  </si>
  <si>
    <t>Melt Shop NG fired EAF preheaters and heaters through build fug</t>
  </si>
  <si>
    <t>Torch cutting of metal billets produced from casting through BH02</t>
  </si>
  <si>
    <t>Torch cutting of metal billets produced from casting through building figitive</t>
  </si>
  <si>
    <t>Gas combustion emissions from casting torch cutting of metal billets through BH02</t>
  </si>
  <si>
    <t>Gas combustion emissions from casting torch cutting of metal billets through fugitive</t>
  </si>
  <si>
    <t>Torch cutting of scrap metal billets through fugitive</t>
  </si>
  <si>
    <t>Torch cutting of scrap metal billets through BH01</t>
  </si>
  <si>
    <t>Gas combustion from casting  torch cutting of scrap metal billets throug BH01</t>
  </si>
  <si>
    <t>Gas combustion from casting  torch cutting of scrap metal billets throug Fugitive</t>
  </si>
  <si>
    <t>Unloading slag from the melt shop and loading slag into a truck</t>
  </si>
  <si>
    <t>Thermal Treatment Oven</t>
  </si>
  <si>
    <t>Reheat Furnace Natural Gas Combustion</t>
  </si>
  <si>
    <t>Gasoline Dispensing Facility</t>
  </si>
  <si>
    <t>hours</t>
  </si>
  <si>
    <t>operation</t>
  </si>
  <si>
    <t>cubic feet</t>
  </si>
  <si>
    <t>natural gas usage</t>
  </si>
  <si>
    <t>steel production</t>
  </si>
  <si>
    <t>quantity</t>
  </si>
  <si>
    <t>bags burned in EAF</t>
  </si>
  <si>
    <t>TEU</t>
  </si>
  <si>
    <t>CAS</t>
  </si>
  <si>
    <t>Roof monitor emission - Fluorides</t>
  </si>
  <si>
    <t>Melt Shop EAF fugitives - Fluorides</t>
  </si>
  <si>
    <t>thousand gallons</t>
  </si>
  <si>
    <t>gasoline throughput</t>
  </si>
  <si>
    <t>million cubic feet</t>
  </si>
  <si>
    <t>slag handling</t>
  </si>
  <si>
    <t>billet cuts</t>
  </si>
  <si>
    <t>lb/hr (for torch cutting see included : Versar, "Title V Applicability Workbook", for Institute of Scrap Recycling Industries, 1996., Table D-5)</t>
  </si>
  <si>
    <t>Filter Only no Blank Subtraction</t>
  </si>
  <si>
    <t>Not Used. DEQ Requests "Filter Only no Blank Subtraction" be used in 12/13/22 letter.</t>
  </si>
  <si>
    <t>Filter Only no Blank Subtraction  (lb/ton)</t>
  </si>
  <si>
    <t>Attachment D. Recommended Organic TAC Emission Factors for EU-1.</t>
  </si>
  <si>
    <t>Emission Factors</t>
  </si>
  <si>
    <t>CASRN</t>
  </si>
  <si>
    <r>
      <t>Run 1</t>
    </r>
    <r>
      <rPr>
        <b/>
        <vertAlign val="superscript"/>
        <sz val="11"/>
        <color theme="1"/>
        <rFont val="Calibri"/>
        <family val="2"/>
      </rPr>
      <t>a</t>
    </r>
  </si>
  <si>
    <r>
      <t>Run 2</t>
    </r>
    <r>
      <rPr>
        <b/>
        <vertAlign val="superscript"/>
        <sz val="11"/>
        <color theme="1"/>
        <rFont val="Calibri"/>
        <family val="2"/>
      </rPr>
      <t>a</t>
    </r>
  </si>
  <si>
    <r>
      <t>Run 3</t>
    </r>
    <r>
      <rPr>
        <b/>
        <vertAlign val="superscript"/>
        <sz val="11"/>
        <color theme="1"/>
        <rFont val="Calibri"/>
        <family val="2"/>
      </rPr>
      <t>a</t>
    </r>
  </si>
  <si>
    <t>Source Test Average</t>
  </si>
  <si>
    <r>
      <t xml:space="preserve"> BH-1</t>
    </r>
    <r>
      <rPr>
        <b/>
        <vertAlign val="superscript"/>
        <sz val="11"/>
        <color theme="1"/>
        <rFont val="Calibri"/>
        <family val="2"/>
      </rPr>
      <t>b</t>
    </r>
    <r>
      <rPr>
        <b/>
        <sz val="11"/>
        <color theme="1"/>
        <rFont val="Calibri"/>
        <family val="2"/>
      </rPr>
      <t xml:space="preserve"> (lb/ton)</t>
    </r>
  </si>
  <si>
    <r>
      <t>BH-1A</t>
    </r>
    <r>
      <rPr>
        <b/>
        <vertAlign val="superscript"/>
        <sz val="11"/>
        <color theme="1"/>
        <rFont val="Calibri"/>
        <family val="2"/>
      </rPr>
      <t>c</t>
    </r>
    <r>
      <rPr>
        <b/>
        <sz val="11"/>
        <color theme="1"/>
        <rFont val="Calibri"/>
        <family val="2"/>
      </rPr>
      <t xml:space="preserve"> (lb/ton)</t>
    </r>
  </si>
  <si>
    <r>
      <t>BH-2</t>
    </r>
    <r>
      <rPr>
        <b/>
        <vertAlign val="superscript"/>
        <sz val="11"/>
        <color theme="1"/>
        <rFont val="Calibri"/>
        <family val="2"/>
      </rPr>
      <t>d</t>
    </r>
    <r>
      <rPr>
        <b/>
        <sz val="11"/>
        <color theme="1"/>
        <rFont val="Calibri"/>
        <family val="2"/>
      </rPr>
      <t xml:space="preserve"> (lb/ton)</t>
    </r>
  </si>
  <si>
    <t>Total Emissions (lb/ton)</t>
  </si>
  <si>
    <t>Melt Length (min)</t>
  </si>
  <si>
    <t>Tap Weight (tons)</t>
  </si>
  <si>
    <t>Standard Flowrate: Qsd (avg) (dscf/m)</t>
  </si>
  <si>
    <t>Benzene (ug/m3)</t>
  </si>
  <si>
    <t>Benzene (lb/hr) calculated</t>
  </si>
  <si>
    <t>Benzene (lb/ton)</t>
  </si>
  <si>
    <t>Chloromethane (ug/m3)</t>
  </si>
  <si>
    <t>Chloromethane (lb/hr) calculated</t>
  </si>
  <si>
    <t>Chloromethane (lb/ton)</t>
  </si>
  <si>
    <t>Styrene (ug/m3)</t>
  </si>
  <si>
    <t>Styrene (lb/hr) calculated</t>
  </si>
  <si>
    <t>Styrene (lb/ton)</t>
  </si>
  <si>
    <t xml:space="preserve">Toluene (ug/m3) </t>
  </si>
  <si>
    <t>Toluene (lb/hr) calculated</t>
  </si>
  <si>
    <t>Toluene (lb/ton)</t>
  </si>
  <si>
    <t>Xylene (mixture) (ug/m3)</t>
  </si>
  <si>
    <t>Xylene (mixture) (lb/hr) calculated</t>
  </si>
  <si>
    <t>Xylene (mixture) (lb/ton)</t>
  </si>
  <si>
    <t>Chlorobenzene (ug/m3)</t>
  </si>
  <si>
    <t>Chlorobenzene (ug/m3), NDs at 1/2 MDL</t>
  </si>
  <si>
    <t>Chlorobenzene (lb/hr) calculated</t>
  </si>
  <si>
    <t>Chlorobenzene (lb/ton)</t>
  </si>
  <si>
    <t>Ethyl benzene (ug/m3)</t>
  </si>
  <si>
    <t>Ethyl benzene (ug/m3), NDs at 1/2 MDL</t>
  </si>
  <si>
    <t>Ethyl benzene (lb/hr) calculated</t>
  </si>
  <si>
    <t>Ethyl benzene (lb/ton)</t>
  </si>
  <si>
    <t>Vinyl Chloride (ug/m3)</t>
  </si>
  <si>
    <t>Vinyl Chloride (ug/m3), NDs at 1/2 MDL</t>
  </si>
  <si>
    <t>Vinyl Chloride (lb/hr) calculated</t>
  </si>
  <si>
    <t>Vinyl Chloride (lb/ton)</t>
  </si>
  <si>
    <t>Bromomethane (ug/m3)</t>
  </si>
  <si>
    <t>74-83-9</t>
  </si>
  <si>
    <t>Bromomethane (ug/m3), NDs at 1/2 MDL</t>
  </si>
  <si>
    <t>Bromomethane (lb/hr) calculated</t>
  </si>
  <si>
    <t>Bromomethane (lb/ton)</t>
  </si>
  <si>
    <t xml:space="preserve">Trichlorofluoromethane (ug/m3) </t>
  </si>
  <si>
    <t>75-69-4</t>
  </si>
  <si>
    <t>Trichlorofluoromethane (ug/m3), NDs at 1/2 MDL</t>
  </si>
  <si>
    <t>Trichlorofluoromethane (lb/hr) calculated</t>
  </si>
  <si>
    <t>Trichlorofluoromethane  (lb/ton)</t>
  </si>
  <si>
    <t xml:space="preserve">Methylene chloride (ug/m3) </t>
  </si>
  <si>
    <t>75-09-2</t>
  </si>
  <si>
    <t>Methylene chloride (ug/m3), NDs at 1/2 MDL</t>
  </si>
  <si>
    <t>Methylene chloride (lb/hr) calculated</t>
  </si>
  <si>
    <t>Methylene chloride (lb/ton)</t>
  </si>
  <si>
    <t>1,1,2,2-Tetrachloroethane (ug/m3)</t>
  </si>
  <si>
    <t>79-34-5</t>
  </si>
  <si>
    <t>1,1,2,2-Tetrachloroethane (ug/m3), NDs at 1/2 MDL</t>
  </si>
  <si>
    <t>1,1,2,2-Tetrachloroethane (lb/hr) calculated</t>
  </si>
  <si>
    <t>1,1,2,2-Tetrachloroethane (lb/ton)</t>
  </si>
  <si>
    <t>1,2,4-Trimethylbenzene (ug/m3)</t>
  </si>
  <si>
    <t>95-63-6</t>
  </si>
  <si>
    <t>1,2,4-Trimethylbenzene (ug/m3), NDs at 1/2 MDL</t>
  </si>
  <si>
    <t>1,2,4-Trimethylbenzene (lb/hr) calculated</t>
  </si>
  <si>
    <t>1,2,4-Trimethylbenzene (lb/ton)</t>
  </si>
  <si>
    <t>1,2,4-Trichlorobenzene (ug/m3)</t>
  </si>
  <si>
    <t>120-82-1</t>
  </si>
  <si>
    <t>1,2,4-Trichlorobenzene (ug/m3), NDs at 1/2 MDL</t>
  </si>
  <si>
    <t>1,2,4-Trichlorobenzene (lb/hr) calculated</t>
  </si>
  <si>
    <t>1,2,4-Trichlorobenzene (lb/ton)</t>
  </si>
  <si>
    <r>
      <rPr>
        <vertAlign val="superscript"/>
        <sz val="11"/>
        <color theme="1"/>
        <rFont val="Calibri"/>
        <family val="2"/>
        <scheme val="minor"/>
      </rPr>
      <t>a</t>
    </r>
    <r>
      <rPr>
        <sz val="12"/>
        <color theme="1"/>
        <rFont val="Calibri"/>
        <family val="2"/>
        <scheme val="minor"/>
      </rPr>
      <t xml:space="preserve"> Data is for BH-1, from the Emissions Test Report for CSRM Electric Arc Furnace Baghouse (Horizon Engineering, March 3, 1995).</t>
    </r>
  </si>
  <si>
    <r>
      <rPr>
        <vertAlign val="superscript"/>
        <sz val="11"/>
        <color theme="1"/>
        <rFont val="Calibri"/>
        <family val="2"/>
        <scheme val="minor"/>
      </rPr>
      <t>b</t>
    </r>
    <r>
      <rPr>
        <sz val="12"/>
        <color theme="1"/>
        <rFont val="Calibri"/>
        <family val="2"/>
        <scheme val="minor"/>
      </rPr>
      <t xml:space="preserve"> Average of Emissions Test results</t>
    </r>
  </si>
  <si>
    <r>
      <rPr>
        <vertAlign val="superscript"/>
        <sz val="11"/>
        <color theme="1"/>
        <rFont val="Calibri"/>
        <family val="2"/>
        <scheme val="minor"/>
      </rPr>
      <t>c</t>
    </r>
    <r>
      <rPr>
        <sz val="12"/>
        <color theme="1"/>
        <rFont val="Calibri"/>
        <family val="2"/>
        <scheme val="minor"/>
      </rPr>
      <t xml:space="preserve"> Additional BH-1A emissions are estimated based on the baghouse flow rate allocation estimates in the May 2013 source test report: 83.3 percent to BH-1 and 16.7 percent to BH-1A.</t>
    </r>
  </si>
  <si>
    <r>
      <rPr>
        <vertAlign val="superscript"/>
        <sz val="11"/>
        <color theme="1"/>
        <rFont val="Calibri"/>
        <family val="2"/>
        <scheme val="minor"/>
      </rPr>
      <t>d</t>
    </r>
    <r>
      <rPr>
        <sz val="12"/>
        <color theme="1"/>
        <rFont val="Calibri"/>
        <family val="2"/>
        <scheme val="minor"/>
      </rPr>
      <t xml:space="preserve"> Additional BH-2 emissions are estimated assuming 10 percent of the combined BH-1 and BH-1A emissions, following the VOC calculation methodology used in CSRM's Title V Permit Review Report (page 27). </t>
    </r>
  </si>
  <si>
    <t>BH = Baghouse</t>
  </si>
  <si>
    <t>CASRN = Chemical Abstracts Services Registry Number</t>
  </si>
  <si>
    <t>CSRM = Cascade Steel Rolling Mills</t>
  </si>
  <si>
    <t>CAO Name</t>
  </si>
  <si>
    <t>x</t>
  </si>
  <si>
    <t>Vinyl chloride</t>
  </si>
  <si>
    <t>Bromomethane (methyl bromide)</t>
  </si>
  <si>
    <t>Trichlorofluoromethane (Freon 11)</t>
  </si>
  <si>
    <t>Dichloromethane (methylene chloride)</t>
  </si>
  <si>
    <t>1,1,2,2-Tetrachloroethane</t>
  </si>
  <si>
    <t>1,2,4-Trimethylbenzene</t>
  </si>
  <si>
    <t>1,2,4-Trichlorobenzene</t>
  </si>
  <si>
    <t>Total</t>
  </si>
  <si>
    <t>BH01 Emissions Total (lb/day)</t>
  </si>
  <si>
    <t>μg = micrograms</t>
  </si>
  <si>
    <t>ton = US ton</t>
  </si>
  <si>
    <t>TEQ = toxic equivalency</t>
  </si>
  <si>
    <t>PCDD/Fs = Polychlorinated dibenzo-p-dioxins (PCDDs) &amp; dibenzofurans (PCDFs)</t>
  </si>
  <si>
    <t>lb = pounds</t>
  </si>
  <si>
    <t>kg = kilogram</t>
  </si>
  <si>
    <t>EAF = electric arc furnace</t>
  </si>
  <si>
    <t>Notes:</t>
  </si>
  <si>
    <t>lb TEQ/ton slag</t>
  </si>
  <si>
    <t>μg TEQ/kg</t>
  </si>
  <si>
    <t>Average values in slag from Swedish steel plants melting scrap in EAF.</t>
  </si>
  <si>
    <t>Remus et al., 2013. Table 8-9.</t>
  </si>
  <si>
    <t>PCDD/Fs</t>
  </si>
  <si>
    <t>Slag Concentration</t>
  </si>
  <si>
    <t>lb TEQ/ton steel produced</t>
  </si>
  <si>
    <t>Based on stack testing from a similar mini mill that melts scrap and makes rebar.</t>
  </si>
  <si>
    <t>Amended AB2588 Health Risk Assessment - TAMCO. January 2015. See Appendix B-1a &amp; -1b.</t>
  </si>
  <si>
    <t>EAF</t>
  </si>
  <si>
    <t>Units</t>
  </si>
  <si>
    <t>Value</t>
  </si>
  <si>
    <t>Converted Emission Factor</t>
  </si>
  <si>
    <t>Emission Factor</t>
  </si>
  <si>
    <t>Emission Factor Source</t>
  </si>
  <si>
    <t xml:space="preserve"> Emission Unit</t>
  </si>
  <si>
    <t>Attachment B. Emission Factor Details: Dioxins/Furans</t>
  </si>
  <si>
    <t>t = metric ton</t>
  </si>
  <si>
    <t>PCB = Polychlorinated biphenyls</t>
  </si>
  <si>
    <t>TEF = Toxicity equivalency factor</t>
  </si>
  <si>
    <t>LS = liquid steel</t>
  </si>
  <si>
    <t>TEQ</t>
  </si>
  <si>
    <t>lb TEQ/ton metal melted</t>
  </si>
  <si>
    <t>μg TEQ/metric ton</t>
  </si>
  <si>
    <t>Average of 9 EAFs with filter controls.</t>
  </si>
  <si>
    <t>Wu et al., 2014; Remus et al., 2013.</t>
  </si>
  <si>
    <t>μg TEQ/metric ton LS</t>
  </si>
  <si>
    <t>Average of eight Swedish EAFs sampled, all with fabric filter controls.</t>
  </si>
  <si>
    <t>Remus et al., 2013. Table 8-4.</t>
  </si>
  <si>
    <t>Swedish EAF Steel Plant H</t>
  </si>
  <si>
    <t>Swedish EAF Steel Plant G</t>
  </si>
  <si>
    <t>Swedish EAF Steel Plant F</t>
  </si>
  <si>
    <t>Swedish EAF Steel Plant E</t>
  </si>
  <si>
    <t>Swedish EAF Steel Plant D</t>
  </si>
  <si>
    <t>Swedish EAF Steel Plant C</t>
  </si>
  <si>
    <t>Swedish EAF Steel Plant B</t>
  </si>
  <si>
    <t>Swedish EAF Steel Plant A</t>
  </si>
  <si>
    <t>μg TEQ/metric ton feedstock</t>
  </si>
  <si>
    <t>EAF melting scrap (104 tonne/hr), alloying agents (1.1 t/hr), flux (2.1 t/hr), and coke (1.8 t/hr). Producing carbon steel at rate of 100 t/hr. Baghouse control devices.</t>
  </si>
  <si>
    <t>Wu et al. 2014. Table 6.</t>
  </si>
  <si>
    <t>Name</t>
  </si>
  <si>
    <t>Attachment B. Emission Factor Details: PCBs</t>
  </si>
  <si>
    <r>
      <t>lb BaP</t>
    </r>
    <r>
      <rPr>
        <vertAlign val="subscript"/>
        <sz val="11"/>
        <color theme="1"/>
        <rFont val="Calibri"/>
        <family val="2"/>
        <scheme val="minor"/>
      </rPr>
      <t>eq</t>
    </r>
    <r>
      <rPr>
        <sz val="12"/>
        <color theme="1"/>
        <rFont val="Calibri"/>
        <family val="2"/>
        <scheme val="minor"/>
      </rPr>
      <t>/ton metal melted</t>
    </r>
  </si>
  <si>
    <r>
      <rPr>
        <sz val="11"/>
        <color theme="1"/>
        <rFont val="Calibri"/>
        <family val="2"/>
      </rPr>
      <t>μ</t>
    </r>
    <r>
      <rPr>
        <sz val="12"/>
        <color theme="1"/>
        <rFont val="Calibri"/>
        <family val="2"/>
        <scheme val="minor"/>
      </rPr>
      <t>g/kg feedstock</t>
    </r>
  </si>
  <si>
    <t>Group III, Average of 4 steel plant EAFs, calculated BaP TEQ</t>
  </si>
  <si>
    <t>Lee et al., 1999, Table 7</t>
  </si>
  <si>
    <t>BaP Eq</t>
  </si>
  <si>
    <t>COR</t>
  </si>
  <si>
    <t>Group III, Average of 4 steel plant EAFs</t>
  </si>
  <si>
    <t>Coronene</t>
  </si>
  <si>
    <t>BghiP</t>
  </si>
  <si>
    <t>Benzo[g,h,i]perylene</t>
  </si>
  <si>
    <t>BbC</t>
  </si>
  <si>
    <t>Benzo [b]chrysene</t>
  </si>
  <si>
    <t>DBA</t>
  </si>
  <si>
    <t>Dibenz[a,h]anthracene</t>
  </si>
  <si>
    <t>IND</t>
  </si>
  <si>
    <t>Indeno[1,2,3-cd]pyrene</t>
  </si>
  <si>
    <t>PER</t>
  </si>
  <si>
    <t>Perylene</t>
  </si>
  <si>
    <t>BaP</t>
  </si>
  <si>
    <t>lb/ton metal melted</t>
  </si>
  <si>
    <t>BeP</t>
  </si>
  <si>
    <t>NA</t>
  </si>
  <si>
    <t>Benzo[e]pyrene</t>
  </si>
  <si>
    <t>BkF</t>
  </si>
  <si>
    <t>Benzo[k]fluoranthene</t>
  </si>
  <si>
    <t>BbF</t>
  </si>
  <si>
    <t>Benzo[b]fluoranthene</t>
  </si>
  <si>
    <t>CHR</t>
  </si>
  <si>
    <t>Chrysene</t>
  </si>
  <si>
    <t>BaA</t>
  </si>
  <si>
    <t>Benz[a]anthracene</t>
  </si>
  <si>
    <t>CYC</t>
  </si>
  <si>
    <t>Cyclopenta[c,d]pyrene</t>
  </si>
  <si>
    <t>Pyr</t>
  </si>
  <si>
    <t>Pyrene</t>
  </si>
  <si>
    <t>FL</t>
  </si>
  <si>
    <t>Fluoranthene</t>
  </si>
  <si>
    <t>Ant</t>
  </si>
  <si>
    <t>Anthracene</t>
  </si>
  <si>
    <t>PA</t>
  </si>
  <si>
    <t>Phenanthrene</t>
  </si>
  <si>
    <t>Flu</t>
  </si>
  <si>
    <t>Fluorene</t>
  </si>
  <si>
    <t>Acp</t>
  </si>
  <si>
    <t>Acenaphthene</t>
  </si>
  <si>
    <t>AcPy</t>
  </si>
  <si>
    <t>Acenaphthylene</t>
  </si>
  <si>
    <t>Nap</t>
  </si>
  <si>
    <t>TEF</t>
  </si>
  <si>
    <t>Code</t>
  </si>
  <si>
    <t>Emission Unit</t>
  </si>
  <si>
    <t>Attachment B. Emission Factor Details: PAHs</t>
  </si>
  <si>
    <t>μg/metric ton LS</t>
  </si>
  <si>
    <r>
      <t xml:space="preserve">Clean scrap/virgin iron or dirty scrap, afterburner and fabric filter. </t>
    </r>
    <r>
      <rPr>
        <b/>
        <sz val="11"/>
        <color rgb="FF0070C0"/>
        <rFont val="Calibri"/>
        <family val="2"/>
        <scheme val="minor"/>
      </rPr>
      <t>*Medium level of confidence indicated*</t>
    </r>
  </si>
  <si>
    <t>UNEP, 2013. Table III.18.2 (p. 231).</t>
  </si>
  <si>
    <t>Hexachlorobenzene</t>
  </si>
  <si>
    <r>
      <t xml:space="preserve">Dirty scrap (cutting oils, general contamination), scrap preheating, limited controls. </t>
    </r>
    <r>
      <rPr>
        <b/>
        <sz val="11"/>
        <color rgb="FF0070C0"/>
        <rFont val="Calibri"/>
        <family val="2"/>
        <scheme val="minor"/>
      </rPr>
      <t>*Medium level of confidence indicated*</t>
    </r>
  </si>
  <si>
    <t>Attachment B. Emission Factor Details: Hexachlorobenzene</t>
  </si>
  <si>
    <t>μg/metric ton feedstock</t>
  </si>
  <si>
    <t>Average of emission factors.</t>
  </si>
  <si>
    <t>Wang et al., 2010; Wu et al., 2014.</t>
  </si>
  <si>
    <t>PBDEs</t>
  </si>
  <si>
    <t>Average of 6 EAFs with bag filter control.</t>
  </si>
  <si>
    <t>Wang et al. 2010. Table S10.</t>
  </si>
  <si>
    <t>Attachment B. Emission Factor Details: PBDEs</t>
  </si>
  <si>
    <t>Wu, E. M. Y., Wang, L. C., Lin, S. L., &amp; Chang-Chien, G. P. (2014). Validation and characterization of persistent organic pollutant emissions from stack flue gases of an electric arc furnace by using a long-term sampling system (AMESA®). Aerosol and Air Quality Research, 14(1), 185-196.</t>
  </si>
  <si>
    <t>Wang, L. C., Lee, W. J., Lee, W. S., &amp; Chang-Chien, G. P. (2010). Emission estimation and congener-specific characterization of polybrominated diphenyl ethers from various stationary and mobile sources. Environmental Pollution, 158(10), 3108-3115.</t>
  </si>
  <si>
    <t xml:space="preserve">http://toolkit.pops.int/publish/Downloads/01-UNEP-POPS-TOOLKIT-2012-En.pdf </t>
  </si>
  <si>
    <t xml:space="preserve">UN Environment Programme (UNEP). (2013). Toolkit for identification and quantification of releases of dioxins, furans and other unintentional POPs. </t>
  </si>
  <si>
    <t>https://www.aqmd.gov/docs/default-source/planning/risk-assessment/gerdau/final-approved-hra-(jan-2015).pdf?sfvrsn=2</t>
  </si>
  <si>
    <t>TAMCO Amended AB2588 Health Risk Assessment, Prepared by Environ International Corporation, Los Angeles, CA, January 2015.</t>
  </si>
  <si>
    <t>https://publications.jrc.ec.europa.eu/repository/bitstream/JRC69967/lfna25521enn.pdf</t>
  </si>
  <si>
    <t>Remus, R., Aguado Monsonet, M.A., Roudier, S.,  Delgado Sancho, L. (2013). Best Available Techniques (BAT) Reference Document for Iron and Steel Production. European Commission Joint Research Committee Industrial Emissions Directive 2010/75/EU.</t>
  </si>
  <si>
    <t>Lee, W. J., Lai, S. O., Chen, S. J., &amp; Hsueh, H. J. (1999). PAH emission from the steel and iron industries. WIT Transactions on Ecology and the Environment, 37.</t>
  </si>
  <si>
    <t>References:</t>
  </si>
  <si>
    <t>TEQ = Toxic Equivalency</t>
  </si>
  <si>
    <t>TAC = Toxic Air Contaminant</t>
  </si>
  <si>
    <t>PBDE = Polybrominated diphenyl ether</t>
  </si>
  <si>
    <t>PAH = Polycyclic aromatic hydrocarbons</t>
  </si>
  <si>
    <r>
      <t>BaP</t>
    </r>
    <r>
      <rPr>
        <vertAlign val="subscript"/>
        <sz val="11"/>
        <color theme="1"/>
        <rFont val="Calibri"/>
        <family val="2"/>
        <scheme val="minor"/>
      </rPr>
      <t>eq</t>
    </r>
    <r>
      <rPr>
        <sz val="12"/>
        <color theme="1"/>
        <rFont val="Calibri"/>
        <family val="2"/>
        <scheme val="minor"/>
      </rPr>
      <t xml:space="preserve"> = Benzo[a]pyrene-equivalent</t>
    </r>
  </si>
  <si>
    <t>PCBs TEQ</t>
  </si>
  <si>
    <t>PCDD/Fs TEQ</t>
  </si>
  <si>
    <t>Slag Concentrations</t>
  </si>
  <si>
    <t>Wang et al. 2010, Table S10; Wu et al., Table 6. Average of emission factors.</t>
  </si>
  <si>
    <t>Total Mass</t>
  </si>
  <si>
    <t>UNEP, 2013. Table III.18.2.</t>
  </si>
  <si>
    <t>118-74-1</t>
  </si>
  <si>
    <t>Lee et al., 1999. Table 7.</t>
  </si>
  <si>
    <r>
      <t>BaP</t>
    </r>
    <r>
      <rPr>
        <vertAlign val="subscript"/>
        <sz val="11"/>
        <color theme="1"/>
        <rFont val="Calibri"/>
        <family val="2"/>
        <scheme val="minor"/>
      </rPr>
      <t>eq</t>
    </r>
  </si>
  <si>
    <t>PAHs</t>
  </si>
  <si>
    <t>Wu et al., 2014, Table 6; Remus et al., 2013, Table 8.4. Average of emission factors.</t>
  </si>
  <si>
    <t>TAMCO Amended AB2588 Health Risk Assessment, January 2015. Appendix B-1a &amp; -1b.</t>
  </si>
  <si>
    <t>Melt Shop - Electric Arc Furnace (EAF)</t>
  </si>
  <si>
    <t>Reference</t>
  </si>
  <si>
    <t>Basis</t>
  </si>
  <si>
    <t>CASRN or DEQ SEQ ID</t>
  </si>
  <si>
    <t>Attachment A. Emission Factors for Persistent Organic Pollutants and Polycyclic Aromatic Hydrocarbons</t>
  </si>
  <si>
    <t xml:space="preserve"> BH-1 (lb/ton)</t>
  </si>
  <si>
    <t>BH-1A (lb/ton)</t>
  </si>
  <si>
    <t>BH-2 (lb/ton)</t>
  </si>
  <si>
    <r>
      <t>Allocation</t>
    </r>
    <r>
      <rPr>
        <vertAlign val="superscript"/>
        <sz val="11"/>
        <color theme="1"/>
        <rFont val="Calibri (Body)"/>
      </rPr>
      <t>1</t>
    </r>
  </si>
  <si>
    <t>1Allocation method same as DEQ suggested approach for other organic TACs</t>
  </si>
  <si>
    <t>See "Organic TAC Efs" tab.</t>
  </si>
  <si>
    <t>Scrap3</t>
  </si>
  <si>
    <r>
      <t xml:space="preserve">mph </t>
    </r>
    <r>
      <rPr>
        <sz val="12"/>
        <rFont val="Calibri (Body)"/>
      </rPr>
      <t>(meterological data - McMinnville WS - 5-yr max. daily average based on 2014-2018 data)</t>
    </r>
  </si>
  <si>
    <t>Estimating Emissions from Horizontal Tank</t>
  </si>
  <si>
    <t>Enter tank specific information in all blue cells.</t>
  </si>
  <si>
    <t>Tank information</t>
  </si>
  <si>
    <t>Tank identification</t>
  </si>
  <si>
    <t>TEU EU-15</t>
  </si>
  <si>
    <t>Description</t>
  </si>
  <si>
    <t>6,000 Gallon Unleaded Gasoline Storage Tank</t>
  </si>
  <si>
    <t>Facility Name</t>
  </si>
  <si>
    <t>CSRM</t>
  </si>
  <si>
    <t>Property</t>
  </si>
  <si>
    <t>About the value</t>
  </si>
  <si>
    <t>Product Stored</t>
  </si>
  <si>
    <t>A. Motor gasoline RVP 13</t>
  </si>
  <si>
    <t>select one</t>
  </si>
  <si>
    <t>Type of fuel stored in the tank.</t>
  </si>
  <si>
    <t>Choose "Gasoline" or "Diesel" from the drop-down box.</t>
  </si>
  <si>
    <t>Chemical Stored</t>
  </si>
  <si>
    <t>Storage tank position</t>
  </si>
  <si>
    <t>Above</t>
  </si>
  <si>
    <t xml:space="preserve">select one </t>
  </si>
  <si>
    <t>Fixed roof structure.</t>
  </si>
  <si>
    <t>Choose "Above" or "Under" from the drop-down box.</t>
  </si>
  <si>
    <t>Annual throughput</t>
  </si>
  <si>
    <t>gal/yr</t>
  </si>
  <si>
    <t>Gallons stored in his tank over the period of 12 consecutive months.</t>
  </si>
  <si>
    <t>Jan</t>
  </si>
  <si>
    <t>Feb</t>
  </si>
  <si>
    <t>Mar</t>
  </si>
  <si>
    <t>Apr</t>
  </si>
  <si>
    <t>May</t>
  </si>
  <si>
    <t>Jun</t>
  </si>
  <si>
    <t>Jul</t>
  </si>
  <si>
    <t>Aug</t>
  </si>
  <si>
    <t>Sep</t>
  </si>
  <si>
    <t>Oct</t>
  </si>
  <si>
    <t>Nov</t>
  </si>
  <si>
    <t>Dec</t>
  </si>
  <si>
    <t>Or Monthly throughput</t>
  </si>
  <si>
    <t>Maximum annual throughput is less than 10,000 gal/yr. Maximum monthly throughput is less than 3,000 gal./mo. with zero gallons added to the tank 5-7 months of the year.</t>
  </si>
  <si>
    <t>Physical properties of the tank</t>
  </si>
  <si>
    <t>Shell length</t>
  </si>
  <si>
    <r>
      <t>H</t>
    </r>
    <r>
      <rPr>
        <vertAlign val="subscript"/>
        <sz val="10"/>
        <rFont val="Arial"/>
        <family val="2"/>
      </rPr>
      <t>S</t>
    </r>
  </si>
  <si>
    <t>feet</t>
  </si>
  <si>
    <t>This is actual length of the tank.</t>
  </si>
  <si>
    <t>Use the outside height of the tank.</t>
  </si>
  <si>
    <t>Shell diameter</t>
  </si>
  <si>
    <t>D</t>
  </si>
  <si>
    <t>This is the actual width of the cylindrical shell.</t>
  </si>
  <si>
    <t>Use the outside diameter of the tank.</t>
  </si>
  <si>
    <t>Shell effective height</t>
  </si>
  <si>
    <r>
      <t>H</t>
    </r>
    <r>
      <rPr>
        <vertAlign val="subscript"/>
        <sz val="10"/>
        <rFont val="Arial"/>
        <family val="2"/>
      </rPr>
      <t>E</t>
    </r>
  </si>
  <si>
    <t>Calculated effective height of the tank.</t>
  </si>
  <si>
    <t>Shell effective diameter</t>
  </si>
  <si>
    <r>
      <t>D</t>
    </r>
    <r>
      <rPr>
        <vertAlign val="subscript"/>
        <sz val="10"/>
        <rFont val="Arial"/>
        <family val="2"/>
      </rPr>
      <t>E</t>
    </r>
  </si>
  <si>
    <t>Calculated effective diameter of the cylindrical shell.</t>
  </si>
  <si>
    <t>Shell radius</t>
  </si>
  <si>
    <r>
      <t>R</t>
    </r>
    <r>
      <rPr>
        <vertAlign val="subscript"/>
        <sz val="10"/>
        <rFont val="Arial"/>
        <family val="2"/>
      </rPr>
      <t>S</t>
    </r>
  </si>
  <si>
    <t>Calculated radius</t>
  </si>
  <si>
    <r>
      <t xml:space="preserve">The </t>
    </r>
    <r>
      <rPr>
        <b/>
        <sz val="10"/>
        <rFont val="Arial"/>
        <family val="2"/>
      </rPr>
      <t>shell diameter</t>
    </r>
    <r>
      <rPr>
        <sz val="10"/>
        <rFont val="Arial"/>
        <family val="2"/>
      </rPr>
      <t xml:space="preserve"> divided by 2.</t>
    </r>
  </si>
  <si>
    <t>Working volume</t>
  </si>
  <si>
    <t>gallons</t>
  </si>
  <si>
    <t>Calculated volume</t>
  </si>
  <si>
    <r>
      <t>Area =</t>
    </r>
    <r>
      <rPr>
        <sz val="10"/>
        <rFont val="Arial"/>
        <family val="2"/>
      </rPr>
      <t xml:space="preserve"> </t>
    </r>
    <r>
      <rPr>
        <sz val="10"/>
        <rFont val="Calibri"/>
        <family val="2"/>
      </rPr>
      <t>∏</t>
    </r>
    <r>
      <rPr>
        <sz val="12"/>
        <color theme="1"/>
        <rFont val="Calibri"/>
        <family val="2"/>
        <scheme val="minor"/>
      </rPr>
      <t>*(D</t>
    </r>
    <r>
      <rPr>
        <vertAlign val="subscript"/>
        <sz val="10"/>
        <rFont val="Arial"/>
        <family val="2"/>
      </rPr>
      <t>E</t>
    </r>
    <r>
      <rPr>
        <sz val="12"/>
        <color theme="1"/>
        <rFont val="Calibri"/>
        <family val="2"/>
        <scheme val="minor"/>
      </rPr>
      <t>/2)</t>
    </r>
    <r>
      <rPr>
        <vertAlign val="superscript"/>
        <sz val="10"/>
        <rFont val="Arial"/>
        <family val="2"/>
      </rPr>
      <t>2</t>
    </r>
    <r>
      <rPr>
        <sz val="12"/>
        <color theme="1"/>
        <rFont val="Calibri"/>
        <family val="2"/>
        <scheme val="minor"/>
      </rPr>
      <t xml:space="preserve"> *</t>
    </r>
    <r>
      <rPr>
        <b/>
        <sz val="10"/>
        <rFont val="Arial"/>
        <family val="2"/>
      </rPr>
      <t xml:space="preserve"> shell effective height </t>
    </r>
    <r>
      <rPr>
        <sz val="10"/>
        <rFont val="Arial"/>
        <family val="2"/>
      </rPr>
      <t>(S</t>
    </r>
    <r>
      <rPr>
        <vertAlign val="subscript"/>
        <sz val="10"/>
        <rFont val="Arial"/>
        <family val="2"/>
      </rPr>
      <t>E</t>
    </r>
    <r>
      <rPr>
        <sz val="10"/>
        <rFont val="Arial"/>
        <family val="2"/>
      </rPr>
      <t>)</t>
    </r>
    <r>
      <rPr>
        <sz val="12"/>
        <color theme="1"/>
        <rFont val="Calibri"/>
        <family val="2"/>
        <scheme val="minor"/>
      </rPr>
      <t>. Conversion factor: 7.48 gallon/ft</t>
    </r>
    <r>
      <rPr>
        <vertAlign val="superscript"/>
        <sz val="10"/>
        <rFont val="Arial"/>
        <family val="2"/>
        <charset val="1"/>
      </rPr>
      <t>3</t>
    </r>
    <r>
      <rPr>
        <sz val="12"/>
        <color theme="1"/>
        <rFont val="Calibri"/>
        <family val="2"/>
        <scheme val="minor"/>
      </rPr>
      <t>.</t>
    </r>
  </si>
  <si>
    <t>Turnovers per year (actual)</t>
  </si>
  <si>
    <t>N</t>
  </si>
  <si>
    <t>dimensionless</t>
  </si>
  <si>
    <t xml:space="preserve">Calculated number the tank is emptied and refilled, annually. </t>
  </si>
  <si>
    <r>
      <rPr>
        <b/>
        <sz val="10"/>
        <rFont val="Arial"/>
        <family val="2"/>
      </rPr>
      <t>Actual throughput</t>
    </r>
    <r>
      <rPr>
        <sz val="12"/>
        <color theme="1"/>
        <rFont val="Calibri"/>
        <family val="2"/>
        <scheme val="minor"/>
      </rPr>
      <t xml:space="preserve"> and </t>
    </r>
    <r>
      <rPr>
        <b/>
        <sz val="10"/>
        <rFont val="Arial"/>
        <family val="2"/>
      </rPr>
      <t>working volume</t>
    </r>
    <r>
      <rPr>
        <sz val="12"/>
        <color theme="1"/>
        <rFont val="Calibri"/>
        <family val="2"/>
        <scheme val="minor"/>
      </rPr>
      <t>. Value = "0" if liquid is stored for an entire year.</t>
    </r>
  </si>
  <si>
    <t>Shell color/shade</t>
  </si>
  <si>
    <t>J. Red - primer</t>
  </si>
  <si>
    <r>
      <t xml:space="preserve">Tank shell color and shade are used to identify </t>
    </r>
    <r>
      <rPr>
        <b/>
        <sz val="10"/>
        <rFont val="Arial"/>
        <family val="2"/>
        <charset val="1"/>
      </rPr>
      <t>paint solar absorptance</t>
    </r>
    <r>
      <rPr>
        <sz val="12"/>
        <color theme="1"/>
        <rFont val="Calibri"/>
        <family val="2"/>
        <scheme val="minor"/>
      </rPr>
      <t>.</t>
    </r>
  </si>
  <si>
    <t>Default value is "White/NA". Go to Table 7.1-6.</t>
  </si>
  <si>
    <t>A. New</t>
  </si>
  <si>
    <t>(determines column in</t>
  </si>
  <si>
    <t>Shell condition</t>
  </si>
  <si>
    <t>B. Average</t>
  </si>
  <si>
    <r>
      <t xml:space="preserve">Tank condition is used to identify </t>
    </r>
    <r>
      <rPr>
        <b/>
        <sz val="10"/>
        <rFont val="Arial"/>
        <family val="2"/>
        <charset val="1"/>
      </rPr>
      <t>paint solar absorptance</t>
    </r>
    <r>
      <rPr>
        <sz val="12"/>
        <color theme="1"/>
        <rFont val="Calibri"/>
        <family val="2"/>
        <scheme val="minor"/>
      </rPr>
      <t>. Only aboveground.</t>
    </r>
  </si>
  <si>
    <t>Default value is "Average" Go to Table 7.1-6.</t>
  </si>
  <si>
    <t>Table 7.1-6)</t>
  </si>
  <si>
    <t>Paint solar absorptance</t>
  </si>
  <si>
    <t>α</t>
  </si>
  <si>
    <t>Paint effectiveness in absorbing radiant energy.</t>
  </si>
  <si>
    <t>Default value for "White/NA", "Average" condition tank is: 0.25. Go to Table 7.1-6.</t>
  </si>
  <si>
    <t>C. Aged</t>
  </si>
  <si>
    <t>Vacuum setting</t>
  </si>
  <si>
    <r>
      <t>P</t>
    </r>
    <r>
      <rPr>
        <vertAlign val="subscript"/>
        <sz val="10"/>
        <rFont val="Arial"/>
        <family val="2"/>
      </rPr>
      <t>BV</t>
    </r>
  </si>
  <si>
    <t>psig</t>
  </si>
  <si>
    <t>Vacuum setting is a value set for the tank at the facility.</t>
  </si>
  <si>
    <t>Must be between 0 and -1 psig. Default value is -0.03 psig.</t>
  </si>
  <si>
    <t>Pressure setting</t>
  </si>
  <si>
    <r>
      <t>P</t>
    </r>
    <r>
      <rPr>
        <vertAlign val="subscript"/>
        <sz val="10"/>
        <rFont val="Arial"/>
        <family val="2"/>
      </rPr>
      <t>BP</t>
    </r>
  </si>
  <si>
    <t xml:space="preserve">Breather vent pressure is a reading from the tank monitoring system. </t>
  </si>
  <si>
    <t>Must be between 0 and 1 psig. Default value is 0.03 psig.</t>
  </si>
  <si>
    <t>Weather data</t>
  </si>
  <si>
    <t>Nearest major city</t>
  </si>
  <si>
    <t>Salem, OR</t>
  </si>
  <si>
    <t>Select one</t>
  </si>
  <si>
    <t>Nearest major city to the tank location.</t>
  </si>
  <si>
    <t>Go to Table 7.1-7.</t>
  </si>
  <si>
    <t>Average annual maximum temperature</t>
  </si>
  <si>
    <r>
      <t>T</t>
    </r>
    <r>
      <rPr>
        <vertAlign val="subscript"/>
        <sz val="10"/>
        <rFont val="Arial"/>
        <family val="2"/>
      </rPr>
      <t>AX</t>
    </r>
  </si>
  <si>
    <t xml:space="preserve"> °F</t>
  </si>
  <si>
    <t>Average over a calendar year.</t>
  </si>
  <si>
    <t>Average annual minimum temperature</t>
  </si>
  <si>
    <r>
      <t>T</t>
    </r>
    <r>
      <rPr>
        <vertAlign val="subscript"/>
        <sz val="10"/>
        <rFont val="Arial"/>
        <family val="2"/>
      </rPr>
      <t>AN</t>
    </r>
  </si>
  <si>
    <t>Atmospheric pressure</t>
  </si>
  <si>
    <r>
      <t>P</t>
    </r>
    <r>
      <rPr>
        <vertAlign val="subscript"/>
        <sz val="10"/>
        <rFont val="Arial"/>
        <family val="2"/>
      </rPr>
      <t>A</t>
    </r>
  </si>
  <si>
    <t>psia</t>
  </si>
  <si>
    <t>Average for the location.</t>
  </si>
  <si>
    <t>Barometric pressure of 29.9 inches of mercury is approximately 14.7 psia.</t>
  </si>
  <si>
    <t>Solar insolation</t>
  </si>
  <si>
    <t>I</t>
  </si>
  <si>
    <r>
      <t>Btu/(ft</t>
    </r>
    <r>
      <rPr>
        <vertAlign val="superscript"/>
        <sz val="10"/>
        <rFont val="Arial"/>
        <family val="2"/>
        <charset val="1"/>
      </rPr>
      <t>2</t>
    </r>
    <r>
      <rPr>
        <sz val="10"/>
        <rFont val="Calibri"/>
        <family val="2"/>
      </rPr>
      <t>·</t>
    </r>
    <r>
      <rPr>
        <sz val="12"/>
        <color theme="1"/>
        <rFont val="Calibri"/>
        <family val="2"/>
        <scheme val="minor"/>
      </rPr>
      <t>day)</t>
    </r>
  </si>
  <si>
    <t xml:space="preserve">Total for a horizontal surface. </t>
  </si>
  <si>
    <t>estimated daily maximum ambient temperature, °F</t>
  </si>
  <si>
    <t>estimated daily minimum ambient temperature, °F</t>
  </si>
  <si>
    <t>Average atmospheric pressure, psia</t>
  </si>
  <si>
    <t>average daily total insolation factor, Btu/(ft2*day)</t>
  </si>
  <si>
    <r>
      <t>Calculation of VOC Emission = Total Losses (L</t>
    </r>
    <r>
      <rPr>
        <b/>
        <vertAlign val="subscript"/>
        <sz val="11"/>
        <rFont val="Arial"/>
        <family val="2"/>
      </rPr>
      <t>T</t>
    </r>
    <r>
      <rPr>
        <b/>
        <sz val="11"/>
        <rFont val="Arial"/>
        <family val="2"/>
      </rPr>
      <t>)</t>
    </r>
  </si>
  <si>
    <t>Calculated value</t>
  </si>
  <si>
    <t>Variable</t>
  </si>
  <si>
    <t>Notes (equations are from AP-42, Chapter 7)</t>
  </si>
  <si>
    <t>Total losses (VOC actual emissions)</t>
  </si>
  <si>
    <r>
      <t xml:space="preserve"> L</t>
    </r>
    <r>
      <rPr>
        <vertAlign val="subscript"/>
        <sz val="10"/>
        <rFont val="Arial"/>
        <family val="2"/>
        <charset val="1"/>
      </rPr>
      <t>T</t>
    </r>
  </si>
  <si>
    <t>lb/yr</t>
  </si>
  <si>
    <t>Equation 1-1</t>
  </si>
  <si>
    <t>Standing storage losses</t>
  </si>
  <si>
    <r>
      <t>L</t>
    </r>
    <r>
      <rPr>
        <vertAlign val="subscript"/>
        <sz val="10"/>
        <rFont val="Arial"/>
        <family val="2"/>
        <charset val="1"/>
      </rPr>
      <t>S</t>
    </r>
  </si>
  <si>
    <t>Equation 1-2</t>
  </si>
  <si>
    <t>Working losses (actual)</t>
  </si>
  <si>
    <r>
      <t>L</t>
    </r>
    <r>
      <rPr>
        <vertAlign val="subscript"/>
        <sz val="10"/>
        <rFont val="Arial"/>
        <family val="2"/>
        <charset val="1"/>
      </rPr>
      <t>W</t>
    </r>
  </si>
  <si>
    <t>Equation 1-35</t>
  </si>
  <si>
    <t>Annual net throughput (actual)</t>
  </si>
  <si>
    <t>Q</t>
  </si>
  <si>
    <t>bbl/yr</t>
  </si>
  <si>
    <t>Based on actual throughput entered by user (gal/year) / 42 bbl/gal</t>
  </si>
  <si>
    <t>Working loss turnover factor (actual)</t>
  </si>
  <si>
    <r>
      <t>K</t>
    </r>
    <r>
      <rPr>
        <vertAlign val="subscript"/>
        <sz val="10"/>
        <rFont val="Arial"/>
        <family val="2"/>
        <charset val="1"/>
      </rPr>
      <t>N</t>
    </r>
  </si>
  <si>
    <t>Saturation; turnovers &gt;36 = (180 + N) / 6N; turnovers at 36 or lower = 1</t>
  </si>
  <si>
    <t>Stock vapor density</t>
  </si>
  <si>
    <r>
      <t>W</t>
    </r>
    <r>
      <rPr>
        <vertAlign val="subscript"/>
        <sz val="10"/>
        <rFont val="Arial"/>
        <family val="2"/>
        <charset val="1"/>
      </rPr>
      <t>V</t>
    </r>
    <r>
      <rPr>
        <sz val="12"/>
        <color theme="1"/>
        <rFont val="Calibri"/>
        <family val="2"/>
        <scheme val="minor"/>
      </rPr>
      <t/>
    </r>
  </si>
  <si>
    <r>
      <t>lb/ft</t>
    </r>
    <r>
      <rPr>
        <vertAlign val="superscript"/>
        <sz val="10"/>
        <rFont val="Arial"/>
        <family val="2"/>
        <charset val="1"/>
      </rPr>
      <t>3</t>
    </r>
  </si>
  <si>
    <t>Equation 1-22</t>
  </si>
  <si>
    <t>Vapor Molecular Weight at 60 °F</t>
  </si>
  <si>
    <r>
      <t>M</t>
    </r>
    <r>
      <rPr>
        <vertAlign val="subscript"/>
        <sz val="10"/>
        <rFont val="Arial"/>
        <family val="2"/>
      </rPr>
      <t>V</t>
    </r>
  </si>
  <si>
    <t>lb/lb-mole</t>
  </si>
  <si>
    <t>Table 7.1-2</t>
  </si>
  <si>
    <t>Vapor pressure</t>
  </si>
  <si>
    <r>
      <t>P</t>
    </r>
    <r>
      <rPr>
        <vertAlign val="subscript"/>
        <sz val="10"/>
        <rFont val="Arial"/>
        <family val="2"/>
      </rPr>
      <t>VA</t>
    </r>
  </si>
  <si>
    <r>
      <t>Equation 1-25, P</t>
    </r>
    <r>
      <rPr>
        <vertAlign val="subscript"/>
        <sz val="10"/>
        <rFont val="Arial"/>
        <family val="2"/>
      </rPr>
      <t>VA</t>
    </r>
    <r>
      <rPr>
        <sz val="12"/>
        <color theme="1"/>
        <rFont val="Calibri"/>
        <family val="2"/>
        <scheme val="minor"/>
      </rPr>
      <t xml:space="preserve"> based on T</t>
    </r>
    <r>
      <rPr>
        <vertAlign val="subscript"/>
        <sz val="10"/>
        <rFont val="Arial"/>
        <family val="2"/>
      </rPr>
      <t>LA</t>
    </r>
  </si>
  <si>
    <t>Vapor space volume</t>
  </si>
  <si>
    <r>
      <t>V</t>
    </r>
    <r>
      <rPr>
        <vertAlign val="subscript"/>
        <sz val="10"/>
        <rFont val="Arial"/>
        <family val="2"/>
      </rPr>
      <t>V</t>
    </r>
  </si>
  <si>
    <r>
      <t>ft</t>
    </r>
    <r>
      <rPr>
        <vertAlign val="superscript"/>
        <sz val="10"/>
        <rFont val="Arial"/>
        <family val="2"/>
        <charset val="1"/>
      </rPr>
      <t>3</t>
    </r>
  </si>
  <si>
    <t>Equation 1-3</t>
  </si>
  <si>
    <t>Vapor space tank outage</t>
  </si>
  <si>
    <r>
      <t>H</t>
    </r>
    <r>
      <rPr>
        <vertAlign val="subscript"/>
        <sz val="10"/>
        <rFont val="Arial"/>
        <family val="2"/>
      </rPr>
      <t>VO</t>
    </r>
  </si>
  <si>
    <r>
      <t>Equation 1-16, note for H</t>
    </r>
    <r>
      <rPr>
        <vertAlign val="subscript"/>
        <sz val="10"/>
        <rFont val="Arial"/>
        <family val="2"/>
      </rPr>
      <t>VO</t>
    </r>
    <r>
      <rPr>
        <sz val="10"/>
        <rFont val="Arial"/>
        <family val="2"/>
      </rPr>
      <t xml:space="preserve"> horizontal</t>
    </r>
  </si>
  <si>
    <t>Vapor space expansion factor</t>
  </si>
  <si>
    <r>
      <t>K</t>
    </r>
    <r>
      <rPr>
        <vertAlign val="subscript"/>
        <sz val="10"/>
        <rFont val="Arial"/>
        <family val="2"/>
      </rPr>
      <t>E</t>
    </r>
  </si>
  <si>
    <t>Equation 1-5</t>
  </si>
  <si>
    <t>Vented vapor saturation factor</t>
  </si>
  <si>
    <r>
      <t>K</t>
    </r>
    <r>
      <rPr>
        <vertAlign val="subscript"/>
        <sz val="10"/>
        <rFont val="Arial"/>
        <family val="2"/>
        <charset val="1"/>
      </rPr>
      <t>S</t>
    </r>
  </si>
  <si>
    <t>Equation 1-21</t>
  </si>
  <si>
    <t>Vent setting correction factor</t>
  </si>
  <si>
    <r>
      <t>K</t>
    </r>
    <r>
      <rPr>
        <vertAlign val="subscript"/>
        <sz val="10"/>
        <rFont val="Arial"/>
        <family val="2"/>
      </rPr>
      <t>B</t>
    </r>
  </si>
  <si>
    <t>Equation 1-41, breather vent setting greater than 0.3 psig</t>
  </si>
  <si>
    <t>Working loss product factor</t>
  </si>
  <si>
    <r>
      <t>K</t>
    </r>
    <r>
      <rPr>
        <vertAlign val="subscript"/>
        <sz val="10"/>
        <rFont val="Arial"/>
        <family val="2"/>
        <charset val="1"/>
      </rPr>
      <t>P</t>
    </r>
  </si>
  <si>
    <t>Assume value of 1 for gasoline or diesel.</t>
  </si>
  <si>
    <t>Ideal gas constant</t>
  </si>
  <si>
    <t>R</t>
  </si>
  <si>
    <r>
      <t>psia*ft</t>
    </r>
    <r>
      <rPr>
        <vertAlign val="superscript"/>
        <sz val="10"/>
        <rFont val="Arial"/>
        <family val="2"/>
        <charset val="1"/>
      </rPr>
      <t>3</t>
    </r>
    <r>
      <rPr>
        <sz val="12"/>
        <color theme="1"/>
        <rFont val="Calibri"/>
        <family val="2"/>
        <scheme val="minor"/>
      </rPr>
      <t>/lb-mole*°R</t>
    </r>
  </si>
  <si>
    <t>Constant, Equation 1-22</t>
  </si>
  <si>
    <t>Average vapor temperature</t>
  </si>
  <si>
    <r>
      <t>T</t>
    </r>
    <r>
      <rPr>
        <vertAlign val="subscript"/>
        <sz val="10"/>
        <rFont val="Arial"/>
        <family val="2"/>
        <charset val="1"/>
      </rPr>
      <t>V</t>
    </r>
  </si>
  <si>
    <t xml:space="preserve"> °R</t>
  </si>
  <si>
    <t>Equation 1-33</t>
  </si>
  <si>
    <t>Daily average liquid surface temperature</t>
  </si>
  <si>
    <r>
      <t>T</t>
    </r>
    <r>
      <rPr>
        <vertAlign val="subscript"/>
        <sz val="10"/>
        <rFont val="Arial"/>
        <family val="2"/>
        <charset val="1"/>
      </rPr>
      <t>LA</t>
    </r>
  </si>
  <si>
    <t>Equation 1-28</t>
  </si>
  <si>
    <t>Daily vapor temperature range</t>
  </si>
  <si>
    <r>
      <t>ΔT</t>
    </r>
    <r>
      <rPr>
        <vertAlign val="subscript"/>
        <sz val="10"/>
        <rFont val="Arial"/>
        <family val="2"/>
        <charset val="1"/>
      </rPr>
      <t>V</t>
    </r>
  </si>
  <si>
    <t>Equation 1-7</t>
  </si>
  <si>
    <t>Daily ambient temperature range</t>
  </si>
  <si>
    <r>
      <t>ΔT</t>
    </r>
    <r>
      <rPr>
        <vertAlign val="subscript"/>
        <sz val="10"/>
        <rFont val="Arial"/>
        <family val="2"/>
        <charset val="1"/>
      </rPr>
      <t>A</t>
    </r>
  </si>
  <si>
    <t>Equation 1-11</t>
  </si>
  <si>
    <t>Daily maximum ambient temperature</t>
  </si>
  <si>
    <r>
      <t>T</t>
    </r>
    <r>
      <rPr>
        <vertAlign val="subscript"/>
        <sz val="10"/>
        <rFont val="Arial"/>
        <family val="2"/>
        <charset val="1"/>
      </rPr>
      <t>AX</t>
    </r>
  </si>
  <si>
    <t>Table 7-1-7. Conversion factor: Rankine = Fahrenheit + 459.7</t>
  </si>
  <si>
    <t>Daily minimum ambient temperature</t>
  </si>
  <si>
    <r>
      <t>T</t>
    </r>
    <r>
      <rPr>
        <vertAlign val="subscript"/>
        <sz val="10"/>
        <rFont val="Arial"/>
        <family val="2"/>
        <charset val="1"/>
      </rPr>
      <t>AN</t>
    </r>
  </si>
  <si>
    <t>Daily average ambient temperature</t>
  </si>
  <si>
    <r>
      <t>T</t>
    </r>
    <r>
      <rPr>
        <vertAlign val="subscript"/>
        <sz val="10"/>
        <rFont val="Arial"/>
        <family val="2"/>
        <charset val="1"/>
      </rPr>
      <t>AA</t>
    </r>
  </si>
  <si>
    <t>Equation 1-30</t>
  </si>
  <si>
    <t>Liquid bulk temperature</t>
  </si>
  <si>
    <r>
      <t>T</t>
    </r>
    <r>
      <rPr>
        <vertAlign val="subscript"/>
        <sz val="10"/>
        <rFont val="Arial"/>
        <family val="2"/>
        <charset val="1"/>
      </rPr>
      <t>B</t>
    </r>
  </si>
  <si>
    <t>Equation 1-31</t>
  </si>
  <si>
    <t>Daily vapor pressure range</t>
  </si>
  <si>
    <r>
      <t>ΔP</t>
    </r>
    <r>
      <rPr>
        <vertAlign val="subscript"/>
        <sz val="10"/>
        <rFont val="Arial"/>
        <family val="2"/>
        <charset val="1"/>
      </rPr>
      <t>V</t>
    </r>
  </si>
  <si>
    <t>Equation 1-9</t>
  </si>
  <si>
    <t>Breather vent pressure setting range</t>
  </si>
  <si>
    <r>
      <t>ΔP</t>
    </r>
    <r>
      <rPr>
        <vertAlign val="subscript"/>
        <sz val="11"/>
        <rFont val="Arial"/>
        <family val="2"/>
        <charset val="1"/>
      </rPr>
      <t>B</t>
    </r>
  </si>
  <si>
    <t>psi</t>
  </si>
  <si>
    <t>Equation 1-10</t>
  </si>
  <si>
    <t>Vapor pressure equation constant</t>
  </si>
  <si>
    <t>A</t>
  </si>
  <si>
    <t>B</t>
  </si>
  <si>
    <t>Antoine's Eq Constant</t>
  </si>
  <si>
    <t xml:space="preserve"> °C</t>
  </si>
  <si>
    <t>C</t>
  </si>
  <si>
    <t>Partial Pressure of chemical selected</t>
  </si>
  <si>
    <r>
      <rPr>
        <i/>
        <sz val="10"/>
        <rFont val="Arial"/>
        <family val="2"/>
      </rPr>
      <t>p</t>
    </r>
    <r>
      <rPr>
        <i/>
        <vertAlign val="subscript"/>
        <sz val="10"/>
        <rFont val="Arial"/>
        <family val="2"/>
      </rPr>
      <t>i</t>
    </r>
  </si>
  <si>
    <t>mm Hg</t>
  </si>
  <si>
    <t>Vapor Mole Fraction of chemical selected</t>
  </si>
  <si>
    <r>
      <t>y</t>
    </r>
    <r>
      <rPr>
        <vertAlign val="subscript"/>
        <sz val="10"/>
        <rFont val="Arial"/>
        <family val="2"/>
      </rPr>
      <t>i</t>
    </r>
  </si>
  <si>
    <t>assumes chemical stored is sole product and not a mixture</t>
  </si>
  <si>
    <r>
      <t>Vapor pressure at T</t>
    </r>
    <r>
      <rPr>
        <vertAlign val="subscript"/>
        <sz val="10"/>
        <rFont val="Arial"/>
        <family val="2"/>
      </rPr>
      <t>LX</t>
    </r>
  </si>
  <si>
    <r>
      <t>P</t>
    </r>
    <r>
      <rPr>
        <vertAlign val="subscript"/>
        <sz val="10"/>
        <rFont val="Arial"/>
        <family val="2"/>
      </rPr>
      <t>VX</t>
    </r>
  </si>
  <si>
    <t>Equation 1-9, note 5</t>
  </si>
  <si>
    <r>
      <t>Vapor pressure at T</t>
    </r>
    <r>
      <rPr>
        <vertAlign val="subscript"/>
        <sz val="10"/>
        <rFont val="Arial"/>
        <family val="2"/>
      </rPr>
      <t>LN</t>
    </r>
  </si>
  <si>
    <r>
      <t>P</t>
    </r>
    <r>
      <rPr>
        <vertAlign val="subscript"/>
        <sz val="10"/>
        <rFont val="Arial"/>
        <family val="2"/>
      </rPr>
      <t>VN</t>
    </r>
  </si>
  <si>
    <r>
      <t>Maximum T</t>
    </r>
    <r>
      <rPr>
        <vertAlign val="subscript"/>
        <sz val="10"/>
        <rFont val="Arial"/>
        <family val="2"/>
      </rPr>
      <t>LA</t>
    </r>
  </si>
  <si>
    <r>
      <t>T</t>
    </r>
    <r>
      <rPr>
        <vertAlign val="subscript"/>
        <sz val="10"/>
        <rFont val="Arial"/>
        <family val="2"/>
      </rPr>
      <t>LX</t>
    </r>
  </si>
  <si>
    <t xml:space="preserve">Equation 1-9, note to Figure 7.1-17 </t>
  </si>
  <si>
    <r>
      <t>Minimum T</t>
    </r>
    <r>
      <rPr>
        <vertAlign val="subscript"/>
        <sz val="10"/>
        <rFont val="Arial"/>
        <family val="2"/>
      </rPr>
      <t>LA</t>
    </r>
  </si>
  <si>
    <r>
      <t>T</t>
    </r>
    <r>
      <rPr>
        <vertAlign val="subscript"/>
        <sz val="10"/>
        <rFont val="Arial"/>
        <family val="2"/>
      </rPr>
      <t>LN</t>
    </r>
  </si>
  <si>
    <t>Reference tables from AP-42, chapter 7</t>
  </si>
  <si>
    <t>AP-42, Chapter 7 (updated June 2020)</t>
  </si>
  <si>
    <t>https://www3.epa.gov/ttn/chief/ap42/ch07/final/ch07s01.pdf</t>
  </si>
  <si>
    <t>Table 7.1-2 Properties of selected petroleum liquids at 60°F</t>
  </si>
  <si>
    <t>Petroleum liquid</t>
  </si>
  <si>
    <t>Vapor molecular weight</t>
  </si>
  <si>
    <r>
      <t xml:space="preserve">Liquid molecular weight </t>
    </r>
    <r>
      <rPr>
        <b/>
        <vertAlign val="superscript"/>
        <sz val="10"/>
        <color theme="1"/>
        <rFont val="Arial"/>
        <family val="2"/>
      </rPr>
      <t>b</t>
    </r>
  </si>
  <si>
    <t>Liquid density</t>
  </si>
  <si>
    <t>True vapor pressure</t>
  </si>
  <si>
    <r>
      <t>M</t>
    </r>
    <r>
      <rPr>
        <vertAlign val="subscript"/>
        <sz val="10"/>
        <rFont val="Arial"/>
        <family val="2"/>
        <charset val="1"/>
      </rPr>
      <t>V</t>
    </r>
  </si>
  <si>
    <r>
      <t>M</t>
    </r>
    <r>
      <rPr>
        <b/>
        <vertAlign val="subscript"/>
        <sz val="10"/>
        <color theme="1"/>
        <rFont val="Arial"/>
        <family val="2"/>
      </rPr>
      <t>L</t>
    </r>
  </si>
  <si>
    <r>
      <t>W</t>
    </r>
    <r>
      <rPr>
        <vertAlign val="subscript"/>
        <sz val="10"/>
        <rFont val="Arial"/>
        <family val="2"/>
        <charset val="1"/>
      </rPr>
      <t>L</t>
    </r>
  </si>
  <si>
    <t>(lb/lb-mole)</t>
  </si>
  <si>
    <t>(lb/gal)</t>
  </si>
  <si>
    <t>(dimensionless)</t>
  </si>
  <si>
    <t>(°R)</t>
  </si>
  <si>
    <t>(psi)</t>
  </si>
  <si>
    <t>B. Motor gasoline RVP 10</t>
  </si>
  <si>
    <t>C. Motor gasoline RVP 7</t>
  </si>
  <si>
    <t>D. Jet naphtha (JP-4)</t>
  </si>
  <si>
    <t>E. Jet kerosene (Jet A)</t>
  </si>
  <si>
    <t>F. No. 2 fuel oil (diesel)</t>
  </si>
  <si>
    <t>G. No. 6 fuel oil</t>
  </si>
  <si>
    <t>H. Vacuum residual oil</t>
  </si>
  <si>
    <t>I. Other. Next Question</t>
  </si>
  <si>
    <t>Table 7.1-6 Paint solar absorption for fixed roof tanks</t>
  </si>
  <si>
    <t>Paint Color</t>
  </si>
  <si>
    <t>Paint shade or type</t>
  </si>
  <si>
    <r>
      <t>Reflective condition (α)</t>
    </r>
    <r>
      <rPr>
        <b/>
        <vertAlign val="superscript"/>
        <sz val="10"/>
        <rFont val="Arial"/>
        <family val="2"/>
      </rPr>
      <t>1</t>
    </r>
  </si>
  <si>
    <t>New</t>
  </si>
  <si>
    <t>Aged</t>
  </si>
  <si>
    <t>A. White</t>
  </si>
  <si>
    <t>Aluminum paint/Specular shade</t>
  </si>
  <si>
    <t>B. Aluminum - specular</t>
  </si>
  <si>
    <t>Aluminum paint/Diffuse shade</t>
  </si>
  <si>
    <t>C. Aluminum - diffuse</t>
  </si>
  <si>
    <t>Aluminum metal/unpainted</t>
  </si>
  <si>
    <t>D. Beige/cream</t>
  </si>
  <si>
    <t>Beige/Cream/no shade</t>
  </si>
  <si>
    <t>E. Black</t>
  </si>
  <si>
    <t>Black/no shade</t>
  </si>
  <si>
    <t>F. Brown</t>
  </si>
  <si>
    <t>Brown/no shade</t>
  </si>
  <si>
    <t>G. Gray - light</t>
  </si>
  <si>
    <t>Gray/Light shade</t>
  </si>
  <si>
    <t>H. Gray - medium</t>
  </si>
  <si>
    <t>Gray/Medium shade</t>
  </si>
  <si>
    <t>I. Green - dark</t>
  </si>
  <si>
    <t>Green/Dark shade</t>
  </si>
  <si>
    <t>Red/Primer shade</t>
  </si>
  <si>
    <t>K. Rust - red iron oxide</t>
  </si>
  <si>
    <t>Rust/Red iron oxide shade</t>
  </si>
  <si>
    <t>L. Tan</t>
  </si>
  <si>
    <t>Tan/no shade</t>
  </si>
  <si>
    <t>M. Aluminum - mill finish, unpainted</t>
  </si>
  <si>
    <t>White/NA</t>
  </si>
  <si>
    <r>
      <rPr>
        <vertAlign val="superscript"/>
        <sz val="8"/>
        <rFont val="Arial"/>
        <family val="2"/>
      </rPr>
      <t>1</t>
    </r>
    <r>
      <rPr>
        <sz val="8"/>
        <rFont val="Arial"/>
        <family val="2"/>
      </rPr>
      <t>Reflective condition definitions</t>
    </r>
  </si>
  <si>
    <t xml:space="preserve">New: For paint, paint still retains the fresh shine of having been recently applied; for mill-finished aluminum, surface is shiny. </t>
  </si>
  <si>
    <t xml:space="preserve">Average: For paint, paint is in good condition, but the initial shine has faded; for mill-finished aluminum, surface is oxidized but still bright. </t>
  </si>
  <si>
    <t>Aged: For paint, paint is noticeably faded and dull; for mill-finish aluminum, surface is dull.</t>
  </si>
  <si>
    <r>
      <rPr>
        <vertAlign val="superscript"/>
        <sz val="8"/>
        <rFont val="Arial"/>
        <family val="2"/>
      </rPr>
      <t>2</t>
    </r>
    <r>
      <rPr>
        <sz val="8"/>
        <rFont val="Arial"/>
        <family val="2"/>
      </rPr>
      <t xml:space="preserve">Refers to aluminum as the base metal, rather than aluminum colored paint. </t>
    </r>
  </si>
  <si>
    <r>
      <t xml:space="preserve">Table 7.1-3 Physical properties of selected petrochemicals </t>
    </r>
    <r>
      <rPr>
        <b/>
        <vertAlign val="superscript"/>
        <sz val="10"/>
        <color theme="1"/>
        <rFont val="Arial"/>
        <family val="2"/>
      </rPr>
      <t>a</t>
    </r>
  </si>
  <si>
    <t>Chemical name</t>
  </si>
  <si>
    <t>CAS registry no.</t>
  </si>
  <si>
    <t>Molecular weight</t>
  </si>
  <si>
    <r>
      <t>Liquid density</t>
    </r>
    <r>
      <rPr>
        <b/>
        <vertAlign val="superscript"/>
        <sz val="10"/>
        <color theme="1"/>
        <rFont val="Arial"/>
        <family val="2"/>
      </rPr>
      <t>d</t>
    </r>
    <r>
      <rPr>
        <b/>
        <sz val="10"/>
        <color theme="1"/>
        <rFont val="Arial"/>
        <family val="2"/>
      </rPr>
      <t xml:space="preserve"> (lb/gal)</t>
    </r>
  </si>
  <si>
    <t>True vapor pressure at 60 °F (psia)</t>
  </si>
  <si>
    <r>
      <t>Antoine's equation</t>
    </r>
    <r>
      <rPr>
        <b/>
        <vertAlign val="superscript"/>
        <sz val="10"/>
        <color theme="1"/>
        <rFont val="Arial"/>
        <family val="2"/>
      </rPr>
      <t>b</t>
    </r>
  </si>
  <si>
    <t>Normal boiling point (°F)</t>
  </si>
  <si>
    <t>Constants</t>
  </si>
  <si>
    <r>
      <t xml:space="preserve">Temperature range </t>
    </r>
    <r>
      <rPr>
        <b/>
        <vertAlign val="superscript"/>
        <sz val="10"/>
        <color theme="1"/>
        <rFont val="Arial"/>
        <family val="2"/>
      </rPr>
      <t>c</t>
    </r>
  </si>
  <si>
    <t>A dimensionless</t>
  </si>
  <si>
    <t>B (°C)</t>
  </si>
  <si>
    <t>C (°C)</t>
  </si>
  <si>
    <t>Minimum (°F)</t>
  </si>
  <si>
    <t>Maximum (°F)</t>
  </si>
  <si>
    <t>00075-07-0</t>
  </si>
  <si>
    <t>Acetic acid</t>
  </si>
  <si>
    <t>00064-19-7</t>
  </si>
  <si>
    <t>Acetic anhydride {acetic acid anhydride}</t>
  </si>
  <si>
    <t>00108-24-7</t>
  </si>
  <si>
    <t>Acetone</t>
  </si>
  <si>
    <t>00067-64-1</t>
  </si>
  <si>
    <t>Acetonitrile</t>
  </si>
  <si>
    <t>00075-05-8</t>
  </si>
  <si>
    <t>Acrylamide</t>
  </si>
  <si>
    <t>00079-06-1</t>
  </si>
  <si>
    <t>Acrylic acid {2-propenoic acid}</t>
  </si>
  <si>
    <t>00079-10-7</t>
  </si>
  <si>
    <t>Acrylonitrile {2-propenenitrile}</t>
  </si>
  <si>
    <t>00107-13-1</t>
  </si>
  <si>
    <t>Allyl alcohol</t>
  </si>
  <si>
    <t>00107-18-6</t>
  </si>
  <si>
    <t>Allyl chloride {3-chloro-1-propene}</t>
  </si>
  <si>
    <t>00107-05-1</t>
  </si>
  <si>
    <t>Aniline</t>
  </si>
  <si>
    <t>00062-53-3</t>
  </si>
  <si>
    <t>00071-43-2</t>
  </si>
  <si>
    <t>00056-55-3</t>
  </si>
  <si>
    <t>00050-32-8</t>
  </si>
  <si>
    <t>Benzo[ghi]perylene</t>
  </si>
  <si>
    <t>00191-24-2</t>
  </si>
  <si>
    <t>Biphenyl</t>
  </si>
  <si>
    <t>00092-52-4</t>
  </si>
  <si>
    <t>Butadiene (1,3) {divinyl}</t>
  </si>
  <si>
    <t>00106-99-0</t>
  </si>
  <si>
    <t>Butane (n)</t>
  </si>
  <si>
    <t>00106-97-8</t>
  </si>
  <si>
    <t>Butene (1)</t>
  </si>
  <si>
    <t>00106-98-9</t>
  </si>
  <si>
    <t>Butene (cis-2)</t>
  </si>
  <si>
    <t>00590-18-1</t>
  </si>
  <si>
    <t>Butene (2-methyl-1)</t>
  </si>
  <si>
    <t>00563-46-2</t>
  </si>
  <si>
    <t>Butene (trans-2)</t>
  </si>
  <si>
    <t>00624-64-6</t>
  </si>
  <si>
    <t>Butyl alcohol (n) {butanol (1)}</t>
  </si>
  <si>
    <t>00071-36-3</t>
  </si>
  <si>
    <t>Butyl alcohol (tert) {1,1-dimethyl ethanol}</t>
  </si>
  <si>
    <t>00075-65-0</t>
  </si>
  <si>
    <t>Butyl chloride (-n) {1-chloro-butane}</t>
  </si>
  <si>
    <t>00109-69-3</t>
  </si>
  <si>
    <t>Butyl ether (di-tert)</t>
  </si>
  <si>
    <t>06163-66-2</t>
  </si>
  <si>
    <t>Carbon disulfide</t>
  </si>
  <si>
    <t>00075-15-0</t>
  </si>
  <si>
    <t>Carbon tetrachloride</t>
  </si>
  <si>
    <t>00056-23-5</t>
  </si>
  <si>
    <t>00108-90-7</t>
  </si>
  <si>
    <t>Chlorobutane (2)</t>
  </si>
  <si>
    <t>00078-86-4</t>
  </si>
  <si>
    <t>Chloroform</t>
  </si>
  <si>
    <t>00067-66-3</t>
  </si>
  <si>
    <t>Chloroprene {2-chloro-1,3-butadiene}</t>
  </si>
  <si>
    <t>00126-99-8</t>
  </si>
  <si>
    <t>Chlorotoluene (o) {1-chloro-2methylbenzene}</t>
  </si>
  <si>
    <t>00095-49-8</t>
  </si>
  <si>
    <t>Chrysene {benzo[a]phenanthrene}</t>
  </si>
  <si>
    <t>00218-01-9</t>
  </si>
  <si>
    <t>Cresol (m) {3-methyl-phenol}</t>
  </si>
  <si>
    <t>00108-39-4</t>
  </si>
  <si>
    <t>Cresol (o) {2-methyl-phenol}</t>
  </si>
  <si>
    <t>00095-48-7</t>
  </si>
  <si>
    <t>Cresol (p) {4-methyl-phenol}</t>
  </si>
  <si>
    <t>00106-44-5</t>
  </si>
  <si>
    <t>Cyclohexane</t>
  </si>
  <si>
    <t>00110-82-7</t>
  </si>
  <si>
    <t>Cyclohexanol</t>
  </si>
  <si>
    <t>00108-93-0</t>
  </si>
  <si>
    <t>Cyclohexanone</t>
  </si>
  <si>
    <t>00108-94-1</t>
  </si>
  <si>
    <t>Cyclohexene</t>
  </si>
  <si>
    <t>00110-83-8</t>
  </si>
  <si>
    <t>Cyclopentane</t>
  </si>
  <si>
    <t>00287-92-3</t>
  </si>
  <si>
    <t>Cyclopentanone</t>
  </si>
  <si>
    <t>00120-92-3</t>
  </si>
  <si>
    <t>Cyclopentene</t>
  </si>
  <si>
    <t>00142-29-0</t>
  </si>
  <si>
    <t>Decane (-n)</t>
  </si>
  <si>
    <t>00124-18-5</t>
  </si>
  <si>
    <t>Dibromopropane (1,2)</t>
  </si>
  <si>
    <t>00078-75-1</t>
  </si>
  <si>
    <t>Dibromopropane (1,3)</t>
  </si>
  <si>
    <t>00109-64-8</t>
  </si>
  <si>
    <t>Dichloroethane (1,1)</t>
  </si>
  <si>
    <t>00075-34-3</t>
  </si>
  <si>
    <t>Dichloroethane (1,2)</t>
  </si>
  <si>
    <t>00107-06-2</t>
  </si>
  <si>
    <t>Dichloroethylene (1,2) {1,2 dichloroethene}</t>
  </si>
  <si>
    <t>00540-59-0</t>
  </si>
  <si>
    <t>Dichloroethylene (trans-1,2)</t>
  </si>
  <si>
    <t>00156-60-5</t>
  </si>
  <si>
    <t>Dichlorotoluene (3,4)</t>
  </si>
  <si>
    <t>00095-75-0</t>
  </si>
  <si>
    <t>Diethoxyethane (1,1)</t>
  </si>
  <si>
    <t>00105-57-7</t>
  </si>
  <si>
    <t>Diethoxymethane</t>
  </si>
  <si>
    <t>00462-95-3</t>
  </si>
  <si>
    <t>Diethyl (n,n) aniline {N,N-diethylbenzenamine}</t>
  </si>
  <si>
    <t>00091-66-7</t>
  </si>
  <si>
    <t>Diethyl ketone {3-pentanone}</t>
  </si>
  <si>
    <t>00096-22-0</t>
  </si>
  <si>
    <t>Diethyl sulfide</t>
  </si>
  <si>
    <t>00352-93-2</t>
  </si>
  <si>
    <t>Diethylamine {N-ethyl ethanamine}</t>
  </si>
  <si>
    <t>00109-89-7</t>
  </si>
  <si>
    <t>Diethylbenzene (1,2)</t>
  </si>
  <si>
    <t>00135-01-3</t>
  </si>
  <si>
    <t>Diethylbenzene (1,3)</t>
  </si>
  <si>
    <t>00141-93-5</t>
  </si>
  <si>
    <t>Diethylbenzene (1,4)</t>
  </si>
  <si>
    <t>00105-05-5</t>
  </si>
  <si>
    <t>Di-isopropyl ether</t>
  </si>
  <si>
    <t>00108-20-3</t>
  </si>
  <si>
    <t>Dimethoxyethane (1,2)</t>
  </si>
  <si>
    <t>00110-71-4</t>
  </si>
  <si>
    <t>Dimethyl formamide (n,n)</t>
  </si>
  <si>
    <t>00068-12-2</t>
  </si>
  <si>
    <t>Dimethyl hydrazine (1,1)</t>
  </si>
  <si>
    <t>00057-14-7</t>
  </si>
  <si>
    <t>Dimethyl phthalate</t>
  </si>
  <si>
    <t>00131-11-3</t>
  </si>
  <si>
    <t>Dimethylbutane (2,3)</t>
  </si>
  <si>
    <t>00079-29-8</t>
  </si>
  <si>
    <t>Dimethylcyclopentane (1,1)</t>
  </si>
  <si>
    <t>01638-26-2</t>
  </si>
  <si>
    <t>Dimethylpentane (2,2)</t>
  </si>
  <si>
    <t>00590-35-2</t>
  </si>
  <si>
    <t>Dimethylpentane (2,3)</t>
  </si>
  <si>
    <t>00565-59-3</t>
  </si>
  <si>
    <t>Dimethylpentane (2,4)</t>
  </si>
  <si>
    <t>00108-08-7</t>
  </si>
  <si>
    <t>Dimethylpentane (3,3)</t>
  </si>
  <si>
    <t>00562-49-2</t>
  </si>
  <si>
    <t>Dioxane (1,4)</t>
  </si>
  <si>
    <t>00123-91-1</t>
  </si>
  <si>
    <t>Dipropyl ether {di-n-propyl ether}</t>
  </si>
  <si>
    <t>00111-43-3</t>
  </si>
  <si>
    <t>Dodecane (n)</t>
  </si>
  <si>
    <t>00112-40-3</t>
  </si>
  <si>
    <t>Epichlorohydrin {chloromethyl oxirane}</t>
  </si>
  <si>
    <t>00106-89-8</t>
  </si>
  <si>
    <t>Ethane</t>
  </si>
  <si>
    <t>00074-84-0</t>
  </si>
  <si>
    <t>Ethanolamine (mono)</t>
  </si>
  <si>
    <t>00141-43-5</t>
  </si>
  <si>
    <t>Ethyl acetate</t>
  </si>
  <si>
    <t>00141-78-6</t>
  </si>
  <si>
    <t>Ethyl acrylate {ethyl ester 2-propenoic acid}</t>
  </si>
  <si>
    <t>00140-88-5</t>
  </si>
  <si>
    <t>Ethyl alcohol {ethanol}</t>
  </si>
  <si>
    <t>00064-17-5</t>
  </si>
  <si>
    <t>Ethyl chloride</t>
  </si>
  <si>
    <t>00075-00-3</t>
  </si>
  <si>
    <t>Ethyl ether {diethyl ether}</t>
  </si>
  <si>
    <t>00060-29-7</t>
  </si>
  <si>
    <t>Ethylamine</t>
  </si>
  <si>
    <t>00075-04-7</t>
  </si>
  <si>
    <t>Ethylbenzene</t>
  </si>
  <si>
    <t>00100-41-4</t>
  </si>
  <si>
    <t>Ethylcyclopentane</t>
  </si>
  <si>
    <t>01640-89-7</t>
  </si>
  <si>
    <t>Ethylene {ethene}</t>
  </si>
  <si>
    <t>00074-85-1</t>
  </si>
  <si>
    <t>Ethyleneoxide</t>
  </si>
  <si>
    <t>00075-21-8</t>
  </si>
  <si>
    <t>Ethylpentane (3)</t>
  </si>
  <si>
    <t>00617-78-7</t>
  </si>
  <si>
    <t>00206-44-0</t>
  </si>
  <si>
    <t>Fluorobenzene</t>
  </si>
  <si>
    <t>00462-06-6</t>
  </si>
  <si>
    <t>Formic acid</t>
  </si>
  <si>
    <t>00064-18-6</t>
  </si>
  <si>
    <t>Freon 11 {trichlorofluoromethane}</t>
  </si>
  <si>
    <t>00075-69-4</t>
  </si>
  <si>
    <t>Furan</t>
  </si>
  <si>
    <t>00110-00-9</t>
  </si>
  <si>
    <t>Furfural {2-furancarboxaldehyde}</t>
  </si>
  <si>
    <t>00098-01-1</t>
  </si>
  <si>
    <t>Heneicosane (n)</t>
  </si>
  <si>
    <t>00629-94-7</t>
  </si>
  <si>
    <t>Heptane (n)</t>
  </si>
  <si>
    <t>00142-82-5</t>
  </si>
  <si>
    <t>Heptene (1)</t>
  </si>
  <si>
    <t>00592-76-7</t>
  </si>
  <si>
    <t>Hexadiene (1,5)</t>
  </si>
  <si>
    <t>00592-42-7</t>
  </si>
  <si>
    <t>Hexane (n)</t>
  </si>
  <si>
    <t>00110-54-3</t>
  </si>
  <si>
    <t>Hexanol (1)</t>
  </si>
  <si>
    <t>00111-27-3</t>
  </si>
  <si>
    <t>Hexene (1)</t>
  </si>
  <si>
    <t>00592-41-6</t>
  </si>
  <si>
    <t>Hydrogen cyanide {hydrocyanic acid}</t>
  </si>
  <si>
    <t>00074-90-8</t>
  </si>
  <si>
    <t>Isobutane {methylpropane (2)}</t>
  </si>
  <si>
    <t>00075-28-5</t>
  </si>
  <si>
    <t>Isobutene {methylpropene (2)}</t>
  </si>
  <si>
    <t>00115-11-7</t>
  </si>
  <si>
    <t>Isobutyl alcohol {2-methyl 1-propanol}</t>
  </si>
  <si>
    <t>00078-83-1</t>
  </si>
  <si>
    <t>Isooctane {2,2,4-trimethylpentane}</t>
  </si>
  <si>
    <t>00540-84-1</t>
  </si>
  <si>
    <t>Isopentane {2-methyl butane}</t>
  </si>
  <si>
    <t>00078-78-4</t>
  </si>
  <si>
    <t>Isopentene {2-methyl 2-butene}</t>
  </si>
  <si>
    <t>00513-35-9</t>
  </si>
  <si>
    <t>Isoprene {2-methyl 1,3-butadiene}</t>
  </si>
  <si>
    <t>00078-79-5</t>
  </si>
  <si>
    <t>Isopropyl alcohol {isopropanol}</t>
  </si>
  <si>
    <t>00067-63-0</t>
  </si>
  <si>
    <t>Isopropyl benzene {cumene}</t>
  </si>
  <si>
    <t>00098-82-8</t>
  </si>
  <si>
    <t>Isopropylbenzene (1-methyl-2)</t>
  </si>
  <si>
    <t>00527-84-4</t>
  </si>
  <si>
    <t>Methacrylonitrile {2-methyl 2-propenenitrile}</t>
  </si>
  <si>
    <t>00126-98-7</t>
  </si>
  <si>
    <t>Methane</t>
  </si>
  <si>
    <t>00074-82-8</t>
  </si>
  <si>
    <t>Methyl acetate {methyl ester acetic acid}</t>
  </si>
  <si>
    <t>00079-20-9</t>
  </si>
  <si>
    <t>Methyl acrylate {methyl ester 2-propenoic acid}</t>
  </si>
  <si>
    <t>00096-33-3</t>
  </si>
  <si>
    <t>Methyl alcohol {methanol}</t>
  </si>
  <si>
    <t>00067-56-1</t>
  </si>
  <si>
    <t>Methyl ethyl ketone {2-butanone}</t>
  </si>
  <si>
    <t>00078-93-3</t>
  </si>
  <si>
    <t>Methyl isobutyl ketone</t>
  </si>
  <si>
    <t>00108-10-1</t>
  </si>
  <si>
    <t>Methyl methacrylate</t>
  </si>
  <si>
    <t>00080-62-6</t>
  </si>
  <si>
    <t>Methyl propyl ether</t>
  </si>
  <si>
    <t>00557-17-5</t>
  </si>
  <si>
    <t>Methyl styrene (alpha)</t>
  </si>
  <si>
    <t>00098-83-9</t>
  </si>
  <si>
    <t>Methylcyclohexane</t>
  </si>
  <si>
    <t>00108-87-2</t>
  </si>
  <si>
    <t>Methylcyclopentane</t>
  </si>
  <si>
    <t>00096-37-7</t>
  </si>
  <si>
    <t>Methyldichlorosilane</t>
  </si>
  <si>
    <t>20156-50-7</t>
  </si>
  <si>
    <t>Methylene chloride</t>
  </si>
  <si>
    <t>00075-09-2</t>
  </si>
  <si>
    <t>Methylhexane (2)</t>
  </si>
  <si>
    <t>00591-76-4</t>
  </si>
  <si>
    <t>Methylhexane (3)</t>
  </si>
  <si>
    <t>00589-34-4</t>
  </si>
  <si>
    <t>Methylpentane (2)</t>
  </si>
  <si>
    <t>00107-83-5</t>
  </si>
  <si>
    <t>Methyl-tert-butyl ether {MTBE}</t>
  </si>
  <si>
    <t>01634-04-4</t>
  </si>
  <si>
    <t>Morpholine</t>
  </si>
  <si>
    <t>00110-91-8</t>
  </si>
  <si>
    <t>00091-20-3</t>
  </si>
  <si>
    <t>Nitrobenzene</t>
  </si>
  <si>
    <t>00098-95-3</t>
  </si>
  <si>
    <t>Nitromethane</t>
  </si>
  <si>
    <t>00075-52-5</t>
  </si>
  <si>
    <t>Nonadecane (n)</t>
  </si>
  <si>
    <t>00629-92-5</t>
  </si>
  <si>
    <t>Nonane (n)</t>
  </si>
  <si>
    <t>00111-84-2</t>
  </si>
  <si>
    <t>Octadecane (n)</t>
  </si>
  <si>
    <t>00593-45-3</t>
  </si>
  <si>
    <t>Octane (n)</t>
  </si>
  <si>
    <t>00111-65-9</t>
  </si>
  <si>
    <t>Octanol (1)</t>
  </si>
  <si>
    <t>00111-87-5</t>
  </si>
  <si>
    <t>Octene (1)</t>
  </si>
  <si>
    <t>00111-66-0</t>
  </si>
  <si>
    <t>Pentachloroethane</t>
  </si>
  <si>
    <t>00076-01-7</t>
  </si>
  <si>
    <t>Pentadiene (1,2)</t>
  </si>
  <si>
    <t>00591-95-7</t>
  </si>
  <si>
    <t>Pentadiene (1,4)</t>
  </si>
  <si>
    <t>00591-93-5</t>
  </si>
  <si>
    <t>Pentadiene (2,3)</t>
  </si>
  <si>
    <t>00591-96-8</t>
  </si>
  <si>
    <t>Pentane (n)</t>
  </si>
  <si>
    <t>00109-66-0</t>
  </si>
  <si>
    <t>Pentene (1)</t>
  </si>
  <si>
    <t>00109-67-1</t>
  </si>
  <si>
    <t>Pentyne (1)</t>
  </si>
  <si>
    <t>00627-19-0</t>
  </si>
  <si>
    <t>00085-01-8</t>
  </si>
  <si>
    <t>Phenol</t>
  </si>
  <si>
    <t>00108-95-2</t>
  </si>
  <si>
    <t>Phosgene</t>
  </si>
  <si>
    <t>00075-44-5</t>
  </si>
  <si>
    <t>Picoline (3) {3-methyl pyridine}</t>
  </si>
  <si>
    <t>00108-99-6</t>
  </si>
  <si>
    <t>Propane</t>
  </si>
  <si>
    <t>00074-98-6</t>
  </si>
  <si>
    <t>Propanethiol (1)</t>
  </si>
  <si>
    <t>00107-03-9</t>
  </si>
  <si>
    <t>Propanethiol (2)</t>
  </si>
  <si>
    <t>00075-33-2</t>
  </si>
  <si>
    <t>Propyl alcohol (n) {propanol (1)}</t>
  </si>
  <si>
    <t>00071-23-8</t>
  </si>
  <si>
    <t>Propyl nitrate (n) {propyl ester nitric acid}</t>
  </si>
  <si>
    <t>00627-13-4</t>
  </si>
  <si>
    <t>Propylamine (n) {1-propanamine}</t>
  </si>
  <si>
    <t>00107-10-8</t>
  </si>
  <si>
    <t>Propylene {propene}</t>
  </si>
  <si>
    <t>00115-07-1</t>
  </si>
  <si>
    <t>Propylene glycol (1,2) {1,2 propanediol}</t>
  </si>
  <si>
    <t>00057-55-6</t>
  </si>
  <si>
    <t>Propylene oxide</t>
  </si>
  <si>
    <t>00075-56-9</t>
  </si>
  <si>
    <t>Pyridine</t>
  </si>
  <si>
    <t>00110-86-1</t>
  </si>
  <si>
    <t>Resorcinol</t>
  </si>
  <si>
    <t>00108-46-3</t>
  </si>
  <si>
    <t>00100-42-5</t>
  </si>
  <si>
    <t>Tetrachloroethane (1,1,1,2)</t>
  </si>
  <si>
    <t>00630-20-6</t>
  </si>
  <si>
    <t>Tetrachloroethane (1,1,2,2)</t>
  </si>
  <si>
    <t>00079-34-5</t>
  </si>
  <si>
    <t>Tetrachloroethylene</t>
  </si>
  <si>
    <t>00127-18-4</t>
  </si>
  <si>
    <t>Tetrahydrofuran</t>
  </si>
  <si>
    <t>00109-99-9</t>
  </si>
  <si>
    <t>00108-88-3</t>
  </si>
  <si>
    <t>Trichloroethane (1,1,1)</t>
  </si>
  <si>
    <t>00071-55-6</t>
  </si>
  <si>
    <t>Trichloroethane (1,1,2)</t>
  </si>
  <si>
    <t>00079-00-5</t>
  </si>
  <si>
    <t>Trichloroethylene</t>
  </si>
  <si>
    <t>00079-01-6</t>
  </si>
  <si>
    <t>Trichloropropane (1,2,3)</t>
  </si>
  <si>
    <t>00096-18-4</t>
  </si>
  <si>
    <t>Tridecane (n)</t>
  </si>
  <si>
    <t>00629-50-5</t>
  </si>
  <si>
    <t>Trifluoroethane (1,1,2-trichloro-1,2,2)</t>
  </si>
  <si>
    <t>00076-13-1</t>
  </si>
  <si>
    <t>Trimethylbenzene (1,2,4)</t>
  </si>
  <si>
    <t>00095-63-6</t>
  </si>
  <si>
    <t>Trimethylchlorosilane {chlorotrimethylsilane}</t>
  </si>
  <si>
    <t>00075-77-4</t>
  </si>
  <si>
    <t>Trimethylpentane (2,2,3)</t>
  </si>
  <si>
    <t>00564-02-3</t>
  </si>
  <si>
    <t>Trimethylpentane (2,3,3)</t>
  </si>
  <si>
    <t>00560-21-4</t>
  </si>
  <si>
    <t>Trimethylpentane (2,3,4)</t>
  </si>
  <si>
    <t>00565-75-3</t>
  </si>
  <si>
    <t>Undecane (n)</t>
  </si>
  <si>
    <t>01120-21-4</t>
  </si>
  <si>
    <t>Vinyl acetate {acetic acid ethenyl ester}</t>
  </si>
  <si>
    <t>00108-05-4</t>
  </si>
  <si>
    <t>Vinylidene chloride {1,1-dichloro ethene}</t>
  </si>
  <si>
    <t>00075-35-4</t>
  </si>
  <si>
    <t>Xylene (m) {1,3-dimethyl benzene}</t>
  </si>
  <si>
    <t>00108-38-3</t>
  </si>
  <si>
    <t>Xylene (o) {1,2-dimethyl benzene}</t>
  </si>
  <si>
    <t>00095-47-6</t>
  </si>
  <si>
    <t>Xylene (p) {1,4-dimethyl benzene}</t>
  </si>
  <si>
    <t>00106-42-3</t>
  </si>
  <si>
    <r>
      <rPr>
        <vertAlign val="superscript"/>
        <sz val="10"/>
        <color theme="1"/>
        <rFont val="Arial"/>
        <family val="2"/>
      </rPr>
      <t>a</t>
    </r>
    <r>
      <rPr>
        <sz val="10"/>
        <color theme="1"/>
        <rFont val="Arial"/>
        <family val="2"/>
      </rPr>
      <t xml:space="preserve"> Reference 22 of AP-42 Section 7.1.</t>
    </r>
  </si>
  <si>
    <r>
      <rPr>
        <vertAlign val="superscript"/>
        <sz val="10"/>
        <color theme="1"/>
        <rFont val="Arial"/>
        <family val="2"/>
      </rPr>
      <t>b</t>
    </r>
    <r>
      <rPr>
        <sz val="10"/>
        <color theme="1"/>
        <rFont val="Arial"/>
        <family val="2"/>
      </rPr>
      <t xml:space="preserve"> (use the equation provided in footnote b to Table 7.1-3 to calculate vapor pressure in psia)</t>
    </r>
  </si>
  <si>
    <r>
      <rPr>
        <vertAlign val="superscript"/>
        <sz val="10"/>
        <color theme="1"/>
        <rFont val="Arial"/>
        <family val="2"/>
      </rPr>
      <t>c</t>
    </r>
    <r>
      <rPr>
        <sz val="10"/>
        <color theme="1"/>
        <rFont val="Arial"/>
        <family val="2"/>
      </rPr>
      <t xml:space="preserve"> Use of this equation for temperature outside the indicated temperature range may result in loss of accuracy.</t>
    </r>
  </si>
  <si>
    <r>
      <rPr>
        <vertAlign val="superscript"/>
        <sz val="10"/>
        <color theme="1"/>
        <rFont val="Arial"/>
        <family val="2"/>
      </rPr>
      <t>d</t>
    </r>
    <r>
      <rPr>
        <sz val="10"/>
        <color theme="1"/>
        <rFont val="Arial"/>
        <family val="2"/>
      </rPr>
      <t xml:space="preserve"> The superscript denotes temperature in °F; if no superscript is given the density is for 68 °F.</t>
    </r>
  </si>
  <si>
    <t>Table 7.1-7 Daily average maximum, daily average minimum liquid temperature, and insolation factor</t>
  </si>
  <si>
    <r>
      <rPr>
        <b/>
        <sz val="9"/>
        <rFont val="Arial"/>
        <family val="2"/>
      </rPr>
      <t>Location</t>
    </r>
  </si>
  <si>
    <r>
      <rPr>
        <b/>
        <sz val="9"/>
        <rFont val="Arial"/>
        <family val="2"/>
      </rPr>
      <t>Symbol</t>
    </r>
  </si>
  <si>
    <r>
      <rPr>
        <b/>
        <sz val="9"/>
        <rFont val="Arial"/>
        <family val="2"/>
      </rPr>
      <t>Units</t>
    </r>
  </si>
  <si>
    <r>
      <rPr>
        <b/>
        <sz val="9"/>
        <rFont val="Arial"/>
        <family val="2"/>
      </rPr>
      <t>Jan</t>
    </r>
  </si>
  <si>
    <r>
      <rPr>
        <b/>
        <sz val="9"/>
        <rFont val="Arial"/>
        <family val="2"/>
      </rPr>
      <t>Feb</t>
    </r>
  </si>
  <si>
    <r>
      <rPr>
        <b/>
        <sz val="9"/>
        <rFont val="Arial"/>
        <family val="2"/>
      </rPr>
      <t>Mar</t>
    </r>
  </si>
  <si>
    <r>
      <rPr>
        <b/>
        <sz val="9"/>
        <rFont val="Arial"/>
        <family val="2"/>
      </rPr>
      <t>Apr</t>
    </r>
  </si>
  <si>
    <r>
      <rPr>
        <b/>
        <sz val="9"/>
        <rFont val="Arial"/>
        <family val="2"/>
      </rPr>
      <t>May</t>
    </r>
  </si>
  <si>
    <r>
      <rPr>
        <b/>
        <sz val="9"/>
        <rFont val="Arial"/>
        <family val="2"/>
      </rPr>
      <t>Jun</t>
    </r>
  </si>
  <si>
    <r>
      <rPr>
        <b/>
        <sz val="9"/>
        <rFont val="Arial"/>
        <family val="2"/>
      </rPr>
      <t>Jul</t>
    </r>
  </si>
  <si>
    <r>
      <rPr>
        <b/>
        <sz val="9"/>
        <rFont val="Arial"/>
        <family val="2"/>
      </rPr>
      <t>Aug</t>
    </r>
  </si>
  <si>
    <r>
      <rPr>
        <b/>
        <sz val="9"/>
        <rFont val="Arial"/>
        <family val="2"/>
      </rPr>
      <t>Sep</t>
    </r>
  </si>
  <si>
    <r>
      <rPr>
        <b/>
        <sz val="9"/>
        <rFont val="Arial"/>
        <family val="2"/>
      </rPr>
      <t>Oct</t>
    </r>
  </si>
  <si>
    <r>
      <rPr>
        <b/>
        <sz val="9"/>
        <rFont val="Arial"/>
        <family val="2"/>
      </rPr>
      <t>Nov</t>
    </r>
  </si>
  <si>
    <r>
      <rPr>
        <b/>
        <sz val="9"/>
        <rFont val="Arial"/>
        <family val="2"/>
      </rPr>
      <t>Dec</t>
    </r>
  </si>
  <si>
    <r>
      <rPr>
        <b/>
        <sz val="9"/>
        <rFont val="Arial"/>
        <family val="2"/>
      </rPr>
      <t>Annual</t>
    </r>
  </si>
  <si>
    <t>Order</t>
  </si>
  <si>
    <r>
      <rPr>
        <sz val="9"/>
        <rFont val="Arial"/>
        <family val="2"/>
      </rPr>
      <t>Birmingham, AL</t>
    </r>
  </si>
  <si>
    <r>
      <rPr>
        <i/>
        <vertAlign val="superscript"/>
        <sz val="9"/>
        <rFont val="Times New Roman"/>
        <family val="1"/>
      </rPr>
      <t>T</t>
    </r>
    <r>
      <rPr>
        <i/>
        <sz val="6"/>
        <rFont val="Times New Roman"/>
        <family val="1"/>
      </rPr>
      <t>AN</t>
    </r>
  </si>
  <si>
    <r>
      <rPr>
        <sz val="8"/>
        <rFont val="Arial"/>
        <family val="2"/>
      </rPr>
      <t>°F</t>
    </r>
  </si>
  <si>
    <r>
      <rPr>
        <sz val="9"/>
        <rFont val="Arial"/>
        <family val="2"/>
      </rPr>
      <t>Huntsville, AL</t>
    </r>
  </si>
  <si>
    <r>
      <rPr>
        <sz val="9"/>
        <rFont val="Arial"/>
        <family val="2"/>
      </rPr>
      <t>Mobile, AL</t>
    </r>
  </si>
  <si>
    <r>
      <rPr>
        <sz val="9"/>
        <rFont val="Arial"/>
        <family val="2"/>
      </rPr>
      <t>Montgomery, AL</t>
    </r>
  </si>
  <si>
    <r>
      <rPr>
        <sz val="9"/>
        <rFont val="Arial"/>
        <family val="2"/>
      </rPr>
      <t>Phoenix, AZ</t>
    </r>
  </si>
  <si>
    <r>
      <rPr>
        <sz val="9"/>
        <rFont val="Arial"/>
        <family val="2"/>
      </rPr>
      <t>Prescott, AZ</t>
    </r>
  </si>
  <si>
    <r>
      <rPr>
        <sz val="9"/>
        <rFont val="Arial"/>
        <family val="2"/>
      </rPr>
      <t>Tucson, AZ</t>
    </r>
  </si>
  <si>
    <r>
      <rPr>
        <sz val="9"/>
        <rFont val="Arial"/>
        <family val="2"/>
      </rPr>
      <t>Fort Smith, AR</t>
    </r>
  </si>
  <si>
    <r>
      <rPr>
        <sz val="9"/>
        <rFont val="Arial"/>
        <family val="2"/>
      </rPr>
      <t>Little Rock, AR</t>
    </r>
  </si>
  <si>
    <r>
      <rPr>
        <sz val="9"/>
        <rFont val="Arial"/>
        <family val="2"/>
      </rPr>
      <t>Arcata, CA</t>
    </r>
  </si>
  <si>
    <r>
      <rPr>
        <sz val="9"/>
        <rFont val="Arial"/>
        <family val="2"/>
      </rPr>
      <t>Bakersfield, CA</t>
    </r>
  </si>
  <si>
    <r>
      <rPr>
        <sz val="9"/>
        <rFont val="Arial"/>
        <family val="2"/>
      </rPr>
      <t>Bishop, CA</t>
    </r>
  </si>
  <si>
    <r>
      <rPr>
        <sz val="9"/>
        <rFont val="Arial"/>
        <family val="2"/>
      </rPr>
      <t>Daggett, CA</t>
    </r>
  </si>
  <si>
    <r>
      <rPr>
        <sz val="9"/>
        <rFont val="Arial"/>
        <family val="2"/>
      </rPr>
      <t>Fresno, CA</t>
    </r>
  </si>
  <si>
    <r>
      <rPr>
        <sz val="9"/>
        <rFont val="Arial"/>
        <family val="2"/>
      </rPr>
      <t>Long Beach, CA</t>
    </r>
  </si>
  <si>
    <r>
      <rPr>
        <sz val="9"/>
        <rFont val="Arial"/>
        <family val="2"/>
      </rPr>
      <t>Los Angeles AP, CA</t>
    </r>
  </si>
  <si>
    <r>
      <rPr>
        <sz val="9"/>
        <rFont val="Arial"/>
        <family val="2"/>
      </rPr>
      <t>Redding, CA</t>
    </r>
  </si>
  <si>
    <r>
      <rPr>
        <sz val="9"/>
        <rFont val="Arial"/>
        <family val="2"/>
      </rPr>
      <t>Sacramento, CA</t>
    </r>
  </si>
  <si>
    <r>
      <rPr>
        <sz val="9"/>
        <rFont val="Arial"/>
        <family val="2"/>
      </rPr>
      <t>San Diego, CA</t>
    </r>
  </si>
  <si>
    <r>
      <rPr>
        <sz val="9"/>
        <rFont val="Arial"/>
        <family val="2"/>
      </rPr>
      <t>San Francisco AP, CA</t>
    </r>
  </si>
  <si>
    <r>
      <rPr>
        <sz val="9"/>
        <rFont val="Arial"/>
        <family val="2"/>
      </rPr>
      <t>Santa Barbara, CA</t>
    </r>
  </si>
  <si>
    <r>
      <rPr>
        <sz val="9"/>
        <rFont val="Arial"/>
        <family val="2"/>
      </rPr>
      <t>Santa Maria, CA</t>
    </r>
  </si>
  <si>
    <r>
      <rPr>
        <sz val="9"/>
        <rFont val="Arial"/>
        <family val="2"/>
      </rPr>
      <t>Stockton, CA</t>
    </r>
  </si>
  <si>
    <r>
      <rPr>
        <sz val="9"/>
        <rFont val="Arial"/>
        <family val="2"/>
      </rPr>
      <t>Alamosa, CO</t>
    </r>
  </si>
  <si>
    <r>
      <rPr>
        <sz val="9"/>
        <rFont val="Arial"/>
        <family val="2"/>
      </rPr>
      <t>Colorado Springs, CO</t>
    </r>
  </si>
  <si>
    <r>
      <rPr>
        <sz val="9"/>
        <rFont val="Arial"/>
        <family val="2"/>
      </rPr>
      <t>Denver, CO</t>
    </r>
  </si>
  <si>
    <r>
      <rPr>
        <sz val="9"/>
        <rFont val="Arial"/>
        <family val="2"/>
      </rPr>
      <t>Grand Junction, CO</t>
    </r>
  </si>
  <si>
    <r>
      <rPr>
        <sz val="9"/>
        <rFont val="Arial"/>
        <family val="2"/>
      </rPr>
      <t>Limon, CO</t>
    </r>
  </si>
  <si>
    <r>
      <rPr>
        <sz val="9"/>
        <rFont val="Arial"/>
        <family val="2"/>
      </rPr>
      <t>Pueblo, CO</t>
    </r>
  </si>
  <si>
    <r>
      <rPr>
        <sz val="9"/>
        <rFont val="Arial"/>
        <family val="2"/>
      </rPr>
      <t>Bridgeport, CT</t>
    </r>
  </si>
  <si>
    <r>
      <rPr>
        <sz val="9"/>
        <rFont val="Arial"/>
        <family val="2"/>
      </rPr>
      <t>Hartford, CT</t>
    </r>
  </si>
  <si>
    <r>
      <rPr>
        <sz val="9"/>
        <rFont val="Arial"/>
        <family val="2"/>
      </rPr>
      <t>Wilmington_DE, DE</t>
    </r>
  </si>
  <si>
    <r>
      <rPr>
        <sz val="9"/>
        <rFont val="Arial"/>
        <family val="2"/>
      </rPr>
      <t>Daytona Beach, FL</t>
    </r>
  </si>
  <si>
    <r>
      <rPr>
        <sz val="9"/>
        <rFont val="Arial"/>
        <family val="2"/>
      </rPr>
      <t>Fort Myers, FL</t>
    </r>
  </si>
  <si>
    <r>
      <rPr>
        <sz val="9"/>
        <rFont val="Arial"/>
        <family val="2"/>
      </rPr>
      <t>Gainesville, FL</t>
    </r>
  </si>
  <si>
    <r>
      <rPr>
        <sz val="9"/>
        <rFont val="Arial"/>
        <family val="2"/>
      </rPr>
      <t>Jacksonville, FL</t>
    </r>
  </si>
  <si>
    <r>
      <rPr>
        <sz val="9"/>
        <rFont val="Arial"/>
        <family val="2"/>
      </rPr>
      <t>Key West, FL</t>
    </r>
  </si>
  <si>
    <r>
      <rPr>
        <sz val="9"/>
        <rFont val="Arial"/>
        <family val="2"/>
      </rPr>
      <t>Miami, FL</t>
    </r>
  </si>
  <si>
    <r>
      <rPr>
        <sz val="9"/>
        <rFont val="Arial"/>
        <family val="2"/>
      </rPr>
      <t>Orlando, FL</t>
    </r>
  </si>
  <si>
    <r>
      <rPr>
        <sz val="9"/>
        <rFont val="Arial"/>
        <family val="2"/>
      </rPr>
      <t>Pensacola, FL</t>
    </r>
  </si>
  <si>
    <r>
      <rPr>
        <sz val="9"/>
        <rFont val="Arial"/>
        <family val="2"/>
      </rPr>
      <t>Tallahassee, FL</t>
    </r>
  </si>
  <si>
    <r>
      <rPr>
        <sz val="9"/>
        <rFont val="Arial"/>
        <family val="2"/>
      </rPr>
      <t>Tampa, FL</t>
    </r>
  </si>
  <si>
    <r>
      <rPr>
        <sz val="9"/>
        <rFont val="Arial"/>
        <family val="2"/>
      </rPr>
      <t>Vero Beach, FL</t>
    </r>
  </si>
  <si>
    <r>
      <rPr>
        <sz val="9"/>
        <rFont val="Arial"/>
        <family val="2"/>
      </rPr>
      <t>West Palm Beach, FL</t>
    </r>
  </si>
  <si>
    <r>
      <rPr>
        <sz val="9"/>
        <rFont val="Arial"/>
        <family val="2"/>
      </rPr>
      <t>Athens, GA</t>
    </r>
  </si>
  <si>
    <r>
      <rPr>
        <sz val="9"/>
        <rFont val="Arial"/>
        <family val="2"/>
      </rPr>
      <t>Atlanta, GA</t>
    </r>
  </si>
  <si>
    <r>
      <rPr>
        <sz val="9"/>
        <rFont val="Arial"/>
        <family val="2"/>
      </rPr>
      <t>Augusta, GA</t>
    </r>
  </si>
  <si>
    <r>
      <rPr>
        <sz val="9"/>
        <rFont val="Arial"/>
        <family val="2"/>
      </rPr>
      <t>Columbus, GA</t>
    </r>
  </si>
  <si>
    <r>
      <rPr>
        <sz val="9"/>
        <rFont val="Arial"/>
        <family val="2"/>
      </rPr>
      <t>Macon, GA</t>
    </r>
  </si>
  <si>
    <r>
      <rPr>
        <sz val="9"/>
        <rFont val="Arial"/>
        <family val="2"/>
      </rPr>
      <t>Savannah, GA</t>
    </r>
  </si>
  <si>
    <r>
      <rPr>
        <sz val="9"/>
        <rFont val="Arial"/>
        <family val="2"/>
      </rPr>
      <t>Hilo, HI</t>
    </r>
  </si>
  <si>
    <r>
      <rPr>
        <sz val="9"/>
        <rFont val="Arial"/>
        <family val="2"/>
      </rPr>
      <t>Honolulu, HI</t>
    </r>
  </si>
  <si>
    <r>
      <rPr>
        <sz val="9"/>
        <rFont val="Arial"/>
        <family val="2"/>
      </rPr>
      <t>Kahului, HI</t>
    </r>
  </si>
  <si>
    <r>
      <rPr>
        <sz val="9"/>
        <rFont val="Arial"/>
        <family val="2"/>
      </rPr>
      <t>Lihue, HI</t>
    </r>
  </si>
  <si>
    <r>
      <rPr>
        <sz val="9"/>
        <rFont val="Arial"/>
        <family val="2"/>
      </rPr>
      <t>Boise, ID</t>
    </r>
  </si>
  <si>
    <r>
      <rPr>
        <sz val="9"/>
        <rFont val="Arial"/>
        <family val="2"/>
      </rPr>
      <t>Lewiston, ID</t>
    </r>
  </si>
  <si>
    <r>
      <rPr>
        <sz val="9"/>
        <rFont val="Arial"/>
        <family val="2"/>
      </rPr>
      <t>Pocatello, ID</t>
    </r>
  </si>
  <si>
    <r>
      <rPr>
        <sz val="9"/>
        <rFont val="Arial"/>
        <family val="2"/>
      </rPr>
      <t>Chicago, IL</t>
    </r>
  </si>
  <si>
    <r>
      <rPr>
        <sz val="9"/>
        <rFont val="Arial"/>
        <family val="2"/>
      </rPr>
      <t>Moline, IL</t>
    </r>
  </si>
  <si>
    <r>
      <rPr>
        <sz val="9"/>
        <rFont val="Arial"/>
        <family val="2"/>
      </rPr>
      <t>Peoria, IL</t>
    </r>
  </si>
  <si>
    <r>
      <rPr>
        <sz val="9"/>
        <rFont val="Arial"/>
        <family val="2"/>
      </rPr>
      <t>Rockford, IL</t>
    </r>
  </si>
  <si>
    <r>
      <rPr>
        <sz val="9"/>
        <rFont val="Arial"/>
        <family val="2"/>
      </rPr>
      <t>Springfield_IL, IL</t>
    </r>
  </si>
  <si>
    <r>
      <rPr>
        <sz val="9"/>
        <rFont val="Arial"/>
        <family val="2"/>
      </rPr>
      <t>Evansville, IN</t>
    </r>
  </si>
  <si>
    <r>
      <rPr>
        <sz val="9"/>
        <rFont val="Arial"/>
        <family val="2"/>
      </rPr>
      <t>Fort Wayne, IN</t>
    </r>
  </si>
  <si>
    <r>
      <rPr>
        <sz val="9"/>
        <rFont val="Arial"/>
        <family val="2"/>
      </rPr>
      <t>Indianapolis, IN</t>
    </r>
  </si>
  <si>
    <r>
      <rPr>
        <sz val="9"/>
        <rFont val="Arial"/>
        <family val="2"/>
      </rPr>
      <t>South Bend, IN</t>
    </r>
  </si>
  <si>
    <r>
      <rPr>
        <sz val="9"/>
        <rFont val="Arial"/>
        <family val="2"/>
      </rPr>
      <t>Des Moines, IA</t>
    </r>
  </si>
  <si>
    <r>
      <rPr>
        <sz val="9"/>
        <rFont val="Arial"/>
        <family val="2"/>
      </rPr>
      <t>Dubuque, IA</t>
    </r>
  </si>
  <si>
    <r>
      <rPr>
        <sz val="9"/>
        <rFont val="Arial"/>
        <family val="2"/>
      </rPr>
      <t>Mason City, IA</t>
    </r>
  </si>
  <si>
    <r>
      <rPr>
        <sz val="9"/>
        <rFont val="Arial"/>
        <family val="2"/>
      </rPr>
      <t>Sioux City, IA</t>
    </r>
  </si>
  <si>
    <r>
      <rPr>
        <sz val="9"/>
        <rFont val="Arial"/>
        <family val="2"/>
      </rPr>
      <t>Waterloo, IA</t>
    </r>
  </si>
  <si>
    <r>
      <rPr>
        <sz val="9"/>
        <rFont val="Arial"/>
        <family val="2"/>
      </rPr>
      <t>Concordia, KS</t>
    </r>
  </si>
  <si>
    <r>
      <rPr>
        <sz val="9"/>
        <rFont val="Arial"/>
        <family val="2"/>
      </rPr>
      <t>Dodge City, KS</t>
    </r>
  </si>
  <si>
    <r>
      <rPr>
        <sz val="9"/>
        <rFont val="Arial"/>
        <family val="2"/>
      </rPr>
      <t>Goodland, KS</t>
    </r>
  </si>
  <si>
    <r>
      <rPr>
        <sz val="9"/>
        <rFont val="Arial"/>
        <family val="2"/>
      </rPr>
      <t>Russell, KS</t>
    </r>
  </si>
  <si>
    <r>
      <rPr>
        <sz val="9"/>
        <rFont val="Arial"/>
        <family val="2"/>
      </rPr>
      <t>Topeka, KS</t>
    </r>
  </si>
  <si>
    <r>
      <rPr>
        <sz val="9"/>
        <rFont val="Arial"/>
        <family val="2"/>
      </rPr>
      <t>Wichita, KS</t>
    </r>
  </si>
  <si>
    <r>
      <rPr>
        <sz val="9"/>
        <rFont val="Arial"/>
        <family val="2"/>
      </rPr>
      <t>Cincinnati, KY</t>
    </r>
  </si>
  <si>
    <r>
      <rPr>
        <sz val="9"/>
        <rFont val="Arial"/>
        <family val="2"/>
      </rPr>
      <t>Jackson_KY, KY</t>
    </r>
  </si>
  <si>
    <r>
      <rPr>
        <sz val="9"/>
        <rFont val="Arial"/>
        <family val="2"/>
      </rPr>
      <t>Lexington, KY</t>
    </r>
  </si>
  <si>
    <r>
      <rPr>
        <sz val="9"/>
        <rFont val="Arial"/>
        <family val="2"/>
      </rPr>
      <t>Louisville, KY</t>
    </r>
  </si>
  <si>
    <r>
      <rPr>
        <sz val="9"/>
        <rFont val="Arial"/>
        <family val="2"/>
      </rPr>
      <t>Paducah, KY</t>
    </r>
  </si>
  <si>
    <r>
      <rPr>
        <sz val="9"/>
        <rFont val="Arial"/>
        <family val="2"/>
      </rPr>
      <t>Baton Rouge, LA</t>
    </r>
  </si>
  <si>
    <r>
      <rPr>
        <sz val="9"/>
        <rFont val="Arial"/>
        <family val="2"/>
      </rPr>
      <t>Lake Charles, LA</t>
    </r>
  </si>
  <si>
    <r>
      <rPr>
        <sz val="9"/>
        <rFont val="Arial"/>
        <family val="2"/>
      </rPr>
      <t>New Orleans, LA</t>
    </r>
  </si>
  <si>
    <r>
      <rPr>
        <sz val="9"/>
        <rFont val="Arial"/>
        <family val="2"/>
      </rPr>
      <t>Shreveport, LA</t>
    </r>
  </si>
  <si>
    <r>
      <rPr>
        <sz val="9"/>
        <rFont val="Arial"/>
        <family val="2"/>
      </rPr>
      <t>Bangor, ME</t>
    </r>
  </si>
  <si>
    <r>
      <rPr>
        <sz val="9"/>
        <rFont val="Arial"/>
        <family val="2"/>
      </rPr>
      <t>Caribou, ME</t>
    </r>
  </si>
  <si>
    <r>
      <rPr>
        <sz val="9"/>
        <rFont val="Arial"/>
        <family val="2"/>
      </rPr>
      <t>Portland, ME</t>
    </r>
  </si>
  <si>
    <r>
      <rPr>
        <sz val="9"/>
        <rFont val="Arial"/>
        <family val="2"/>
      </rPr>
      <t>Baltimore , MD</t>
    </r>
  </si>
  <si>
    <r>
      <rPr>
        <sz val="9"/>
        <rFont val="Arial"/>
        <family val="2"/>
      </rPr>
      <t>Boston, MA</t>
    </r>
  </si>
  <si>
    <r>
      <rPr>
        <sz val="9"/>
        <rFont val="Arial"/>
        <family val="2"/>
      </rPr>
      <t>Worchester, MA</t>
    </r>
  </si>
  <si>
    <r>
      <rPr>
        <sz val="9"/>
        <rFont val="Arial"/>
        <family val="2"/>
      </rPr>
      <t>Alpena, MI</t>
    </r>
  </si>
  <si>
    <r>
      <rPr>
        <sz val="9"/>
        <rFont val="Arial"/>
        <family val="2"/>
      </rPr>
      <t>Detroit Metro_AP, MI</t>
    </r>
  </si>
  <si>
    <r>
      <rPr>
        <sz val="9"/>
        <rFont val="Arial"/>
        <family val="2"/>
      </rPr>
      <t>Detroit - City, MI</t>
    </r>
  </si>
  <si>
    <r>
      <rPr>
        <sz val="9"/>
        <rFont val="Arial"/>
        <family val="2"/>
      </rPr>
      <t>Flint, MI</t>
    </r>
  </si>
  <si>
    <r>
      <rPr>
        <sz val="9"/>
        <rFont val="Arial"/>
        <family val="2"/>
      </rPr>
      <t>Grand Rapids, MI</t>
    </r>
  </si>
  <si>
    <r>
      <rPr>
        <sz val="9"/>
        <rFont val="Arial"/>
        <family val="2"/>
      </rPr>
      <t>Houghton Lake, MI</t>
    </r>
  </si>
  <si>
    <r>
      <rPr>
        <sz val="9"/>
        <rFont val="Arial"/>
        <family val="2"/>
      </rPr>
      <t>Lansing, MI</t>
    </r>
  </si>
  <si>
    <r>
      <rPr>
        <sz val="9"/>
        <rFont val="Arial"/>
        <family val="2"/>
      </rPr>
      <t>Muskegon, MI</t>
    </r>
  </si>
  <si>
    <r>
      <rPr>
        <sz val="9"/>
        <rFont val="Arial"/>
        <family val="2"/>
      </rPr>
      <t>Sault Ste Marie, MI</t>
    </r>
  </si>
  <si>
    <r>
      <rPr>
        <sz val="9"/>
        <rFont val="Arial"/>
        <family val="2"/>
      </rPr>
      <t>Traverse City, MI</t>
    </r>
  </si>
  <si>
    <r>
      <rPr>
        <sz val="9"/>
        <rFont val="Arial"/>
        <family val="2"/>
      </rPr>
      <t>Duluth, MN</t>
    </r>
  </si>
  <si>
    <r>
      <rPr>
        <sz val="9"/>
        <rFont val="Arial"/>
        <family val="2"/>
      </rPr>
      <t>International Falls, MN</t>
    </r>
  </si>
  <si>
    <r>
      <rPr>
        <sz val="9"/>
        <rFont val="Arial"/>
        <family val="2"/>
      </rPr>
      <t>Minneapolis-St Paul, MN</t>
    </r>
  </si>
  <si>
    <r>
      <rPr>
        <sz val="9"/>
        <rFont val="Arial"/>
        <family val="2"/>
      </rPr>
      <t>Rochester_MN, MN</t>
    </r>
  </si>
  <si>
    <r>
      <rPr>
        <sz val="9"/>
        <rFont val="Arial"/>
        <family val="2"/>
      </rPr>
      <t>St Cloud, MN</t>
    </r>
  </si>
  <si>
    <r>
      <rPr>
        <sz val="9"/>
        <rFont val="Arial"/>
        <family val="2"/>
      </rPr>
      <t>Jackson, MS</t>
    </r>
  </si>
  <si>
    <r>
      <rPr>
        <sz val="9"/>
        <rFont val="Arial"/>
        <family val="2"/>
      </rPr>
      <t>Meridian, MS</t>
    </r>
  </si>
  <si>
    <r>
      <rPr>
        <sz val="9"/>
        <rFont val="Arial"/>
        <family val="2"/>
      </rPr>
      <t>Tupelo, MS</t>
    </r>
  </si>
  <si>
    <r>
      <rPr>
        <sz val="9"/>
        <rFont val="Arial"/>
        <family val="2"/>
      </rPr>
      <t>Columbia_MO, MO</t>
    </r>
  </si>
  <si>
    <r>
      <rPr>
        <sz val="9"/>
        <rFont val="Arial"/>
        <family val="2"/>
      </rPr>
      <t>Kansas City, MO</t>
    </r>
  </si>
  <si>
    <r>
      <rPr>
        <sz val="9"/>
        <rFont val="Arial"/>
        <family val="2"/>
      </rPr>
      <t>Springfield_MO, MO</t>
    </r>
  </si>
  <si>
    <r>
      <rPr>
        <sz val="9"/>
        <rFont val="Arial"/>
        <family val="2"/>
      </rPr>
      <t>St Louis - Lambert, MO</t>
    </r>
  </si>
  <si>
    <r>
      <rPr>
        <sz val="9"/>
        <rFont val="Arial"/>
        <family val="2"/>
      </rPr>
      <t>St Louis - Spirit, MO</t>
    </r>
  </si>
  <si>
    <r>
      <rPr>
        <sz val="9"/>
        <rFont val="Arial"/>
        <family val="2"/>
      </rPr>
      <t>Billings, MT</t>
    </r>
  </si>
  <si>
    <r>
      <rPr>
        <sz val="9"/>
        <rFont val="Arial"/>
        <family val="2"/>
      </rPr>
      <t>Glasgow, MT</t>
    </r>
  </si>
  <si>
    <r>
      <rPr>
        <sz val="9"/>
        <rFont val="Arial"/>
        <family val="2"/>
      </rPr>
      <t>Great Falls, MT</t>
    </r>
  </si>
  <si>
    <r>
      <rPr>
        <sz val="9"/>
        <rFont val="Arial"/>
        <family val="2"/>
      </rPr>
      <t>Harve City, MT</t>
    </r>
  </si>
  <si>
    <r>
      <rPr>
        <sz val="9"/>
        <rFont val="Arial"/>
        <family val="2"/>
      </rPr>
      <t>Helena, MT</t>
    </r>
  </si>
  <si>
    <r>
      <rPr>
        <sz val="9"/>
        <rFont val="Arial"/>
        <family val="2"/>
      </rPr>
      <t>Kalispell, MT</t>
    </r>
  </si>
  <si>
    <r>
      <rPr>
        <sz val="9"/>
        <rFont val="Arial"/>
        <family val="2"/>
      </rPr>
      <t>Missoula, MT</t>
    </r>
  </si>
  <si>
    <r>
      <rPr>
        <sz val="9"/>
        <rFont val="Arial"/>
        <family val="2"/>
      </rPr>
      <t>Grand Island, NE</t>
    </r>
  </si>
  <si>
    <r>
      <rPr>
        <sz val="9"/>
        <rFont val="Arial"/>
        <family val="2"/>
      </rPr>
      <t>Lincoln, NE</t>
    </r>
  </si>
  <si>
    <r>
      <rPr>
        <sz val="9"/>
        <rFont val="Arial"/>
        <family val="2"/>
      </rPr>
      <t>Norfolk_NE, NE</t>
    </r>
  </si>
  <si>
    <r>
      <rPr>
        <sz val="9"/>
        <rFont val="Arial"/>
        <family val="2"/>
      </rPr>
      <t>North Platte, NE</t>
    </r>
  </si>
  <si>
    <r>
      <rPr>
        <sz val="9"/>
        <rFont val="Arial"/>
        <family val="2"/>
      </rPr>
      <t>Omaha, NE</t>
    </r>
  </si>
  <si>
    <r>
      <rPr>
        <sz val="9"/>
        <rFont val="Arial"/>
        <family val="2"/>
      </rPr>
      <t>Scottsbluff, NE</t>
    </r>
  </si>
  <si>
    <r>
      <rPr>
        <sz val="9"/>
        <rFont val="Arial"/>
        <family val="2"/>
      </rPr>
      <t>Valentine, NE</t>
    </r>
  </si>
  <si>
    <r>
      <rPr>
        <sz val="9"/>
        <rFont val="Arial"/>
        <family val="2"/>
      </rPr>
      <t>Ely, NV</t>
    </r>
  </si>
  <si>
    <r>
      <rPr>
        <sz val="9"/>
        <rFont val="Arial"/>
        <family val="2"/>
      </rPr>
      <t>Las Vegas, NV</t>
    </r>
  </si>
  <si>
    <r>
      <rPr>
        <sz val="9"/>
        <rFont val="Arial"/>
        <family val="2"/>
      </rPr>
      <t>Lovelock, NV</t>
    </r>
  </si>
  <si>
    <r>
      <rPr>
        <sz val="9"/>
        <rFont val="Arial"/>
        <family val="2"/>
      </rPr>
      <t>Mercury, NV</t>
    </r>
  </si>
  <si>
    <r>
      <rPr>
        <sz val="9"/>
        <rFont val="Arial"/>
        <family val="2"/>
      </rPr>
      <t>Reno, NV</t>
    </r>
  </si>
  <si>
    <r>
      <rPr>
        <sz val="9"/>
        <rFont val="Arial"/>
        <family val="2"/>
      </rPr>
      <t>Tonopah, NV</t>
    </r>
  </si>
  <si>
    <r>
      <rPr>
        <sz val="9"/>
        <rFont val="Arial"/>
        <family val="2"/>
      </rPr>
      <t>Winnemucca, NV</t>
    </r>
  </si>
  <si>
    <r>
      <rPr>
        <sz val="9"/>
        <rFont val="Arial"/>
        <family val="2"/>
      </rPr>
      <t>Concord, NH</t>
    </r>
  </si>
  <si>
    <r>
      <rPr>
        <sz val="9"/>
        <rFont val="Arial"/>
        <family val="2"/>
      </rPr>
      <t>Atlantic City, NJ</t>
    </r>
  </si>
  <si>
    <r>
      <rPr>
        <sz val="9"/>
        <rFont val="Arial"/>
        <family val="2"/>
      </rPr>
      <t>Newark, NJ</t>
    </r>
  </si>
  <si>
    <r>
      <rPr>
        <sz val="9"/>
        <rFont val="Arial"/>
        <family val="2"/>
      </rPr>
      <t>Albuquerque, NM</t>
    </r>
  </si>
  <si>
    <r>
      <rPr>
        <sz val="9"/>
        <rFont val="Arial"/>
        <family val="2"/>
      </rPr>
      <t>Gallup, NM</t>
    </r>
  </si>
  <si>
    <r>
      <rPr>
        <sz val="9"/>
        <rFont val="Arial"/>
        <family val="2"/>
      </rPr>
      <t>Roswell, NM</t>
    </r>
  </si>
  <si>
    <r>
      <rPr>
        <sz val="9"/>
        <rFont val="Arial"/>
        <family val="2"/>
      </rPr>
      <t>Albany, NY</t>
    </r>
  </si>
  <si>
    <r>
      <rPr>
        <sz val="9"/>
        <rFont val="Arial"/>
        <family val="2"/>
      </rPr>
      <t>Binghamton, NY</t>
    </r>
  </si>
  <si>
    <r>
      <rPr>
        <sz val="9"/>
        <rFont val="Arial"/>
        <family val="2"/>
      </rPr>
      <t>Buffalo, NY</t>
    </r>
  </si>
  <si>
    <r>
      <rPr>
        <sz val="9"/>
        <rFont val="Arial"/>
        <family val="2"/>
      </rPr>
      <t>Long Island, NY</t>
    </r>
  </si>
  <si>
    <r>
      <rPr>
        <sz val="9"/>
        <rFont val="Arial"/>
        <family val="2"/>
      </rPr>
      <t>Massena, NY</t>
    </r>
  </si>
  <si>
    <r>
      <rPr>
        <sz val="9"/>
        <rFont val="Arial"/>
        <family val="2"/>
      </rPr>
      <t>New York-LaGuardia, NY</t>
    </r>
  </si>
  <si>
    <r>
      <rPr>
        <sz val="9"/>
        <rFont val="Arial"/>
        <family val="2"/>
      </rPr>
      <t>New York-Kennedy, NY</t>
    </r>
  </si>
  <si>
    <r>
      <rPr>
        <sz val="9"/>
        <rFont val="Arial"/>
        <family val="2"/>
      </rPr>
      <t>Rochester, NY</t>
    </r>
  </si>
  <si>
    <r>
      <rPr>
        <sz val="9"/>
        <rFont val="Arial"/>
        <family val="2"/>
      </rPr>
      <t>Syracuse, NY</t>
    </r>
  </si>
  <si>
    <r>
      <rPr>
        <sz val="9"/>
        <rFont val="Arial"/>
        <family val="2"/>
      </rPr>
      <t>Asheville, NC</t>
    </r>
  </si>
  <si>
    <r>
      <rPr>
        <sz val="9"/>
        <rFont val="Arial"/>
        <family val="2"/>
      </rPr>
      <t>Charlotte, NC</t>
    </r>
  </si>
  <si>
    <r>
      <rPr>
        <sz val="9"/>
        <rFont val="Arial"/>
        <family val="2"/>
      </rPr>
      <t>Raleigh-Durham, NC</t>
    </r>
  </si>
  <si>
    <r>
      <rPr>
        <sz val="9"/>
        <rFont val="Arial"/>
        <family val="2"/>
      </rPr>
      <t>Greensboro, NC</t>
    </r>
  </si>
  <si>
    <r>
      <rPr>
        <sz val="9"/>
        <rFont val="Arial"/>
        <family val="2"/>
      </rPr>
      <t>Wilmington, NC</t>
    </r>
  </si>
  <si>
    <r>
      <rPr>
        <sz val="9"/>
        <rFont val="Arial"/>
        <family val="2"/>
      </rPr>
      <t>Bismarck, ND</t>
    </r>
  </si>
  <si>
    <r>
      <rPr>
        <sz val="9"/>
        <rFont val="Arial"/>
        <family val="2"/>
      </rPr>
      <t>Fargo, ND</t>
    </r>
  </si>
  <si>
    <r>
      <rPr>
        <sz val="9"/>
        <rFont val="Arial"/>
        <family val="2"/>
      </rPr>
      <t>Minot, ND</t>
    </r>
  </si>
  <si>
    <r>
      <rPr>
        <sz val="9"/>
        <rFont val="Arial"/>
        <family val="2"/>
      </rPr>
      <t>Williston, ND</t>
    </r>
  </si>
  <si>
    <r>
      <rPr>
        <sz val="9"/>
        <rFont val="Arial"/>
        <family val="2"/>
      </rPr>
      <t>Akron, OH</t>
    </r>
  </si>
  <si>
    <r>
      <rPr>
        <sz val="9"/>
        <rFont val="Arial"/>
        <family val="2"/>
      </rPr>
      <t>Cleveland, OH</t>
    </r>
  </si>
  <si>
    <r>
      <rPr>
        <sz val="9"/>
        <rFont val="Arial"/>
        <family val="2"/>
      </rPr>
      <t>Columbus_OH, OH</t>
    </r>
  </si>
  <si>
    <r>
      <rPr>
        <sz val="9"/>
        <rFont val="Arial"/>
        <family val="2"/>
      </rPr>
      <t>Dayton, OH</t>
    </r>
  </si>
  <si>
    <t>Mansfield, OH</t>
  </si>
  <si>
    <r>
      <rPr>
        <sz val="9"/>
        <rFont val="Arial"/>
        <family val="2"/>
      </rPr>
      <t>Toledo, OH</t>
    </r>
  </si>
  <si>
    <r>
      <rPr>
        <sz val="9"/>
        <rFont val="Arial"/>
        <family val="2"/>
      </rPr>
      <t>Youngstown, OH</t>
    </r>
  </si>
  <si>
    <r>
      <rPr>
        <sz val="9"/>
        <rFont val="Arial"/>
        <family val="2"/>
      </rPr>
      <t>Oklahoma City, OK</t>
    </r>
  </si>
  <si>
    <r>
      <rPr>
        <sz val="9"/>
        <rFont val="Arial"/>
        <family val="2"/>
      </rPr>
      <t>Tulsa, OK</t>
    </r>
  </si>
  <si>
    <r>
      <rPr>
        <sz val="9"/>
        <rFont val="Arial"/>
        <family val="2"/>
      </rPr>
      <t>Astoria, OR</t>
    </r>
  </si>
  <si>
    <r>
      <rPr>
        <sz val="9"/>
        <rFont val="Arial"/>
        <family val="2"/>
      </rPr>
      <t>Burns, OR</t>
    </r>
  </si>
  <si>
    <r>
      <rPr>
        <sz val="9"/>
        <rFont val="Arial"/>
        <family val="2"/>
      </rPr>
      <t>Eugene, OR</t>
    </r>
  </si>
  <si>
    <r>
      <rPr>
        <sz val="9"/>
        <rFont val="Arial"/>
        <family val="2"/>
      </rPr>
      <t>Medford, OR</t>
    </r>
  </si>
  <si>
    <r>
      <rPr>
        <sz val="9"/>
        <rFont val="Arial"/>
        <family val="2"/>
      </rPr>
      <t>Pendleton, OR</t>
    </r>
  </si>
  <si>
    <r>
      <rPr>
        <sz val="9"/>
        <rFont val="Arial"/>
        <family val="2"/>
      </rPr>
      <t>Salem, OR</t>
    </r>
  </si>
  <si>
    <r>
      <rPr>
        <sz val="9"/>
        <rFont val="Arial"/>
        <family val="2"/>
      </rPr>
      <t>Allentown, PA</t>
    </r>
  </si>
  <si>
    <r>
      <rPr>
        <sz val="9"/>
        <rFont val="Arial"/>
        <family val="2"/>
      </rPr>
      <t>Bradford, PA</t>
    </r>
  </si>
  <si>
    <r>
      <rPr>
        <sz val="9"/>
        <rFont val="Arial"/>
        <family val="2"/>
      </rPr>
      <t>Erie, PA</t>
    </r>
  </si>
  <si>
    <r>
      <rPr>
        <sz val="9"/>
        <rFont val="Arial"/>
        <family val="2"/>
      </rPr>
      <t>Middletown, PA</t>
    </r>
  </si>
  <si>
    <r>
      <rPr>
        <sz val="9"/>
        <rFont val="Arial"/>
        <family val="2"/>
      </rPr>
      <t>Philadelphia, PA</t>
    </r>
  </si>
  <si>
    <r>
      <rPr>
        <sz val="9"/>
        <rFont val="Arial"/>
        <family val="2"/>
      </rPr>
      <t>Pittsburgh, PA</t>
    </r>
  </si>
  <si>
    <r>
      <rPr>
        <sz val="9"/>
        <rFont val="Arial"/>
        <family val="2"/>
      </rPr>
      <t>Scranton, PA</t>
    </r>
  </si>
  <si>
    <r>
      <rPr>
        <sz val="9"/>
        <rFont val="Arial"/>
        <family val="2"/>
      </rPr>
      <t>Williamsport, PA</t>
    </r>
  </si>
  <si>
    <r>
      <rPr>
        <sz val="9"/>
        <rFont val="Arial"/>
        <family val="2"/>
      </rPr>
      <t>Providence, RI</t>
    </r>
  </si>
  <si>
    <r>
      <rPr>
        <sz val="9"/>
        <rFont val="Arial"/>
        <family val="2"/>
      </rPr>
      <t>Charleston, SC</t>
    </r>
  </si>
  <si>
    <r>
      <rPr>
        <sz val="9"/>
        <rFont val="Arial"/>
        <family val="2"/>
      </rPr>
      <t>Columbia, SC</t>
    </r>
  </si>
  <si>
    <r>
      <rPr>
        <sz val="9"/>
        <rFont val="Arial"/>
        <family val="2"/>
      </rPr>
      <t>Greer, SC</t>
    </r>
  </si>
  <si>
    <r>
      <rPr>
        <sz val="9"/>
        <rFont val="Arial"/>
        <family val="2"/>
      </rPr>
      <t>Aberdeen, SD</t>
    </r>
  </si>
  <si>
    <r>
      <rPr>
        <sz val="9"/>
        <rFont val="Arial"/>
        <family val="2"/>
      </rPr>
      <t>Huron, SD</t>
    </r>
  </si>
  <si>
    <r>
      <rPr>
        <sz val="9"/>
        <rFont val="Arial"/>
        <family val="2"/>
      </rPr>
      <t>Pierre, SD</t>
    </r>
  </si>
  <si>
    <r>
      <rPr>
        <sz val="9"/>
        <rFont val="Arial"/>
        <family val="2"/>
      </rPr>
      <t>Rapid City, SD</t>
    </r>
  </si>
  <si>
    <r>
      <rPr>
        <sz val="9"/>
        <rFont val="Arial"/>
        <family val="2"/>
      </rPr>
      <t>Sioux Falls, SD</t>
    </r>
  </si>
  <si>
    <r>
      <rPr>
        <sz val="9"/>
        <rFont val="Arial"/>
        <family val="2"/>
      </rPr>
      <t>Bristol, TN</t>
    </r>
  </si>
  <si>
    <r>
      <rPr>
        <sz val="9"/>
        <rFont val="Arial"/>
        <family val="2"/>
      </rPr>
      <t>Chattanooga, TN</t>
    </r>
  </si>
  <si>
    <r>
      <rPr>
        <sz val="9"/>
        <rFont val="Arial"/>
        <family val="2"/>
      </rPr>
      <t>Knoxville, TN</t>
    </r>
  </si>
  <si>
    <r>
      <rPr>
        <sz val="9"/>
        <rFont val="Arial"/>
        <family val="2"/>
      </rPr>
      <t>Memphis, TN</t>
    </r>
  </si>
  <si>
    <r>
      <rPr>
        <sz val="9"/>
        <rFont val="Arial"/>
        <family val="2"/>
      </rPr>
      <t>Nashville, TN</t>
    </r>
  </si>
  <si>
    <r>
      <rPr>
        <sz val="9"/>
        <rFont val="Arial"/>
        <family val="2"/>
      </rPr>
      <t>Abilene, TX</t>
    </r>
  </si>
  <si>
    <r>
      <rPr>
        <sz val="9"/>
        <rFont val="Arial"/>
        <family val="2"/>
      </rPr>
      <t>Amarillo, TX</t>
    </r>
  </si>
  <si>
    <r>
      <rPr>
        <sz val="9"/>
        <rFont val="Arial"/>
        <family val="2"/>
      </rPr>
      <t>Austin, TX</t>
    </r>
  </si>
  <si>
    <r>
      <rPr>
        <sz val="9"/>
        <rFont val="Arial"/>
        <family val="2"/>
      </rPr>
      <t>Brownsville, TX</t>
    </r>
  </si>
  <si>
    <r>
      <rPr>
        <sz val="9"/>
        <rFont val="Arial"/>
        <family val="2"/>
      </rPr>
      <t>Corpus Christi, TX</t>
    </r>
  </si>
  <si>
    <r>
      <rPr>
        <sz val="9"/>
        <rFont val="Arial"/>
        <family val="2"/>
      </rPr>
      <t>Dallas-Fort Worth, TX</t>
    </r>
  </si>
  <si>
    <r>
      <rPr>
        <sz val="9"/>
        <rFont val="Arial"/>
        <family val="2"/>
      </rPr>
      <t>El Paso, TX</t>
    </r>
  </si>
  <si>
    <r>
      <rPr>
        <sz val="9"/>
        <rFont val="Arial"/>
        <family val="2"/>
      </rPr>
      <t>Houston, TX</t>
    </r>
  </si>
  <si>
    <r>
      <rPr>
        <sz val="9"/>
        <rFont val="Arial"/>
        <family val="2"/>
      </rPr>
      <t>Lubbock, TX</t>
    </r>
  </si>
  <si>
    <r>
      <rPr>
        <sz val="9"/>
        <rFont val="Arial"/>
        <family val="2"/>
      </rPr>
      <t>Lufkin, TX</t>
    </r>
  </si>
  <si>
    <r>
      <rPr>
        <sz val="9"/>
        <rFont val="Arial"/>
        <family val="2"/>
      </rPr>
      <t>Midland, TX</t>
    </r>
  </si>
  <si>
    <r>
      <rPr>
        <sz val="9"/>
        <rFont val="Arial"/>
        <family val="2"/>
      </rPr>
      <t>Port Arthur, TX</t>
    </r>
  </si>
  <si>
    <r>
      <rPr>
        <sz val="9"/>
        <rFont val="Arial"/>
        <family val="2"/>
      </rPr>
      <t>San Angelo, TX</t>
    </r>
  </si>
  <si>
    <r>
      <rPr>
        <sz val="9"/>
        <rFont val="Arial"/>
        <family val="2"/>
      </rPr>
      <t>San Antonio, TX</t>
    </r>
  </si>
  <si>
    <r>
      <rPr>
        <sz val="9"/>
        <rFont val="Arial"/>
        <family val="2"/>
      </rPr>
      <t>Victoria, TX</t>
    </r>
  </si>
  <si>
    <r>
      <rPr>
        <sz val="9"/>
        <rFont val="Arial"/>
        <family val="2"/>
      </rPr>
      <t>Waco, TX</t>
    </r>
  </si>
  <si>
    <r>
      <rPr>
        <sz val="9"/>
        <rFont val="Arial"/>
        <family val="2"/>
      </rPr>
      <t>Cedar City, UT</t>
    </r>
  </si>
  <si>
    <r>
      <rPr>
        <sz val="9"/>
        <rFont val="Arial"/>
        <family val="2"/>
      </rPr>
      <t>Salt Lake City, UT</t>
    </r>
  </si>
  <si>
    <r>
      <rPr>
        <sz val="9"/>
        <rFont val="Arial"/>
        <family val="2"/>
      </rPr>
      <t>Burlington, VT</t>
    </r>
  </si>
  <si>
    <r>
      <rPr>
        <sz val="9"/>
        <rFont val="Arial"/>
        <family val="2"/>
      </rPr>
      <t>DC-Dulles, VA</t>
    </r>
  </si>
  <si>
    <r>
      <rPr>
        <sz val="9"/>
        <rFont val="Arial"/>
        <family val="2"/>
      </rPr>
      <t>DC-Reagan, VA</t>
    </r>
  </si>
  <si>
    <r>
      <rPr>
        <sz val="9"/>
        <rFont val="Arial"/>
        <family val="2"/>
      </rPr>
      <t>Lynchburg, VA</t>
    </r>
  </si>
  <si>
    <r>
      <rPr>
        <sz val="9"/>
        <rFont val="Arial"/>
        <family val="2"/>
      </rPr>
      <t>Norfolk, VA</t>
    </r>
  </si>
  <si>
    <r>
      <rPr>
        <sz val="9"/>
        <rFont val="Arial"/>
        <family val="2"/>
      </rPr>
      <t>Richmond, VA</t>
    </r>
  </si>
  <si>
    <r>
      <rPr>
        <sz val="9"/>
        <rFont val="Arial"/>
        <family val="2"/>
      </rPr>
      <t>Roanoke, VA</t>
    </r>
  </si>
  <si>
    <r>
      <rPr>
        <sz val="9"/>
        <rFont val="Arial"/>
        <family val="2"/>
      </rPr>
      <t>Olympia, WA</t>
    </r>
  </si>
  <si>
    <r>
      <rPr>
        <sz val="9"/>
        <rFont val="Arial"/>
        <family val="2"/>
      </rPr>
      <t>Quillayute, WA</t>
    </r>
  </si>
  <si>
    <r>
      <rPr>
        <sz val="9"/>
        <rFont val="Arial"/>
        <family val="2"/>
      </rPr>
      <t>Seattle, WA</t>
    </r>
  </si>
  <si>
    <r>
      <rPr>
        <sz val="9"/>
        <rFont val="Arial"/>
        <family val="2"/>
      </rPr>
      <t>Spokane, WA</t>
    </r>
  </si>
  <si>
    <r>
      <rPr>
        <sz val="9"/>
        <rFont val="Arial"/>
        <family val="2"/>
      </rPr>
      <t>Stampede Pass, WA</t>
    </r>
  </si>
  <si>
    <r>
      <rPr>
        <sz val="9"/>
        <rFont val="Arial"/>
        <family val="2"/>
      </rPr>
      <t>Yakima, WA</t>
    </r>
  </si>
  <si>
    <r>
      <rPr>
        <sz val="9"/>
        <rFont val="Arial"/>
        <family val="2"/>
      </rPr>
      <t>Beckley, WV</t>
    </r>
  </si>
  <si>
    <r>
      <rPr>
        <sz val="9"/>
        <rFont val="Arial"/>
        <family val="2"/>
      </rPr>
      <t>Charleston, WV</t>
    </r>
  </si>
  <si>
    <r>
      <rPr>
        <sz val="9"/>
        <rFont val="Arial"/>
        <family val="2"/>
      </rPr>
      <t>Elkins, WV</t>
    </r>
  </si>
  <si>
    <r>
      <rPr>
        <sz val="9"/>
        <rFont val="Arial"/>
        <family val="2"/>
      </rPr>
      <t>Huntington, WV</t>
    </r>
  </si>
  <si>
    <r>
      <rPr>
        <sz val="9"/>
        <rFont val="Arial"/>
        <family val="2"/>
      </rPr>
      <t>Eau Claire, WI</t>
    </r>
  </si>
  <si>
    <r>
      <rPr>
        <sz val="9"/>
        <rFont val="Arial"/>
        <family val="2"/>
      </rPr>
      <t>Green Bay, WI</t>
    </r>
  </si>
  <si>
    <r>
      <rPr>
        <sz val="9"/>
        <rFont val="Arial"/>
        <family val="2"/>
      </rPr>
      <t>La Crosse, WI</t>
    </r>
  </si>
  <si>
    <r>
      <rPr>
        <sz val="9"/>
        <rFont val="Arial"/>
        <family val="2"/>
      </rPr>
      <t>Madison, WI</t>
    </r>
  </si>
  <si>
    <r>
      <rPr>
        <sz val="9"/>
        <rFont val="Arial"/>
        <family val="2"/>
      </rPr>
      <t>Milwaukee, WI</t>
    </r>
  </si>
  <si>
    <r>
      <rPr>
        <sz val="9"/>
        <rFont val="Arial"/>
        <family val="2"/>
      </rPr>
      <t>Casper, WY</t>
    </r>
  </si>
  <si>
    <r>
      <rPr>
        <sz val="9"/>
        <rFont val="Arial"/>
        <family val="2"/>
      </rPr>
      <t>Cheyenne, WY</t>
    </r>
  </si>
  <si>
    <r>
      <rPr>
        <sz val="9"/>
        <rFont val="Arial"/>
        <family val="2"/>
      </rPr>
      <t>Lander, WY</t>
    </r>
  </si>
  <si>
    <r>
      <rPr>
        <sz val="9"/>
        <rFont val="Arial"/>
        <family val="2"/>
      </rPr>
      <t>Rock Springs, WY</t>
    </r>
  </si>
  <si>
    <r>
      <rPr>
        <sz val="9"/>
        <rFont val="Arial"/>
        <family val="2"/>
      </rPr>
      <t>Sheridan, WY</t>
    </r>
  </si>
  <si>
    <r>
      <rPr>
        <i/>
        <vertAlign val="superscript"/>
        <sz val="9"/>
        <rFont val="Times New Roman"/>
        <family val="1"/>
      </rPr>
      <t>T</t>
    </r>
    <r>
      <rPr>
        <i/>
        <sz val="6"/>
        <rFont val="Times New Roman"/>
        <family val="1"/>
      </rPr>
      <t>AX</t>
    </r>
  </si>
  <si>
    <r>
      <rPr>
        <i/>
        <sz val="9"/>
        <rFont val="Times New Roman"/>
        <family val="1"/>
      </rPr>
      <t>V</t>
    </r>
  </si>
  <si>
    <r>
      <rPr>
        <sz val="8"/>
        <rFont val="Arial"/>
        <family val="2"/>
      </rPr>
      <t>mi/hr</t>
    </r>
  </si>
  <si>
    <r>
      <rPr>
        <i/>
        <sz val="9"/>
        <rFont val="Times New Roman"/>
        <family val="1"/>
      </rPr>
      <t>I</t>
    </r>
  </si>
  <si>
    <r>
      <rPr>
        <sz val="8"/>
        <rFont val="Arial"/>
        <family val="2"/>
      </rPr>
      <t>Btu/ft</t>
    </r>
    <r>
      <rPr>
        <vertAlign val="superscript"/>
        <sz val="8"/>
        <rFont val="Arial"/>
        <family val="2"/>
      </rPr>
      <t>2</t>
    </r>
    <r>
      <rPr>
        <sz val="8"/>
        <rFont val="Arial"/>
        <family val="2"/>
      </rPr>
      <t>/day</t>
    </r>
  </si>
  <si>
    <r>
      <rPr>
        <i/>
        <vertAlign val="superscript"/>
        <sz val="9"/>
        <rFont val="Times New Roman"/>
        <family val="1"/>
      </rPr>
      <t>P</t>
    </r>
    <r>
      <rPr>
        <i/>
        <sz val="6"/>
        <rFont val="Times New Roman"/>
        <family val="1"/>
      </rPr>
      <t>A</t>
    </r>
  </si>
  <si>
    <r>
      <rPr>
        <sz val="8"/>
        <rFont val="Arial"/>
        <family val="2"/>
      </rPr>
      <t>lb/in</t>
    </r>
    <r>
      <rPr>
        <vertAlign val="superscript"/>
        <sz val="8"/>
        <rFont val="Arial"/>
        <family val="2"/>
      </rPr>
      <t>2</t>
    </r>
  </si>
  <si>
    <t>Tank Capacity</t>
  </si>
  <si>
    <t>gal/day</t>
  </si>
  <si>
    <t>Tank Contents</t>
  </si>
  <si>
    <t>(assumed worst case highest vapor pressure gasoline for AP-42 calculations)</t>
  </si>
  <si>
    <t>Maximum Monthly Throughput</t>
  </si>
  <si>
    <t>gal/mo</t>
  </si>
  <si>
    <t>Daily VOC Emissions</t>
  </si>
  <si>
    <t>Motor gasoline RVP 13</t>
  </si>
  <si>
    <t>lb/lb-mole (AP-42 Table 7.1-2)</t>
  </si>
  <si>
    <t>Vapor Molecular Weight, Mv</t>
  </si>
  <si>
    <t>Vapor Pressure Constant, A</t>
  </si>
  <si>
    <t>Vapor Pressure Constant, B</t>
  </si>
  <si>
    <t>dimensionless (AP-42 Table 7.1-2)</t>
  </si>
  <si>
    <r>
      <rPr>
        <vertAlign val="superscript"/>
        <sz val="12"/>
        <color theme="1"/>
        <rFont val="Calibri (Body)"/>
      </rPr>
      <t>O</t>
    </r>
    <r>
      <rPr>
        <sz val="12"/>
        <color theme="1"/>
        <rFont val="Calibri"/>
        <family val="2"/>
        <scheme val="minor"/>
      </rPr>
      <t>R (AP-42 Table 7.1-2)</t>
    </r>
  </si>
  <si>
    <r>
      <t>Maximum Tank Filling Rate, FR</t>
    </r>
    <r>
      <rPr>
        <vertAlign val="subscript"/>
        <sz val="12"/>
        <color theme="1"/>
        <rFont val="Calibri (Body)"/>
      </rPr>
      <t>M</t>
    </r>
  </si>
  <si>
    <t>Ideal Gas Constant, R</t>
  </si>
  <si>
    <t>((psia × gal)/(lbmol × oR)) (TCEQ)</t>
  </si>
  <si>
    <r>
      <rPr>
        <vertAlign val="superscript"/>
        <sz val="12"/>
        <color theme="1"/>
        <rFont val="Calibri (Body)"/>
      </rPr>
      <t>O</t>
    </r>
    <r>
      <rPr>
        <sz val="12"/>
        <color theme="1"/>
        <rFont val="Calibri"/>
        <family val="2"/>
        <scheme val="minor"/>
      </rPr>
      <t>R (TCEQ, 95F)</t>
    </r>
  </si>
  <si>
    <t>Calculate true vapor pressure based on AP-42, Chapter 7, Eqn. 1-25.</t>
  </si>
  <si>
    <r>
      <t>Worst Case Liquid Temperature, T</t>
    </r>
    <r>
      <rPr>
        <vertAlign val="subscript"/>
        <sz val="12"/>
        <color theme="1"/>
        <rFont val="Calibri (Body)"/>
      </rPr>
      <t>LA</t>
    </r>
  </si>
  <si>
    <r>
      <t>True Vapor Pressure, P</t>
    </r>
    <r>
      <rPr>
        <vertAlign val="subscript"/>
        <sz val="12"/>
        <color theme="1"/>
        <rFont val="Calibri (Body)"/>
      </rPr>
      <t>VA</t>
    </r>
  </si>
  <si>
    <t>Calculate daily VOC emission from filling tank based on TCEQ Equation 1</t>
  </si>
  <si>
    <t>lb/day</t>
  </si>
  <si>
    <t>VOC Emission Factor, Vehicle Refueling</t>
  </si>
  <si>
    <t>lb/kgal (EPA AP-42, Table 5.2-7 )</t>
  </si>
  <si>
    <t>VOC Emission Factor, Spillage</t>
  </si>
  <si>
    <t>Daily Gasoline Vehicle Refilling Rate</t>
  </si>
  <si>
    <t>Calculate daily VOC emissions from vehicle refueling based on AP-42, Table 5.2-7</t>
  </si>
  <si>
    <t>Annual VOC Emissions</t>
  </si>
  <si>
    <t xml:space="preserve">Calculate annual VOC emissions from tank filling, breathing and emptying based on AP-42, Section 7.1.3 </t>
  </si>
  <si>
    <t xml:space="preserve">   See "Horizontal Tank" Tab</t>
  </si>
  <si>
    <t>Calculate  VOC emissions from vehicle refueling based on AP-42, Table 5.2-7</t>
  </si>
  <si>
    <t>Total Max. Daily VOC Emissions</t>
  </si>
  <si>
    <r>
      <t>Maximum Daily Tank Emission Rate, L</t>
    </r>
    <r>
      <rPr>
        <vertAlign val="subscript"/>
        <sz val="12"/>
        <color theme="1"/>
        <rFont val="Calibri (Body)"/>
      </rPr>
      <t>MAX</t>
    </r>
  </si>
  <si>
    <r>
      <t>Maximum Daily Veh. Refuel Emission Rate, F</t>
    </r>
    <r>
      <rPr>
        <vertAlign val="subscript"/>
        <sz val="12"/>
        <color theme="1"/>
        <rFont val="Calibri (Body)"/>
      </rPr>
      <t>MAX</t>
    </r>
  </si>
  <si>
    <t>Maximum Annual Tank Emission Rate</t>
  </si>
  <si>
    <t>Maximum Annual Veh. Refuel Emission Rate</t>
  </si>
  <si>
    <t>Total Max. Annual VOC Emissions</t>
  </si>
  <si>
    <t>Annual &amp; Daily TAC Emissions</t>
  </si>
  <si>
    <t>526‐73‐8</t>
  </si>
  <si>
    <t>1,2,3‐Trimethylbenzene</t>
  </si>
  <si>
    <t>95‐63‐6</t>
  </si>
  <si>
    <t>1,2,4‐Trimethylbenzene</t>
  </si>
  <si>
    <t>108‐67‐8</t>
  </si>
  <si>
    <t>1,3,5‐Trimethylbenzene</t>
  </si>
  <si>
    <t>540‐84‐1</t>
  </si>
  <si>
    <t>2,2,4‐Trimethylpentane</t>
  </si>
  <si>
    <t>91‐57‐6</t>
  </si>
  <si>
    <t>2‐Methyl naphthalene</t>
  </si>
  <si>
    <t>71‐43‐2</t>
  </si>
  <si>
    <t>110‐82‐7</t>
  </si>
  <si>
    <t>100‐41‐4</t>
  </si>
  <si>
    <t>110‐54‐3</t>
  </si>
  <si>
    <t>78‐79‐5</t>
  </si>
  <si>
    <t>Isoprene, except from vegetative emission sources</t>
  </si>
  <si>
    <t>98‐82‐8</t>
  </si>
  <si>
    <t>Isopropylbenzene (cumene)</t>
  </si>
  <si>
    <t>108‐38‐3</t>
  </si>
  <si>
    <t>m‐Xylene</t>
  </si>
  <si>
    <t>91‐20‐3</t>
  </si>
  <si>
    <t>95‐47‐6</t>
  </si>
  <si>
    <t>o‐Xylene</t>
  </si>
  <si>
    <t>106‐42‐3</t>
  </si>
  <si>
    <t>p‐Xylene</t>
  </si>
  <si>
    <t>108‐88‐3</t>
  </si>
  <si>
    <t xml:space="preserve">  TAC Speciation Factors provided by DEQ</t>
  </si>
  <si>
    <t>TAC Speciation Factor            (lb/lb-VOC))</t>
  </si>
  <si>
    <t>Source</t>
  </si>
  <si>
    <t>PM10</t>
  </si>
  <si>
    <t>Table 13.2.2-2</t>
  </si>
  <si>
    <t>lb/VMT</t>
  </si>
  <si>
    <t>%</t>
  </si>
  <si>
    <t>Figure 13.2.2-1</t>
  </si>
  <si>
    <t>Table B-10: Emissions from Unpaved Roads</t>
  </si>
  <si>
    <t>EU-11</t>
  </si>
  <si>
    <t>Dust from Vehicle Travel on Unpaved Roads</t>
  </si>
  <si>
    <t>Table 13.2.2-1</t>
  </si>
  <si>
    <t>Constant</t>
  </si>
  <si>
    <t>k, particle size factor</t>
  </si>
  <si>
    <t>a, empirical constant</t>
  </si>
  <si>
    <t>b, empirical constant</t>
  </si>
  <si>
    <t>P, rainfall days &gt; 0.01 in.</t>
  </si>
  <si>
    <t>Review Report, pg. 29</t>
  </si>
  <si>
    <t>Vehicle &amp; Route Data</t>
  </si>
  <si>
    <t>Vehicle/Truck Description</t>
  </si>
  <si>
    <t>Route ID from Aerial</t>
  </si>
  <si>
    <t>Mean Vehicle Wt., W (tons)</t>
  </si>
  <si>
    <t>Trips/day</t>
  </si>
  <si>
    <t>Trips/year</t>
  </si>
  <si>
    <t>Segment Length, mi</t>
  </si>
  <si>
    <t>VMT/day</t>
  </si>
  <si>
    <t>VMT/yr</t>
  </si>
  <si>
    <t>Unpaved Roads - Constants and Eqn. 1a</t>
  </si>
  <si>
    <t>none</t>
  </si>
  <si>
    <t>days</t>
  </si>
  <si>
    <t>s, silt content</t>
  </si>
  <si>
    <t>CE, control efficiency</t>
  </si>
  <si>
    <t>E = Size-specific emission factor (lb/VMT)</t>
  </si>
  <si>
    <t>Outbound Pickup and Inbound Supplies</t>
  </si>
  <si>
    <t>Inbound Scrap Truck</t>
  </si>
  <si>
    <t>Sennebogen</t>
  </si>
  <si>
    <t>Small Trucks/Vehicles</t>
  </si>
  <si>
    <t>Daily E, lb/VMT</t>
  </si>
  <si>
    <t>Annual E, lb/VMT</t>
  </si>
  <si>
    <t>Totals</t>
  </si>
  <si>
    <t>Unpaved Roads EU-11</t>
  </si>
  <si>
    <t>Annual EF (lb/VMT)</t>
  </si>
  <si>
    <t>Daily EF (lb/VMT)</t>
  </si>
  <si>
    <t>WScale</t>
  </si>
  <si>
    <t>Scrap1</t>
  </si>
  <si>
    <t>Scrap2</t>
  </si>
  <si>
    <t>Nroad</t>
  </si>
  <si>
    <t>Wscale</t>
  </si>
  <si>
    <t>EU-17</t>
  </si>
  <si>
    <t>MaintFab</t>
  </si>
  <si>
    <t>Metal TAC emissions from electric arc welding at maintenance shop</t>
  </si>
  <si>
    <t>Electric Arc Welding EU-17</t>
  </si>
  <si>
    <t>Electrode Type</t>
  </si>
  <si>
    <t>Annual Usage, lb/yr</t>
  </si>
  <si>
    <t>Daily Usage, lb/day</t>
  </si>
  <si>
    <t>FCAW E71T</t>
  </si>
  <si>
    <t>SMAW E308</t>
  </si>
  <si>
    <t>GMAW E70S</t>
  </si>
  <si>
    <t>SMAW E6011</t>
  </si>
  <si>
    <t>SMAW E7018</t>
  </si>
  <si>
    <t>Unspecified Rod/Wire Default</t>
  </si>
  <si>
    <t>EF (lbs/1000 lbs)</t>
  </si>
  <si>
    <t>Total EU-17 @ MaintFab</t>
  </si>
  <si>
    <t>tons/day (steel production rate + 10% X 2 for total quantity received and remove from area)</t>
  </si>
  <si>
    <t>tons/yr (steel production rate + 10% X 2 for total quantity received and remove from area)</t>
  </si>
  <si>
    <t>Scrap Handling Rate (main)</t>
  </si>
  <si>
    <t>Scrap Handling Rate (secondary)</t>
  </si>
  <si>
    <t>Scrap Handling PM EF</t>
  </si>
  <si>
    <t>SH_Main</t>
  </si>
  <si>
    <t>SH_Sec</t>
  </si>
  <si>
    <t>Fugitive emissions of metal TACs from handling metal scrap (scrap handling main yard)</t>
  </si>
  <si>
    <t>EU-09sh_Main</t>
  </si>
  <si>
    <t>EU-09sh_Sec</t>
  </si>
  <si>
    <t>Mass Fraction (mg/kg)</t>
  </si>
  <si>
    <t>Silver and compounds</t>
  </si>
  <si>
    <t>7440-28-0</t>
  </si>
  <si>
    <t>Thallium and compounds</t>
  </si>
  <si>
    <t>tons/yr (maximum month in 2022 X 12 months * 2 for total quantity received and remove from the area)</t>
  </si>
  <si>
    <t>WSCALE</t>
  </si>
  <si>
    <t>SCRAP1</t>
  </si>
  <si>
    <t>SCRAP2</t>
  </si>
  <si>
    <t>SCRAP3</t>
  </si>
  <si>
    <t>NROAD</t>
  </si>
  <si>
    <t>Emission Points</t>
  </si>
  <si>
    <t>BH01, BH01A</t>
  </si>
  <si>
    <t>RMELT, MELTFUG</t>
  </si>
  <si>
    <t>EAF Burners: EU-16ng Emitted Through BH01 and BH01A</t>
  </si>
  <si>
    <t>Scrap Billet Cutting @ Melt Shop Charge Bay: EU-12 Controlled by BH-1/1A (emission point BH01/BH01A)</t>
  </si>
  <si>
    <t>Combined PM EF, daily</t>
  </si>
  <si>
    <t>Wind Speed, daily</t>
  </si>
  <si>
    <t>Wind Speed, annual</t>
  </si>
  <si>
    <t>PM emission factor, daily</t>
  </si>
  <si>
    <t>PM emission factor, annual</t>
  </si>
  <si>
    <t>EF (lb/ton) (Annual)</t>
  </si>
  <si>
    <t>EF (lb/ton) (Daily)</t>
  </si>
  <si>
    <t>Combined PM EF, annual</t>
  </si>
  <si>
    <r>
      <t>EU-09</t>
    </r>
    <r>
      <rPr>
        <sz val="12"/>
        <rFont val="Calibri (Body)"/>
      </rPr>
      <t>sp</t>
    </r>
  </si>
  <si>
    <t>Annual &amp; Daily EF (lb/hr)</t>
  </si>
  <si>
    <t>Annual &amp; Daily EF (lb/MMSCF)</t>
  </si>
  <si>
    <t>Annual &amp; Daily EF (lb/ton)</t>
  </si>
  <si>
    <t>Annual &amp;Daily EF (lb/ton)</t>
  </si>
  <si>
    <t>BH01A Emissions Total (lb/yr)</t>
  </si>
  <si>
    <t>BH01A Emissions Total (lb/day)</t>
  </si>
  <si>
    <t>BH01 - Emissions Allocation</t>
  </si>
  <si>
    <t>BH01A - Emissions Allocation</t>
  </si>
  <si>
    <r>
      <t xml:space="preserve">unitless </t>
    </r>
    <r>
      <rPr>
        <sz val="12"/>
        <rFont val="Calibri (Body)"/>
      </rPr>
      <t>(for PM10)</t>
    </r>
  </si>
  <si>
    <t>PM10 Emissions (lb/day)</t>
  </si>
  <si>
    <t>PM10 Emissions (lb/yr)</t>
  </si>
  <si>
    <t>CFH per torch (see included cut sheet in Tabl_B1 tab)</t>
  </si>
  <si>
    <t>Table B-11: Emissions from Electric Arc Welding</t>
  </si>
  <si>
    <t xml:space="preserve">CSRM </t>
  </si>
  <si>
    <t>Item</t>
  </si>
  <si>
    <t>1.Submit to DEQ a revised Inventory (AQ520 form), along with all supporting calculations in Excel format, as well as all information as required under OAR 340-245-0040(4), including the following updates:</t>
  </si>
  <si>
    <r>
      <rPr>
        <b/>
        <u/>
        <sz val="11"/>
        <color theme="1"/>
        <rFont val="Calibri"/>
        <family val="2"/>
        <scheme val="minor"/>
      </rPr>
      <t>a.Roof monitor (TEU EU-3) and billet cutting (TEUs EU-10 and EU-12):</t>
    </r>
    <r>
      <rPr>
        <sz val="12"/>
        <color theme="1"/>
        <rFont val="Calibri"/>
        <family val="2"/>
        <scheme val="minor"/>
      </rPr>
      <t xml:space="preserve"> use the data set“Filter Only no Blank Subtraction” instead of the “Filter Only Reagent BlankSubtraction” from the 2019 Emissions Testing report for the “Roof Monitor” and“Billet Cutting” TAC emission factors as the information provided was insufficient to support the validity of the blank corrections.</t>
    </r>
  </si>
  <si>
    <r>
      <rPr>
        <b/>
        <u/>
        <sz val="11"/>
        <color theme="1"/>
        <rFont val="Calibri"/>
        <family val="2"/>
        <scheme val="minor"/>
      </rPr>
      <t>b.Billet cutting (TEUs EU-10 and EU-12)</t>
    </r>
    <r>
      <rPr>
        <sz val="12"/>
        <color theme="1"/>
        <rFont val="Calibri"/>
        <family val="2"/>
        <scheme val="minor"/>
      </rPr>
      <t>: update emissions to reflect existing conditions and emission points for TEU EU-10, as it is currently configured.</t>
    </r>
  </si>
  <si>
    <t>c.Melt shop (TEU EU-1):</t>
  </si>
  <si>
    <t>i.Include emission estimates for the following TACs, including any expected fugitive emissions, using emission factors listed in</t>
  </si>
  <si>
    <t xml:space="preserve"> “Attachment A. Emission Factors for Persistent Organic Pollutants and Polycyclic AromaticHydrocarbons”:</t>
  </si>
  <si>
    <t>1.Polychlorinated dibenzo-p-dioxins (PCDDs) &amp; dibenzofurans (PCDFs)TEQ (DEQ SEQ ID 646);</t>
  </si>
  <si>
    <t>2.PCBs TEQ (DEQ SEQ ID 645);</t>
  </si>
  <si>
    <t>3.Polycyclic aromatic hydrocarbons (PAHs; DEQ SEQ ID 401)2;</t>
  </si>
  <si>
    <t>4.Benzo[a]pyrene (CASRN 50-32-8);</t>
  </si>
  <si>
    <t>5.Naphthalene (CASRN 91-20-3);</t>
  </si>
  <si>
    <t>6.Hexachlorobenzene (CASRN 118-74-1); and</t>
  </si>
  <si>
    <t>7.Polybrominated diphenyl ethers (PBDEs; DEQ SEQ ID 401);</t>
  </si>
  <si>
    <t>d.Melt shop baghouses (TEU EU-1, baghouse BH-1):</t>
  </si>
  <si>
    <t>i.Include emissions for phosphorus (DEQ ID 504), for consistency with detections in the 2013 Filter Testing data.</t>
  </si>
  <si>
    <t xml:space="preserve"> Phosphorus was detected in BH-1A,sample Run #3 at 50 mg/kg;</t>
  </si>
  <si>
    <t>e.Melt shop baghouses (TEU EU-1, baghouses BH-1, BH-1A, and BH-2):</t>
  </si>
  <si>
    <t>CSRM discontinued the practice of disposing of baghouse bags in the EAF in November of 2020. Fluoride emissions from baghouse bag burning has been removed from the emissions inventory.</t>
  </si>
  <si>
    <t>i.Update fluoride (DEQ SEQ ID 239) emissions as follows:</t>
  </si>
  <si>
    <t>1.Update the daily fluoride emissions calculation for the burning ofbaghouse bags in BH-1 to use throughput in number of baghouse bagsburned instead of tons of steel produced; and</t>
  </si>
  <si>
    <t>2. Apportion fluoride emissions from TEU EU-1 to baghouses BH-1, BH-1A, and BH-2, as appropriate.</t>
  </si>
  <si>
    <t>ii. Update organic TAC emissions estimates to:</t>
  </si>
  <si>
    <t>The method used in 1.ii.e.3 was used to update organic TAC emissions from TEU EU-1 baghouses BH-1, BH-1A and BH-2.</t>
  </si>
  <si>
    <t>1. Include all TACs which have emissions information available in the “Electric Arc Furnace Baghouse Gases Emissions Test Report” (dated March 3, 1995, and provided as Attachment C);</t>
  </si>
  <si>
    <t>2. Include emissions from BH-2, accounting for additional emissions expected due to the increased collection efficiency achieved with the installation of BH-2;</t>
  </si>
  <si>
    <t>3. To satisfy requirements 1 and 2 above, emissions for BH-1, BH-1A, and BH-2 may be calculated as shown in Attachment D, using source test data for BH-1, documented baghouse flow rates, and the VOC calculation methodology used in the Title V Permit Review Report (page 27). Alternatively, justification may be provided for a different estimate.</t>
  </si>
  <si>
    <t>iii. Update emission factors for the 7 MMBtu/hr Electric Arc Furnace burner (TEU EU-16_ng) to match the emission factors in the “Oregon DEQ 2020 Air Toxic Emissions Inventory Combustion Emission Factor Tool” for the “Natural Gas External Combustion, emission units &lt; 10 MMBTU/hr”.</t>
  </si>
  <si>
    <t>The emission factors have been updated.</t>
  </si>
  <si>
    <r>
      <rPr>
        <b/>
        <u/>
        <sz val="11"/>
        <color theme="1"/>
        <rFont val="Calibri"/>
        <family val="2"/>
        <scheme val="minor"/>
      </rPr>
      <t>f. Melt shop fugitive emissions (TEU EU-1, emission point MELTFUG)</t>
    </r>
    <r>
      <rPr>
        <sz val="12"/>
        <color theme="1"/>
        <rFont val="Calibri"/>
        <family val="2"/>
        <scheme val="minor"/>
      </rPr>
      <t>:</t>
    </r>
  </si>
  <si>
    <t>i. In the supporting calculations, update the fugitive portion of the scrap billet cutting emissions (TEU EU-1, emission point MELTFUG) to use the uncontrolled emission factor rather than the controlled emission factor; alternatively fugitive emissions may be calculated separately for EU-1, EU-10, and EU-12 in both supporting calculations and the AQ520.</t>
  </si>
  <si>
    <t>ii. In the supporting calculations, update the fugitive portion of the scrap billet cutting emissions (TEU EU-1, emission point MELTFUG) to correctly sum emissions from scrap billet cutting and the melt shop using consistent units (for example, pounds per tons of steel processed); alternatively fugitive emissions may be calculated separately for EU-1, EU-10, and EU-12 in both supporting calculations and the AQ520; and</t>
  </si>
  <si>
    <t>iii. Update the daily Fluoride (DEQ SEQ ID 239) emissions calculation to use throughput in number of baghouse bags burned instead of tons of steel produced.</t>
  </si>
  <si>
    <t>g. Roof monitor (TEU EU-3):</t>
  </si>
  <si>
    <t>The daily emission calculations have been updated to use the daily emission factor instead of the annual emission factor</t>
  </si>
  <si>
    <t>i. Update the daily emission calculations to use the daily emission factor instead of the annual emission factor; and</t>
  </si>
  <si>
    <t>ii. Include emissions for mercury (CASRN 7439-97-6) as 0.00043 percent of particulate matter, as listed in CSRM’s Permit Review Report (36-5034-TV-01, Page 59).</t>
  </si>
  <si>
    <t>h. Slag handling (TEU EU-5):</t>
  </si>
  <si>
    <t>Zinc emission factor updated.</t>
  </si>
  <si>
    <t>i. Update zinc (CASRN 7440-66-6) emission factors to reflect the analytical result of 160 mg/kg listed in the slag analytical report (currently the analytical result is listed as 16 mg/kg);</t>
  </si>
  <si>
    <t>ii. Update the “Max Daily – Acute” emission factor to use a representative maximum daily average wind speed for unenclosed drop points; and</t>
  </si>
  <si>
    <t>iii. Include emission estimates for the following TAC species, using concentrations listed in Attachment A:</t>
  </si>
  <si>
    <t>Emission estimates for these species has been included based on the Appendix A information provided by DEQ.</t>
  </si>
  <si>
    <t>1. PCDDs &amp; PCDFs TEQ (DEQ SEQ ID 646); and</t>
  </si>
  <si>
    <t>2. PCBs TEQ (DEQ SEQ ID 645);</t>
  </si>
  <si>
    <t>i. Gasoline Dispensing Facility (TEU EU-15):</t>
  </si>
  <si>
    <t>i. Calculate VOC emissions from tank filling, breathing, and emptying using the methodology presented in AP-42, Section 7.1.3;</t>
  </si>
  <si>
    <t>ii. Calculate daily VOC working losses using the attached methodology from the TCEQ (provided with DEQ’s August 26, 2022 letter) - assume maximum daily emissions are equal to maximum hourly emissions multiplied by the maximum hours of tank filling. Provide justification for the worst-case liquid temperature used, or assume the TCEQ default of 95 degrees F; and</t>
  </si>
  <si>
    <t>iii. Include a complete set of TACs emitted from the gasoline dispensing facility - in the absence of site-specific gasoline composition data, the TAC speciation provided with DEQ’s August 26, 2022 letter may be used.</t>
  </si>
  <si>
    <r>
      <rPr>
        <b/>
        <u/>
        <sz val="11"/>
        <color theme="1"/>
        <rFont val="Calibri"/>
        <family val="2"/>
        <scheme val="minor"/>
      </rPr>
      <t xml:space="preserve">j. </t>
    </r>
    <r>
      <rPr>
        <sz val="12"/>
        <color theme="1"/>
        <rFont val="Calibri"/>
        <family val="2"/>
        <scheme val="minor"/>
      </rPr>
      <t xml:space="preserve">Include estimated emissions from </t>
    </r>
    <r>
      <rPr>
        <b/>
        <u/>
        <sz val="11"/>
        <color theme="1"/>
        <rFont val="Calibri"/>
        <family val="2"/>
        <scheme val="minor"/>
      </rPr>
      <t>scrap handling and unpaved roads</t>
    </r>
    <r>
      <rPr>
        <sz val="12"/>
        <color theme="1"/>
        <rFont val="Calibri"/>
        <family val="2"/>
        <scheme val="minor"/>
      </rPr>
      <t>:</t>
    </r>
  </si>
  <si>
    <t>i. Use established methodologies to determine PM emissions and site-specific dust sampling analysis to speciate TACs for the following TEUs:</t>
  </si>
  <si>
    <t>1. Scrap handling (permitted emission unit EU-9); and</t>
  </si>
  <si>
    <t>2. Fugitive dust from unpaved roads (permitted emission unit EU-11); and</t>
  </si>
  <si>
    <t>ii. The dust sampling plan must be approved by DEQ prior to sampling and should include, at a minimum, heavy metal TACs, fluorides, PCDD/PCDFs, and PCBs.</t>
  </si>
  <si>
    <r>
      <rPr>
        <b/>
        <u/>
        <sz val="11"/>
        <color theme="1"/>
        <rFont val="Calibri"/>
        <family val="2"/>
        <scheme val="minor"/>
      </rPr>
      <t xml:space="preserve">k. </t>
    </r>
    <r>
      <rPr>
        <sz val="12"/>
        <color theme="1"/>
        <rFont val="Calibri"/>
        <family val="2"/>
        <scheme val="minor"/>
      </rPr>
      <t xml:space="preserve">Revise the Inventory to include emissions from </t>
    </r>
    <r>
      <rPr>
        <b/>
        <u/>
        <sz val="11"/>
        <color theme="1"/>
        <rFont val="Calibri"/>
        <family val="2"/>
        <scheme val="minor"/>
      </rPr>
      <t>maintenance shops and routine maintenance activities</t>
    </r>
    <r>
      <rPr>
        <sz val="12"/>
        <color theme="1"/>
        <rFont val="Calibri"/>
        <family val="2"/>
        <scheme val="minor"/>
      </rPr>
      <t xml:space="preserve"> (including incidental welding and miscellaneous chemical usage), or provide justification for exemption per OAR 340-245-0060(3)(a).</t>
    </r>
  </si>
  <si>
    <r>
      <rPr>
        <b/>
        <u/>
        <sz val="11"/>
        <color theme="1"/>
        <rFont val="Calibri"/>
        <family val="2"/>
        <scheme val="minor"/>
      </rPr>
      <t>l.</t>
    </r>
    <r>
      <rPr>
        <sz val="12"/>
        <color theme="1"/>
        <rFont val="Calibri"/>
        <family val="2"/>
        <scheme val="minor"/>
      </rPr>
      <t xml:space="preserve"> Revise the AQ520 as follows:</t>
    </r>
  </si>
  <si>
    <t>i. Update the “Reference/Notes” column in Tab 3 to fully specify the source of the emission factor for each TEU and TAC (for example, AP-42, WebFire, specific source tests, etc.) and any related notes (for example, control efficiency references); and</t>
  </si>
  <si>
    <t>ii. Update the “Control Efficiency” column in Tab 3 to specify the total combined control efficiency for each pollutant from the specificied TEU and TAC, when the control efficiency is known or estimated.</t>
  </si>
  <si>
    <t>2. Please provide the following additional documentation to support the emissions inventory:</t>
  </si>
  <si>
    <t>a. For all raw materials used, including but not limited to the slag oxidizing agent and molten metal additives:</t>
  </si>
  <si>
    <t>i. Safety Data Sheets; and</t>
  </si>
  <si>
    <t>ii. Estimated maximum annual and daily usage rates;</t>
  </si>
  <si>
    <t>b. Substantiation for emissions of fluorides (DEQ SEQ ID 239), including testing data used in the development of permitted emission factors, as well as an explanation of why the emission factor listed in AP-42, Section 12.5.1, Table 5-9 (0.059 pounds F per ton steel produced) is not representative of emissions from the EAF and melt shop;</t>
  </si>
  <si>
    <t>c. A detailed description of the wastewater system, including a process flow diagram, characterization of wastewater including available analytical data, and a description of each process unit and wastewater point of use;</t>
  </si>
  <si>
    <t>d. A detailed description of the slag wetting process, including:</t>
  </si>
  <si>
    <r>
      <t>ii. Whether process is batch or continous</t>
    </r>
    <r>
      <rPr>
        <sz val="11"/>
        <color rgb="FFFF0000"/>
        <rFont val="Calibri (Body)"/>
      </rPr>
      <t xml:space="preserve"> (batch)</t>
    </r>
  </si>
  <si>
    <t>e. Description of process assumptions used to determine the 90% effectiveness factor for oxidation of hydrogen sulfide from the data reported in Rehmus et al, 1973.</t>
  </si>
  <si>
    <t>Based on a review of the 1973 Rehmus paper and CSRM slag handling operations the effectiveness of the oxidizing agent has been reduced to 75%</t>
  </si>
  <si>
    <t>Warning Letter with Opportunity to Correct Response Tracking Sheet</t>
  </si>
  <si>
    <t>Correction Action</t>
  </si>
  <si>
    <t>Response</t>
  </si>
  <si>
    <t>Today's submittal includes a revised AQ520 form and this workbook provides the supporting calculations.</t>
  </si>
  <si>
    <t>Acetone Rinse No Blank Correction  (lb/ton)</t>
  </si>
  <si>
    <t>Filter Only No Blank Correction  (lb/ton)</t>
  </si>
  <si>
    <t>The "Filter Only no Blank Substraction" dataset has been used to estimate emissions from TEUs EU-3, EU-10, and EU-12</t>
  </si>
  <si>
    <t xml:space="preserve">The "Attachment A" emission factors have been used to update emissions from TEU EU-1, Melt Shop Baghouses.  Emissions through the Melt Shop Baghouses (BH-1, BH-1A, BH-2) were alllocated using the same methodology proposed by DEQ for Organic TACs. </t>
  </si>
  <si>
    <t>Phosphorous emissions have been included in the TEU EU-1, baghouse BH-1 emission estimate.</t>
  </si>
  <si>
    <t>Melt Shop EAF, Ladle Furnace metal and organic TAC emissions through baghouse stacks</t>
  </si>
  <si>
    <t>Melt Shop Process Emissions: EU-3 Fugitives MELTFUG</t>
  </si>
  <si>
    <t>MELTFUG Emissions Total (lb/yr)</t>
  </si>
  <si>
    <t>MELTFUG Emissions Total (lb/day)</t>
  </si>
  <si>
    <t>The emission factors provided in Table B-4 for scrap billet cutting have been updated to reflect uncontrolled emissions.  Associated baghouse and fugitive emissions are calculated based on the capture and removal efficiencies shown in Table B-4. It is noted that scrap billet cutting has been designated TEU EU-12.</t>
  </si>
  <si>
    <t>The 10/10/22 version of the supporting calculations contained a cell reference error when summing the emissions at the MELTFUG emission point and this has been corrected.</t>
  </si>
  <si>
    <t>Emissions of mercury (CASRN 7439-97-6) as 0.00043 percent of particulate matter, as listed in CSRM’s Permit Review Report (36-5034-TV-01, Page 59) has been included in conjunction with the PM10 emission factor in CSRM's Permit Review Report (36-5034-TV-01, Page 29).</t>
  </si>
  <si>
    <t>The Max Daily Acute emission factor has been updated using a 5-yr maxium daily average wind speed.</t>
  </si>
  <si>
    <t>VOC emissions from the GDF horizontal tank have been calculated based on AP-42, Section 7.1.3 and these calculations are provided.
The TCEQ guidance has been used to calcuate daily VOC working losses as requested.
TAC emissions have been updated based on the speciation data provided by DEQ as requested.</t>
  </si>
  <si>
    <t>CSRM submitted a dust sampling plan to DEQ on January 30, 2023.  As described in that submission CSRM has proactively collected representative dust samples and we are including associated analytical results and TAC emissions estimates for scrap handling (EU-9) and unpaved roads (EU-11) with this emissions inventory for DEQ's consideration of the overall approach to estimating emissions from these sources.</t>
  </si>
  <si>
    <t>The emissions have been update to reflect the current configuration of the caster billet cutting TEU EU-10.</t>
  </si>
  <si>
    <t xml:space="preserve">The emissions inventory has been updated to include emissions from electric arc welding.
In November 2021 DEQ updated the CAO rules and revised the list of activities that could be considered Categorically Insignificant Activities (CIA) for the purposes of preparing a CAO emissions inventory (EI) and risk assessment. The rule changes resulted in fifteen different types of activities that under the original CAO rules were considered exempt TEUs and did not need to be included in a CAO assessment. Those fifteen activities were listed in the “Cleaner Air Oregon Exempt TEU Reporting” guidance document issued by DEQ on March 21, 2022.  Attachment I provides an assessment of those activities and how they are addressed in this CAO EI. </t>
  </si>
  <si>
    <t>An AQ520 Form is enclosed with this submission and it includes the updates requested in items 1.I.i and 1.I.ii.</t>
  </si>
  <si>
    <t>Attachment J provides the raw material usage information requested.  We note that Cascade does not use a "slag oxidizing agent" as a raw material but calcium carbide and silicon carbide are used as de-oxidizing agents and associated raw material usage information is also provided in Attachment J.</t>
  </si>
  <si>
    <t>Please see Attachment H for a discussion of Fluoride emissions.</t>
  </si>
  <si>
    <t>Please see Attachment K for a response to this corrective action.</t>
  </si>
  <si>
    <r>
      <t>i. Location;</t>
    </r>
    <r>
      <rPr>
        <sz val="11"/>
        <color rgb="FFFF0000"/>
        <rFont val="Calibri (Body)"/>
      </rPr>
      <t xml:space="preserve"> (along a wall just northeast of the meltshop)</t>
    </r>
  </si>
  <si>
    <r>
      <t xml:space="preserve">iii. Approximate temperature of slag; </t>
    </r>
    <r>
      <rPr>
        <sz val="11"/>
        <color rgb="FFFF0000"/>
        <rFont val="Calibri (Body)"/>
      </rPr>
      <t>(~1800F)</t>
    </r>
  </si>
  <si>
    <r>
      <t xml:space="preserve">iv. Source of water used and method of wetting; and </t>
    </r>
    <r>
      <rPr>
        <sz val="11"/>
        <color rgb="FFFF0000"/>
        <rFont val="Calibri (Body)"/>
      </rPr>
      <t>(City water is used.  The oxidizing agent is added via inline injection to a recirculating loop. A spray bar equipped with ~10 nozzles is used to wet the slag)</t>
    </r>
  </si>
  <si>
    <t>See responses in red adjacent.</t>
  </si>
  <si>
    <t>Melt Shop natural gas fired EAF preheaters, tundish heaters and horizontal heater emissions emitted through baghouse stacks and a roof monitor.</t>
  </si>
  <si>
    <t>Additional natural gas fired tundish heaters and horizontal heater emissions emitted through building fugitives.</t>
  </si>
  <si>
    <t>Additional Melt Shop roof monitor emissions as building fugitives</t>
  </si>
  <si>
    <t>Roof monitor emissions</t>
  </si>
  <si>
    <t>Fugitive emissions of metal TACs from handling metal scrap (scrap handling secondary pile)</t>
  </si>
  <si>
    <t>Main Pile Scrap Handling Emissions: (Emission point SH_Main)</t>
  </si>
  <si>
    <t>Secondary Pile Scrap Handling Emissions (Emission point: SH_Sec)</t>
  </si>
  <si>
    <t>in tons steel produced</t>
  </si>
  <si>
    <t>BC01</t>
  </si>
  <si>
    <t>Billet Cutting @ Casting: EU-10  (emission point BC01)</t>
  </si>
  <si>
    <t>Billet Cutting @ Casting Torch Natural Gas: EU-10ng Emissions at BC01</t>
  </si>
  <si>
    <t>Daily (lbs/day)</t>
  </si>
  <si>
    <t>Annualized (lbs/day)</t>
  </si>
  <si>
    <t>Combined ER</t>
  </si>
  <si>
    <t>See comment to corrective action item 1.e above.</t>
  </si>
  <si>
    <t>646</t>
  </si>
  <si>
    <t>645</t>
  </si>
  <si>
    <t>401</t>
  </si>
  <si>
    <t>447</t>
  </si>
  <si>
    <t>504</t>
  </si>
  <si>
    <t>Tundish and Horizontal Heaters Fugitive Emissions: EU-16ng_mf Emitted Through MELTFUG</t>
  </si>
  <si>
    <t>Table B-1: Scrap Cutting and Handling Emissions</t>
  </si>
  <si>
    <r>
      <t>Metal TACs emissions from a torch cutting metal scrap</t>
    </r>
    <r>
      <rPr>
        <sz val="12"/>
        <rFont val="Calibri (Body)"/>
      </rPr>
      <t xml:space="preserve"> (scrap preparation)</t>
    </r>
  </si>
  <si>
    <t>Natural gas combustion byproduct TAC emissions</t>
  </si>
  <si>
    <t>BH-1/1A Removal Eff.</t>
  </si>
  <si>
    <t>BH-1/1A Capture Eff.</t>
  </si>
  <si>
    <t>Scrap Cutting @ Melt Shop Charge Bay: EU-09sp Controlled by BH-1/1A (emission point BH01/BH01A)</t>
  </si>
  <si>
    <t>Scrap Cutting @ Melt Shop Charge Bay: EU-09sp Fugitives (emission point MELTFUG)</t>
  </si>
  <si>
    <t>Scrap Torch Cutting NG Emissions: EU-09ng Emissions at MELTFUG</t>
  </si>
  <si>
    <t>Scrap Torch Cutting NG Emissions: EU-09ng Emissions at BH01/BH01A</t>
  </si>
  <si>
    <t>Totals Including EU-09ng &amp; EU-12ng</t>
  </si>
  <si>
    <t>Scrap Billet Cutting @ Charge Bay Torch Natural Gas: EU-12ng Emissions at BH01/BH01A</t>
  </si>
  <si>
    <t>EU-3_RM</t>
  </si>
  <si>
    <t>EU-3_MF</t>
  </si>
  <si>
    <r>
      <t xml:space="preserve">v. Amount of water applied, per ton slag handled; and </t>
    </r>
    <r>
      <rPr>
        <sz val="11"/>
        <color rgb="FFFF0000"/>
        <rFont val="Calibri (Body)"/>
      </rPr>
      <t>(The spray bars apply about 120 gpm of water to the slag over a period of about 10 hours.  At this flow rate and duration and assuming 370 tons of slag produced in a batch the amount of water applied would be about 195 gallons per ton of slag handled.</t>
    </r>
  </si>
  <si>
    <t>Metal TAC and H2S emissions from unloading slag from the melt shop and loading slag into a truck</t>
  </si>
  <si>
    <t>EU-16ng_MF</t>
  </si>
  <si>
    <t>lb/ton (AP-42, Section 12.5, Table 12.5-4 (low-silt slag, batch drop front end loader)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</si>
</sst>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0.0"/>
    <numFmt numFmtId="165" formatCode="0.0000"/>
    <numFmt numFmtId="166" formatCode="0.000"/>
    <numFmt numFmtId="167" formatCode="_(* #,##0_);_(* \(#,##0\);_(* &quot;-&quot;??_);_(@_)"/>
    <numFmt numFmtId="168" formatCode="mmmm\ yyyy"/>
    <numFmt numFmtId="169" formatCode="0.00000"/>
    <numFmt numFmtId="170" formatCode="#,##0.0"/>
    <numFmt numFmtId="171" formatCode="0.000000"/>
    <numFmt numFmtId="172" formatCode="0.0000000"/>
    <numFmt numFmtId="173" formatCode="0.0%"/>
    <numFmt numFmtId="174" formatCode="m/d/yy;@"/>
    <numFmt numFmtId="175" formatCode="h:mm;@"/>
    <numFmt numFmtId="176" formatCode="#,##0.000"/>
    <numFmt numFmtId="177" formatCode="0.000E+00"/>
    <numFmt numFmtId="178" formatCode="0.00000000"/>
    <numFmt numFmtId="179" formatCode="0.0000E+00"/>
    <numFmt numFmtId="180" formatCode="0.00000E+00"/>
    <numFmt numFmtId="181" formatCode="0.000000E+00"/>
  </numFmts>
  <fonts count="9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2"/>
      <name val="Calibri"/>
      <family val="2"/>
      <scheme val="minor"/>
    </font>
    <font>
      <i/>
      <sz val="12"/>
      <color theme="1"/>
      <name val="Calibri"/>
      <family val="2"/>
      <scheme val="minor"/>
    </font>
    <font>
      <b/>
      <sz val="12"/>
      <name val="Calibri"/>
      <family val="2"/>
      <scheme val="minor"/>
    </font>
    <font>
      <sz val="12"/>
      <color rgb="FF000000"/>
      <name val="Calibri"/>
      <family val="2"/>
      <scheme val="minor"/>
    </font>
    <font>
      <vertAlign val="superscript"/>
      <sz val="12"/>
      <color theme="1"/>
      <name val="Calibri"/>
      <family val="2"/>
      <scheme val="minor"/>
    </font>
    <font>
      <b/>
      <u/>
      <sz val="12"/>
      <color theme="1"/>
      <name val="Calibri"/>
      <family val="2"/>
      <scheme val="minor"/>
    </font>
    <font>
      <sz val="9"/>
      <color indexed="81"/>
      <name val="Calibri"/>
      <family val="2"/>
    </font>
    <font>
      <b/>
      <sz val="9"/>
      <color indexed="81"/>
      <name val="Calibri"/>
      <family val="2"/>
    </font>
    <font>
      <b/>
      <sz val="14"/>
      <color rgb="FF0000FF"/>
      <name val="Calibri"/>
      <family val="2"/>
      <scheme val="minor"/>
    </font>
    <font>
      <b/>
      <sz val="14"/>
      <color rgb="FF000000"/>
      <name val="Calibri"/>
      <family val="2"/>
      <scheme val="minor"/>
    </font>
    <font>
      <sz val="8"/>
      <name val="Calibri"/>
      <family val="2"/>
      <scheme val="minor"/>
    </font>
    <font>
      <i/>
      <sz val="12"/>
      <name val="Calibri"/>
      <family val="2"/>
      <scheme val="minor"/>
    </font>
    <font>
      <b/>
      <i/>
      <sz val="12"/>
      <name val="Calibri"/>
      <family val="2"/>
      <scheme val="minor"/>
    </font>
    <font>
      <sz val="12"/>
      <color rgb="FF006100"/>
      <name val="Calibri"/>
      <family val="2"/>
      <scheme val="minor"/>
    </font>
    <font>
      <b/>
      <sz val="10"/>
      <name val="Arial"/>
      <family val="2"/>
    </font>
    <font>
      <sz val="10"/>
      <name val="Arial"/>
      <family val="2"/>
    </font>
    <font>
      <b/>
      <sz val="10"/>
      <color indexed="9"/>
      <name val="Arial"/>
      <family val="2"/>
    </font>
    <font>
      <sz val="10"/>
      <color indexed="8"/>
      <name val="Arial"/>
      <family val="2"/>
    </font>
    <font>
      <b/>
      <sz val="11"/>
      <color rgb="FF0070C0"/>
      <name val="Calibri"/>
      <family val="2"/>
      <scheme val="minor"/>
    </font>
    <font>
      <sz val="11"/>
      <color rgb="FFFF0000"/>
      <name val="Calibri"/>
      <family val="2"/>
      <scheme val="minor"/>
    </font>
    <font>
      <sz val="12"/>
      <color theme="5"/>
      <name val="Calibri"/>
      <family val="2"/>
      <scheme val="minor"/>
    </font>
    <font>
      <sz val="11"/>
      <color rgb="FF1F497D"/>
      <name val="Calibri"/>
      <family val="2"/>
    </font>
    <font>
      <sz val="12"/>
      <color rgb="FF6A6A6A"/>
      <name val="Verdana"/>
      <family val="2"/>
    </font>
    <font>
      <b/>
      <sz val="11"/>
      <name val="Calibri"/>
      <family val="2"/>
    </font>
    <font>
      <b/>
      <sz val="11"/>
      <color rgb="FF0000FF"/>
      <name val="Calibri"/>
      <family val="2"/>
      <scheme val="minor"/>
    </font>
    <font>
      <b/>
      <u/>
      <sz val="14"/>
      <color theme="1"/>
      <name val="Calibri"/>
      <family val="2"/>
      <scheme val="minor"/>
    </font>
    <font>
      <sz val="12"/>
      <color rgb="FFFF0000"/>
      <name val="Calibri (Body)"/>
    </font>
    <font>
      <sz val="10"/>
      <color rgb="FF000000"/>
      <name val="Tahoma"/>
      <family val="2"/>
    </font>
    <font>
      <b/>
      <sz val="10"/>
      <color rgb="FF000000"/>
      <name val="Tahoma"/>
      <family val="2"/>
    </font>
    <font>
      <sz val="12"/>
      <name val="Calibri (Body)"/>
    </font>
    <font>
      <sz val="10"/>
      <color theme="1"/>
      <name val="Arial"/>
      <family val="2"/>
    </font>
    <font>
      <sz val="11"/>
      <color theme="1"/>
      <name val="Arial"/>
      <family val="2"/>
    </font>
    <font>
      <sz val="12"/>
      <color rgb="FF0070C0"/>
      <name val="Calibri"/>
      <family val="2"/>
      <scheme val="minor"/>
    </font>
    <font>
      <b/>
      <sz val="11"/>
      <color theme="1"/>
      <name val="Calibri"/>
      <family val="2"/>
      <scheme val="minor"/>
    </font>
    <font>
      <sz val="11"/>
      <color theme="1"/>
      <name val="Calibri"/>
      <family val="2"/>
    </font>
    <font>
      <b/>
      <sz val="11"/>
      <color theme="1"/>
      <name val="Calibri"/>
      <family val="2"/>
    </font>
    <font>
      <b/>
      <vertAlign val="superscript"/>
      <sz val="11"/>
      <color theme="1"/>
      <name val="Calibri"/>
      <family val="2"/>
    </font>
    <font>
      <vertAlign val="superscript"/>
      <sz val="11"/>
      <color theme="1"/>
      <name val="Calibri"/>
      <family val="2"/>
      <scheme val="minor"/>
    </font>
    <font>
      <sz val="11"/>
      <name val="Calibri"/>
      <family val="2"/>
      <scheme val="minor"/>
    </font>
    <font>
      <sz val="14"/>
      <color theme="1"/>
      <name val="Calibri"/>
      <family val="2"/>
      <scheme val="minor"/>
    </font>
    <font>
      <vertAlign val="subscrip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u/>
      <sz val="11"/>
      <color theme="1"/>
      <name val="Calibri"/>
      <family val="2"/>
      <scheme val="minor"/>
    </font>
    <font>
      <vertAlign val="superscript"/>
      <sz val="11"/>
      <color theme="1"/>
      <name val="Calibri (Body)"/>
    </font>
    <font>
      <sz val="10"/>
      <name val="Arial"/>
      <family val="2"/>
      <charset val="1"/>
    </font>
    <font>
      <b/>
      <sz val="16"/>
      <color theme="1"/>
      <name val="Calibri"/>
      <family val="2"/>
      <scheme val="minor"/>
    </font>
    <font>
      <b/>
      <sz val="11"/>
      <name val="Arial"/>
      <family val="2"/>
    </font>
    <font>
      <b/>
      <sz val="10"/>
      <name val="Arial"/>
      <family val="2"/>
      <charset val="1"/>
    </font>
    <font>
      <sz val="10"/>
      <color rgb="FF000000"/>
      <name val="Arial"/>
      <family val="2"/>
      <charset val="1"/>
    </font>
    <font>
      <sz val="11"/>
      <name val="Arial"/>
      <family val="2"/>
      <charset val="1"/>
    </font>
    <font>
      <vertAlign val="subscript"/>
      <sz val="10"/>
      <name val="Arial"/>
      <family val="2"/>
    </font>
    <font>
      <b/>
      <sz val="11"/>
      <name val="Arial"/>
      <family val="2"/>
      <charset val="1"/>
    </font>
    <font>
      <sz val="11"/>
      <name val="Arial"/>
      <family val="2"/>
    </font>
    <font>
      <sz val="10"/>
      <name val="Calibri"/>
      <family val="2"/>
    </font>
    <font>
      <vertAlign val="superscript"/>
      <sz val="10"/>
      <name val="Arial"/>
      <family val="2"/>
    </font>
    <font>
      <vertAlign val="superscript"/>
      <sz val="10"/>
      <name val="Arial"/>
      <family val="2"/>
      <charset val="1"/>
    </font>
    <font>
      <i/>
      <sz val="10"/>
      <color theme="1"/>
      <name val="Arial"/>
      <family val="2"/>
    </font>
    <font>
      <b/>
      <vertAlign val="subscript"/>
      <sz val="11"/>
      <name val="Arial"/>
      <family val="2"/>
    </font>
    <font>
      <vertAlign val="subscript"/>
      <sz val="10"/>
      <name val="Arial"/>
      <family val="2"/>
      <charset val="1"/>
    </font>
    <font>
      <vertAlign val="subscript"/>
      <sz val="11"/>
      <name val="Arial"/>
      <family val="2"/>
      <charset val="1"/>
    </font>
    <font>
      <i/>
      <sz val="10"/>
      <name val="Arial"/>
      <family val="2"/>
    </font>
    <font>
      <i/>
      <vertAlign val="subscript"/>
      <sz val="10"/>
      <name val="Arial"/>
      <family val="2"/>
    </font>
    <font>
      <u/>
      <sz val="9"/>
      <color theme="4" tint="-0.24994659260841701"/>
      <name val="Calibri"/>
      <family val="2"/>
      <scheme val="minor"/>
    </font>
    <font>
      <u/>
      <sz val="10"/>
      <color rgb="FF0000FF"/>
      <name val="Arial"/>
      <family val="2"/>
    </font>
    <font>
      <b/>
      <sz val="10"/>
      <color theme="1"/>
      <name val="Arial"/>
      <family val="2"/>
    </font>
    <font>
      <b/>
      <vertAlign val="superscript"/>
      <sz val="10"/>
      <color theme="1"/>
      <name val="Arial"/>
      <family val="2"/>
    </font>
    <font>
      <b/>
      <vertAlign val="subscript"/>
      <sz val="10"/>
      <color theme="1"/>
      <name val="Arial"/>
      <family val="2"/>
    </font>
    <font>
      <sz val="8"/>
      <name val="Arial"/>
      <family val="2"/>
      <charset val="1"/>
    </font>
    <font>
      <b/>
      <vertAlign val="superscript"/>
      <sz val="10"/>
      <name val="Arial"/>
      <family val="2"/>
    </font>
    <font>
      <sz val="10"/>
      <color theme="0"/>
      <name val="Arial"/>
      <family val="2"/>
      <charset val="1"/>
    </font>
    <font>
      <sz val="8"/>
      <name val="Arial"/>
      <family val="2"/>
    </font>
    <font>
      <vertAlign val="superscript"/>
      <sz val="8"/>
      <name val="Arial"/>
      <family val="2"/>
    </font>
    <font>
      <vertAlign val="superscript"/>
      <sz val="10"/>
      <color theme="1"/>
      <name val="Arial"/>
      <family val="2"/>
    </font>
    <font>
      <sz val="10"/>
      <color rgb="FF000000"/>
      <name val="Times New Roman"/>
      <family val="1"/>
    </font>
    <font>
      <sz val="10"/>
      <color rgb="FF000000"/>
      <name val="Arial"/>
      <family val="2"/>
    </font>
    <font>
      <b/>
      <sz val="9"/>
      <name val="Arial"/>
      <family val="2"/>
    </font>
    <font>
      <sz val="9"/>
      <name val="Arial"/>
      <family val="2"/>
    </font>
    <font>
      <i/>
      <vertAlign val="superscript"/>
      <sz val="9"/>
      <name val="Times New Roman"/>
      <family val="1"/>
    </font>
    <font>
      <i/>
      <sz val="6"/>
      <name val="Times New Roman"/>
      <family val="1"/>
    </font>
    <font>
      <sz val="9"/>
      <color rgb="FF000000"/>
      <name val="Arial"/>
      <family val="2"/>
    </font>
    <font>
      <i/>
      <sz val="9"/>
      <name val="Times New Roman"/>
      <family val="1"/>
    </font>
    <font>
      <vertAlign val="superscript"/>
      <sz val="12"/>
      <color theme="1"/>
      <name val="Calibri (Body)"/>
    </font>
    <font>
      <vertAlign val="subscript"/>
      <sz val="12"/>
      <color theme="1"/>
      <name val="Calibri (Body)"/>
    </font>
    <font>
      <sz val="11"/>
      <color rgb="FF000000"/>
      <name val="Calibri"/>
      <family val="2"/>
      <scheme val="minor"/>
    </font>
    <font>
      <b/>
      <u/>
      <sz val="14"/>
      <name val="Calibri"/>
      <family val="2"/>
      <scheme val="minor"/>
    </font>
    <font>
      <b/>
      <u/>
      <sz val="11"/>
      <color theme="1"/>
      <name val="Calibri"/>
      <family val="2"/>
      <scheme val="minor"/>
    </font>
    <font>
      <sz val="11"/>
      <color rgb="FFFF0000"/>
      <name val="Calibri (Body)"/>
    </font>
  </fonts>
  <fills count="23">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C6EFCE"/>
      </patternFill>
    </fill>
    <fill>
      <patternFill patternType="solid">
        <fgColor theme="0"/>
        <bgColor indexed="64"/>
      </patternFill>
    </fill>
    <fill>
      <patternFill patternType="solid">
        <fgColor theme="7" tint="0.59996337778862885"/>
        <bgColor indexed="64"/>
      </patternFill>
    </fill>
    <fill>
      <patternFill patternType="solid">
        <fgColor theme="0" tint="-0.14999847407452621"/>
        <bgColor indexed="64"/>
      </patternFill>
    </fill>
    <fill>
      <patternFill patternType="solid">
        <fgColor rgb="FFD1EAFF"/>
        <bgColor rgb="FFCCFFFF"/>
      </patternFill>
    </fill>
    <fill>
      <patternFill patternType="solid">
        <fgColor theme="0" tint="-0.14999847407452621"/>
        <bgColor rgb="FFCCFFFF"/>
      </patternFill>
    </fill>
    <fill>
      <patternFill patternType="solid">
        <fgColor rgb="FFFFC000"/>
        <bgColor indexed="64"/>
      </patternFill>
    </fill>
    <fill>
      <patternFill patternType="solid">
        <fgColor theme="0" tint="-4.9989318521683403E-2"/>
        <bgColor indexed="64"/>
      </patternFill>
    </fill>
    <fill>
      <patternFill patternType="solid">
        <fgColor rgb="FFFFEDC1"/>
        <bgColor rgb="FFCCFFFF"/>
      </patternFill>
    </fill>
    <fill>
      <patternFill patternType="solid">
        <fgColor rgb="FFFFEDC1"/>
        <bgColor rgb="FFFFFFCC"/>
      </patternFill>
    </fill>
    <fill>
      <patternFill patternType="solid">
        <fgColor theme="0" tint="-0.14999847407452621"/>
        <bgColor rgb="FFFFFFCC"/>
      </patternFill>
    </fill>
    <fill>
      <patternFill patternType="solid">
        <fgColor theme="9" tint="0.79998168889431442"/>
        <bgColor indexed="64"/>
      </patternFill>
    </fill>
    <fill>
      <patternFill patternType="solid">
        <fgColor rgb="FFE2EFDA"/>
        <bgColor indexed="64"/>
      </patternFill>
    </fill>
    <fill>
      <patternFill patternType="solid">
        <fgColor rgb="FFFFEDC1"/>
        <bgColor indexed="64"/>
      </patternFill>
    </fill>
    <fill>
      <patternFill patternType="solid">
        <fgColor rgb="FFFFC000"/>
        <bgColor rgb="FFFFFFCC"/>
      </patternFill>
    </fill>
  </fills>
  <borders count="38">
    <border>
      <left/>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auto="1"/>
      </top>
      <bottom style="medium">
        <color indexed="64"/>
      </bottom>
      <diagonal/>
    </border>
  </borders>
  <cellStyleXfs count="40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 fillId="0" borderId="0"/>
    <xf numFmtId="0" fontId="22" fillId="8" borderId="0" applyNumberFormat="0" applyBorder="0" applyAlignment="0" applyProtection="0"/>
    <xf numFmtId="9" fontId="3" fillId="0" borderId="0" applyFont="0" applyFill="0" applyBorder="0" applyAlignment="0" applyProtection="0"/>
    <xf numFmtId="9" fontId="2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4" fillId="0" borderId="0"/>
    <xf numFmtId="0" fontId="3" fillId="0" borderId="0"/>
    <xf numFmtId="0" fontId="3" fillId="0" borderId="0"/>
    <xf numFmtId="0" fontId="52" fillId="0" borderId="0" applyNumberFormat="0" applyFill="0" applyBorder="0" applyAlignment="0" applyProtection="0"/>
    <xf numFmtId="0" fontId="55" fillId="0" borderId="0"/>
    <xf numFmtId="0" fontId="56" fillId="0" borderId="0" applyNumberFormat="0" applyFill="0" applyBorder="0" applyProtection="0">
      <alignment vertical="center"/>
    </xf>
    <xf numFmtId="0" fontId="59" fillId="0" borderId="0" applyBorder="0" applyProtection="0">
      <alignment vertical="center"/>
    </xf>
    <xf numFmtId="0" fontId="60" fillId="12" borderId="0" applyBorder="0" applyProtection="0"/>
    <xf numFmtId="0" fontId="60" fillId="17" borderId="0" applyBorder="0" applyProtection="0"/>
    <xf numFmtId="43" fontId="55" fillId="0" borderId="0" applyFont="0" applyFill="0" applyBorder="0" applyAlignment="0" applyProtection="0"/>
    <xf numFmtId="0" fontId="73" fillId="0" borderId="0" applyNumberFormat="0" applyFill="0" applyBorder="0" applyProtection="0">
      <alignment vertical="center"/>
    </xf>
    <xf numFmtId="0" fontId="84" fillId="0" borderId="0"/>
    <xf numFmtId="0" fontId="2" fillId="0" borderId="0"/>
  </cellStyleXfs>
  <cellXfs count="647">
    <xf numFmtId="0" fontId="0" fillId="0" borderId="0" xfId="0"/>
    <xf numFmtId="0" fontId="0" fillId="0" borderId="0" xfId="0" applyAlignment="1">
      <alignment wrapText="1"/>
    </xf>
    <xf numFmtId="0" fontId="8" fillId="0" borderId="0" xfId="0" applyFont="1"/>
    <xf numFmtId="0" fontId="0" fillId="0" borderId="1" xfId="0" applyBorder="1" applyAlignment="1">
      <alignment wrapText="1"/>
    </xf>
    <xf numFmtId="166" fontId="5" fillId="0" borderId="0" xfId="0" applyNumberFormat="1" applyFont="1" applyAlignment="1">
      <alignment wrapText="1"/>
    </xf>
    <xf numFmtId="0" fontId="5" fillId="0" borderId="0" xfId="0" applyFont="1" applyAlignment="1">
      <alignment wrapText="1"/>
    </xf>
    <xf numFmtId="164" fontId="5" fillId="0" borderId="0" xfId="0" applyNumberFormat="1" applyFont="1" applyAlignment="1">
      <alignment wrapText="1"/>
    </xf>
    <xf numFmtId="166" fontId="0" fillId="0" borderId="0" xfId="0" applyNumberFormat="1" applyAlignment="1">
      <alignment wrapText="1"/>
    </xf>
    <xf numFmtId="164" fontId="0" fillId="0" borderId="0" xfId="0" applyNumberFormat="1" applyAlignment="1">
      <alignment wrapText="1"/>
    </xf>
    <xf numFmtId="17" fontId="0" fillId="0" borderId="0" xfId="0" applyNumberFormat="1" applyAlignment="1">
      <alignment wrapText="1"/>
    </xf>
    <xf numFmtId="168" fontId="0" fillId="0" borderId="0" xfId="0" applyNumberFormat="1" applyAlignment="1">
      <alignment wrapText="1"/>
    </xf>
    <xf numFmtId="2" fontId="0" fillId="0" borderId="0" xfId="0" applyNumberFormat="1"/>
    <xf numFmtId="1" fontId="0" fillId="0" borderId="0" xfId="0" applyNumberFormat="1"/>
    <xf numFmtId="11" fontId="0" fillId="0" borderId="0" xfId="0" applyNumberFormat="1"/>
    <xf numFmtId="169" fontId="0" fillId="0" borderId="0" xfId="0" applyNumberFormat="1"/>
    <xf numFmtId="0" fontId="0" fillId="0" borderId="0" xfId="0" applyAlignment="1">
      <alignment horizontal="center"/>
    </xf>
    <xf numFmtId="0" fontId="0" fillId="0" borderId="0" xfId="0" applyAlignment="1">
      <alignment horizontal="left"/>
    </xf>
    <xf numFmtId="0" fontId="0" fillId="0" borderId="2"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11" xfId="0" applyBorder="1" applyAlignment="1">
      <alignment wrapText="1"/>
    </xf>
    <xf numFmtId="0" fontId="5" fillId="0" borderId="4" xfId="0" applyFont="1" applyBorder="1" applyAlignment="1">
      <alignment wrapText="1"/>
    </xf>
    <xf numFmtId="1" fontId="5" fillId="0" borderId="1" xfId="0" applyNumberFormat="1" applyFont="1" applyBorder="1" applyAlignment="1">
      <alignment wrapText="1"/>
    </xf>
    <xf numFmtId="164" fontId="5" fillId="0" borderId="10" xfId="0" applyNumberFormat="1" applyFont="1" applyBorder="1" applyAlignment="1">
      <alignment wrapText="1"/>
    </xf>
    <xf numFmtId="165" fontId="0" fillId="0" borderId="0" xfId="0" applyNumberFormat="1"/>
    <xf numFmtId="0" fontId="0" fillId="0" borderId="0" xfId="0" applyAlignment="1">
      <alignment horizontal="right"/>
    </xf>
    <xf numFmtId="0" fontId="0" fillId="0" borderId="12"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167" fontId="0" fillId="0" borderId="0" xfId="206" applyNumberFormat="1" applyFont="1" applyAlignment="1">
      <alignment wrapText="1"/>
    </xf>
    <xf numFmtId="167" fontId="5" fillId="0" borderId="0" xfId="206" applyNumberFormat="1" applyFont="1" applyAlignment="1">
      <alignment wrapText="1"/>
    </xf>
    <xf numFmtId="0" fontId="0" fillId="2" borderId="0" xfId="0" applyFill="1"/>
    <xf numFmtId="0" fontId="0" fillId="2" borderId="0" xfId="0" applyFill="1" applyAlignment="1">
      <alignment wrapText="1"/>
    </xf>
    <xf numFmtId="165" fontId="5" fillId="0" borderId="1" xfId="0" applyNumberFormat="1" applyFont="1" applyBorder="1" applyAlignment="1">
      <alignment wrapText="1"/>
    </xf>
    <xf numFmtId="0" fontId="0" fillId="0" borderId="12" xfId="0" applyBorder="1"/>
    <xf numFmtId="1" fontId="0" fillId="0" borderId="12" xfId="0" applyNumberFormat="1" applyBorder="1"/>
    <xf numFmtId="171" fontId="0" fillId="0" borderId="12" xfId="0" applyNumberFormat="1" applyBorder="1"/>
    <xf numFmtId="169" fontId="0" fillId="0" borderId="12" xfId="0" applyNumberFormat="1" applyBorder="1"/>
    <xf numFmtId="165" fontId="0" fillId="0" borderId="12" xfId="0" applyNumberFormat="1" applyBorder="1"/>
    <xf numFmtId="166" fontId="0" fillId="0" borderId="12" xfId="0" applyNumberFormat="1" applyBorder="1"/>
    <xf numFmtId="2" fontId="0" fillId="0" borderId="12" xfId="0" applyNumberFormat="1" applyBorder="1"/>
    <xf numFmtId="164" fontId="0" fillId="0" borderId="12" xfId="0" applyNumberFormat="1" applyBorder="1"/>
    <xf numFmtId="11" fontId="0" fillId="0" borderId="12" xfId="0" applyNumberFormat="1" applyBorder="1"/>
    <xf numFmtId="0" fontId="14" fillId="0" borderId="0" xfId="0" applyFont="1"/>
    <xf numFmtId="166" fontId="0" fillId="0" borderId="0" xfId="0" applyNumberFormat="1"/>
    <xf numFmtId="164" fontId="0" fillId="0" borderId="0" xfId="0" applyNumberFormat="1"/>
    <xf numFmtId="173" fontId="0" fillId="0" borderId="0" xfId="205" applyNumberFormat="1" applyFont="1"/>
    <xf numFmtId="0" fontId="17" fillId="0" borderId="0" xfId="0" applyFont="1"/>
    <xf numFmtId="0" fontId="18" fillId="0" borderId="0" xfId="0" applyFont="1"/>
    <xf numFmtId="172" fontId="0" fillId="0" borderId="12" xfId="0" applyNumberFormat="1" applyBorder="1"/>
    <xf numFmtId="0" fontId="0" fillId="3" borderId="0" xfId="0" applyFill="1" applyAlignment="1">
      <alignment wrapText="1"/>
    </xf>
    <xf numFmtId="0" fontId="0" fillId="0" borderId="0" xfId="0" quotePrefix="1" applyAlignment="1">
      <alignment wrapText="1"/>
    </xf>
    <xf numFmtId="0" fontId="0" fillId="5" borderId="0" xfId="0" applyFill="1" applyAlignment="1">
      <alignment wrapText="1"/>
    </xf>
    <xf numFmtId="0" fontId="0" fillId="6" borderId="0" xfId="0" applyFill="1" applyAlignment="1">
      <alignment wrapText="1"/>
    </xf>
    <xf numFmtId="0" fontId="20" fillId="3" borderId="8" xfId="0" applyFont="1" applyFill="1" applyBorder="1" applyAlignment="1">
      <alignment wrapText="1"/>
    </xf>
    <xf numFmtId="0" fontId="9" fillId="0" borderId="8" xfId="0" applyFont="1" applyBorder="1" applyAlignment="1">
      <alignment wrapText="1"/>
    </xf>
    <xf numFmtId="0" fontId="20" fillId="3" borderId="0" xfId="0" applyFont="1" applyFill="1" applyAlignment="1">
      <alignment wrapText="1"/>
    </xf>
    <xf numFmtId="0" fontId="9" fillId="0" borderId="0" xfId="0" applyFont="1" applyAlignment="1">
      <alignment wrapText="1"/>
    </xf>
    <xf numFmtId="1" fontId="21" fillId="5" borderId="1" xfId="0" applyNumberFormat="1" applyFont="1" applyFill="1" applyBorder="1" applyAlignment="1">
      <alignment wrapText="1"/>
    </xf>
    <xf numFmtId="164" fontId="11" fillId="0" borderId="1" xfId="0" applyNumberFormat="1" applyFont="1" applyBorder="1" applyAlignment="1">
      <alignment wrapText="1"/>
    </xf>
    <xf numFmtId="1" fontId="11" fillId="0" borderId="1" xfId="0" applyNumberFormat="1" applyFont="1" applyBorder="1" applyAlignment="1">
      <alignment wrapText="1"/>
    </xf>
    <xf numFmtId="0" fontId="9" fillId="3" borderId="0" xfId="0" applyFont="1" applyFill="1" applyAlignment="1">
      <alignment wrapText="1"/>
    </xf>
    <xf numFmtId="164" fontId="21" fillId="4" borderId="1" xfId="0" applyNumberFormat="1" applyFont="1" applyFill="1" applyBorder="1" applyAlignment="1">
      <alignment wrapText="1"/>
    </xf>
    <xf numFmtId="0" fontId="0" fillId="0" borderId="0" xfId="0" applyAlignment="1">
      <alignment horizontal="right" wrapText="1"/>
    </xf>
    <xf numFmtId="0" fontId="0" fillId="7" borderId="0" xfId="0" applyFill="1" applyAlignment="1">
      <alignment horizontal="right" wrapText="1"/>
    </xf>
    <xf numFmtId="0" fontId="10" fillId="3" borderId="11" xfId="0" applyFont="1" applyFill="1" applyBorder="1" applyAlignment="1">
      <alignment wrapText="1"/>
    </xf>
    <xf numFmtId="0" fontId="3" fillId="0" borderId="0" xfId="381"/>
    <xf numFmtId="0" fontId="23" fillId="9" borderId="0" xfId="381" applyFont="1" applyFill="1" applyAlignment="1">
      <alignment horizontal="left"/>
    </xf>
    <xf numFmtId="0" fontId="23" fillId="9" borderId="0" xfId="381" applyFont="1" applyFill="1" applyAlignment="1">
      <alignment horizontal="left" wrapText="1"/>
    </xf>
    <xf numFmtId="0" fontId="24" fillId="9" borderId="0" xfId="381" applyFont="1" applyFill="1"/>
    <xf numFmtId="0" fontId="23" fillId="9" borderId="0" xfId="381" applyFont="1" applyFill="1"/>
    <xf numFmtId="0" fontId="23" fillId="9" borderId="0" xfId="381" applyFont="1" applyFill="1" applyAlignment="1">
      <alignment horizontal="left" vertical="top" wrapText="1"/>
    </xf>
    <xf numFmtId="0" fontId="23" fillId="9" borderId="0" xfId="381" applyFont="1" applyFill="1" applyAlignment="1">
      <alignment horizontal="center" vertical="top" wrapText="1"/>
    </xf>
    <xf numFmtId="0" fontId="25" fillId="9" borderId="0" xfId="381" applyFont="1" applyFill="1" applyAlignment="1">
      <alignment horizontal="center" vertical="top" wrapText="1"/>
    </xf>
    <xf numFmtId="0" fontId="23" fillId="9" borderId="0" xfId="381" applyFont="1" applyFill="1" applyAlignment="1">
      <alignment horizontal="right" vertical="center" wrapText="1"/>
    </xf>
    <xf numFmtId="0" fontId="23" fillId="9" borderId="0" xfId="381" applyFont="1" applyFill="1" applyAlignment="1">
      <alignment horizontal="right" wrapText="1"/>
    </xf>
    <xf numFmtId="174" fontId="23" fillId="9" borderId="0" xfId="381" applyNumberFormat="1" applyFont="1" applyFill="1" applyAlignment="1">
      <alignment horizontal="center"/>
    </xf>
    <xf numFmtId="175" fontId="23" fillId="9" borderId="0" xfId="381" applyNumberFormat="1" applyFont="1" applyFill="1" applyAlignment="1">
      <alignment horizontal="center"/>
    </xf>
    <xf numFmtId="0" fontId="23" fillId="9" borderId="0" xfId="381" applyFont="1" applyFill="1" applyAlignment="1">
      <alignment horizontal="center" wrapText="1"/>
    </xf>
    <xf numFmtId="164" fontId="24" fillId="9" borderId="0" xfId="381" applyNumberFormat="1" applyFont="1" applyFill="1" applyAlignment="1">
      <alignment horizontal="center" wrapText="1"/>
    </xf>
    <xf numFmtId="164" fontId="24" fillId="9" borderId="0" xfId="381" applyNumberFormat="1" applyFont="1" applyFill="1" applyAlignment="1">
      <alignment horizontal="center"/>
    </xf>
    <xf numFmtId="173" fontId="24" fillId="9" borderId="0" xfId="383" applyNumberFormat="1" applyFont="1" applyFill="1" applyAlignment="1">
      <alignment horizontal="center" wrapText="1"/>
    </xf>
    <xf numFmtId="173" fontId="24" fillId="9" borderId="0" xfId="384" applyNumberFormat="1" applyFill="1" applyAlignment="1">
      <alignment horizontal="center" wrapText="1"/>
    </xf>
    <xf numFmtId="173" fontId="24" fillId="9" borderId="0" xfId="381" applyNumberFormat="1" applyFont="1" applyFill="1" applyAlignment="1">
      <alignment horizontal="center"/>
    </xf>
    <xf numFmtId="2" fontId="24" fillId="9" borderId="0" xfId="381" applyNumberFormat="1" applyFont="1" applyFill="1" applyAlignment="1">
      <alignment horizontal="center" wrapText="1"/>
    </xf>
    <xf numFmtId="2" fontId="24" fillId="9" borderId="0" xfId="381" applyNumberFormat="1" applyFont="1" applyFill="1" applyAlignment="1">
      <alignment horizontal="center"/>
    </xf>
    <xf numFmtId="176" fontId="24" fillId="9" borderId="0" xfId="381" applyNumberFormat="1" applyFont="1" applyFill="1" applyAlignment="1">
      <alignment horizontal="center" wrapText="1"/>
    </xf>
    <xf numFmtId="166" fontId="24" fillId="9" borderId="0" xfId="381" applyNumberFormat="1" applyFont="1" applyFill="1" applyAlignment="1">
      <alignment horizontal="center"/>
    </xf>
    <xf numFmtId="166" fontId="24" fillId="9" borderId="0" xfId="381" applyNumberFormat="1" applyFont="1" applyFill="1" applyAlignment="1">
      <alignment horizontal="center" wrapText="1"/>
    </xf>
    <xf numFmtId="3" fontId="24" fillId="9" borderId="0" xfId="381" applyNumberFormat="1" applyFont="1" applyFill="1" applyAlignment="1">
      <alignment horizontal="center" wrapText="1"/>
    </xf>
    <xf numFmtId="3" fontId="24" fillId="9" borderId="0" xfId="381" applyNumberFormat="1" applyFont="1" applyFill="1" applyAlignment="1">
      <alignment horizontal="center"/>
    </xf>
    <xf numFmtId="164" fontId="24" fillId="9" borderId="0" xfId="381" applyNumberFormat="1" applyFont="1" applyFill="1" applyAlignment="1" applyProtection="1">
      <alignment horizontal="center" wrapText="1"/>
      <protection locked="0"/>
    </xf>
    <xf numFmtId="170" fontId="24" fillId="9" borderId="0" xfId="381" applyNumberFormat="1" applyFont="1" applyFill="1" applyAlignment="1">
      <alignment horizontal="center" wrapText="1"/>
    </xf>
    <xf numFmtId="170" fontId="24" fillId="9" borderId="0" xfId="381" applyNumberFormat="1" applyFont="1" applyFill="1" applyAlignment="1">
      <alignment horizontal="center"/>
    </xf>
    <xf numFmtId="0" fontId="24" fillId="9" borderId="0" xfId="381" applyFont="1" applyFill="1" applyAlignment="1">
      <alignment horizontal="center" wrapText="1"/>
    </xf>
    <xf numFmtId="4" fontId="24" fillId="9" borderId="0" xfId="381" applyNumberFormat="1" applyFont="1" applyFill="1" applyAlignment="1">
      <alignment horizontal="center" wrapText="1"/>
    </xf>
    <xf numFmtId="4" fontId="24" fillId="9" borderId="0" xfId="381" applyNumberFormat="1" applyFont="1" applyFill="1" applyAlignment="1">
      <alignment horizontal="center"/>
    </xf>
    <xf numFmtId="165" fontId="3" fillId="9" borderId="0" xfId="381" applyNumberFormat="1" applyFill="1" applyAlignment="1">
      <alignment horizontal="center"/>
    </xf>
    <xf numFmtId="165" fontId="24" fillId="9" borderId="0" xfId="381" applyNumberFormat="1" applyFont="1" applyFill="1" applyAlignment="1">
      <alignment horizontal="center" wrapText="1"/>
    </xf>
    <xf numFmtId="0" fontId="24" fillId="9" borderId="0" xfId="381" applyFont="1" applyFill="1" applyAlignment="1">
      <alignment horizontal="right" wrapText="1"/>
    </xf>
    <xf numFmtId="169" fontId="3" fillId="9" borderId="0" xfId="381" applyNumberFormat="1" applyFill="1" applyAlignment="1">
      <alignment horizontal="center"/>
    </xf>
    <xf numFmtId="169" fontId="24" fillId="9" borderId="0" xfId="381" applyNumberFormat="1" applyFont="1" applyFill="1" applyAlignment="1">
      <alignment horizontal="center" wrapText="1"/>
    </xf>
    <xf numFmtId="165" fontId="26" fillId="9" borderId="0" xfId="381" applyNumberFormat="1" applyFont="1" applyFill="1" applyAlignment="1">
      <alignment horizontal="center"/>
    </xf>
    <xf numFmtId="0" fontId="24" fillId="9" borderId="0" xfId="381" applyFont="1" applyFill="1" applyAlignment="1">
      <alignment horizontal="right"/>
    </xf>
    <xf numFmtId="2" fontId="24" fillId="0" borderId="0" xfId="381" applyNumberFormat="1" applyFont="1" applyAlignment="1">
      <alignment horizontal="center"/>
    </xf>
    <xf numFmtId="2" fontId="3" fillId="9" borderId="0" xfId="381" applyNumberFormat="1" applyFill="1" applyAlignment="1">
      <alignment horizontal="center"/>
    </xf>
    <xf numFmtId="2" fontId="3" fillId="0" borderId="0" xfId="381" applyNumberFormat="1" applyAlignment="1">
      <alignment horizontal="center"/>
    </xf>
    <xf numFmtId="11" fontId="3" fillId="9" borderId="0" xfId="381" applyNumberFormat="1" applyFill="1" applyAlignment="1">
      <alignment horizontal="center"/>
    </xf>
    <xf numFmtId="11" fontId="24" fillId="9" borderId="0" xfId="381" applyNumberFormat="1" applyFont="1" applyFill="1" applyAlignment="1">
      <alignment horizontal="right"/>
    </xf>
    <xf numFmtId="11" fontId="3" fillId="0" borderId="0" xfId="381" applyNumberFormat="1" applyAlignment="1">
      <alignment horizontal="center"/>
    </xf>
    <xf numFmtId="11" fontId="24" fillId="9" borderId="0" xfId="381" applyNumberFormat="1" applyFont="1" applyFill="1" applyAlignment="1">
      <alignment horizontal="center"/>
    </xf>
    <xf numFmtId="11" fontId="26" fillId="9" borderId="0" xfId="381" applyNumberFormat="1" applyFont="1" applyFill="1" applyAlignment="1">
      <alignment horizontal="center"/>
    </xf>
    <xf numFmtId="11" fontId="22" fillId="8" borderId="0" xfId="382" applyNumberFormat="1" applyAlignment="1">
      <alignment horizontal="center"/>
    </xf>
    <xf numFmtId="11" fontId="3" fillId="0" borderId="0" xfId="381" applyNumberFormat="1"/>
    <xf numFmtId="0" fontId="24" fillId="0" borderId="0" xfId="381" applyFont="1" applyAlignment="1">
      <alignment horizontal="right"/>
    </xf>
    <xf numFmtId="11" fontId="24" fillId="0" borderId="0" xfId="381" applyNumberFormat="1" applyFont="1" applyAlignment="1">
      <alignment horizontal="right"/>
    </xf>
    <xf numFmtId="11" fontId="24" fillId="0" borderId="0" xfId="381" applyNumberFormat="1" applyFont="1" applyAlignment="1">
      <alignment horizontal="center"/>
    </xf>
    <xf numFmtId="166" fontId="3" fillId="0" borderId="0" xfId="381" applyNumberFormat="1" applyAlignment="1">
      <alignment horizontal="center"/>
    </xf>
    <xf numFmtId="166" fontId="24" fillId="0" borderId="0" xfId="381" applyNumberFormat="1" applyFont="1" applyAlignment="1">
      <alignment horizontal="right"/>
    </xf>
    <xf numFmtId="166" fontId="24" fillId="0" borderId="0" xfId="381" applyNumberFormat="1" applyFont="1" applyAlignment="1">
      <alignment horizontal="center"/>
    </xf>
    <xf numFmtId="165" fontId="3" fillId="0" borderId="0" xfId="381" applyNumberFormat="1" applyAlignment="1">
      <alignment horizontal="center"/>
    </xf>
    <xf numFmtId="169" fontId="3" fillId="0" borderId="0" xfId="381" applyNumberFormat="1" applyAlignment="1">
      <alignment horizontal="center"/>
    </xf>
    <xf numFmtId="4" fontId="24" fillId="0" borderId="0" xfId="381" applyNumberFormat="1" applyFont="1" applyAlignment="1">
      <alignment horizontal="center"/>
    </xf>
    <xf numFmtId="0" fontId="3" fillId="0" borderId="0" xfId="381" applyAlignment="1">
      <alignment horizontal="center" vertical="center"/>
    </xf>
    <xf numFmtId="0" fontId="3" fillId="0" borderId="0" xfId="381" applyAlignment="1">
      <alignment horizontal="center" vertical="center" wrapText="1"/>
    </xf>
    <xf numFmtId="176" fontId="24" fillId="9" borderId="0" xfId="381" applyNumberFormat="1" applyFont="1" applyFill="1" applyAlignment="1">
      <alignment horizontal="center"/>
    </xf>
    <xf numFmtId="4" fontId="24" fillId="9" borderId="0" xfId="381" applyNumberFormat="1" applyFont="1" applyFill="1" applyAlignment="1">
      <alignment horizontal="right"/>
    </xf>
    <xf numFmtId="0" fontId="28" fillId="0" borderId="0" xfId="381" applyFont="1"/>
    <xf numFmtId="0" fontId="3" fillId="0" borderId="0" xfId="381" applyAlignment="1">
      <alignment horizontal="right"/>
    </xf>
    <xf numFmtId="2" fontId="3" fillId="0" borderId="0" xfId="381" applyNumberFormat="1"/>
    <xf numFmtId="3" fontId="0" fillId="0" borderId="0" xfId="0" applyNumberFormat="1"/>
    <xf numFmtId="9" fontId="0" fillId="0" borderId="0" xfId="0" applyNumberFormat="1"/>
    <xf numFmtId="11" fontId="29" fillId="8" borderId="0" xfId="382" applyNumberFormat="1" applyFont="1" applyAlignment="1">
      <alignment horizontal="center"/>
    </xf>
    <xf numFmtId="11" fontId="24" fillId="2" borderId="0" xfId="381" applyNumberFormat="1" applyFont="1" applyFill="1" applyAlignment="1">
      <alignment horizont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395" applyFont="1" applyAlignment="1">
      <alignment vertical="center"/>
    </xf>
    <xf numFmtId="0" fontId="34" fillId="0" borderId="0" xfId="0" applyFont="1" applyAlignment="1">
      <alignment horizontal="left"/>
    </xf>
    <xf numFmtId="0" fontId="35" fillId="0" borderId="0" xfId="0" applyFont="1"/>
    <xf numFmtId="164" fontId="11" fillId="10" borderId="1" xfId="0" applyNumberFormat="1" applyFont="1" applyFill="1" applyBorder="1" applyAlignment="1">
      <alignment wrapText="1"/>
    </xf>
    <xf numFmtId="166" fontId="5" fillId="10" borderId="10" xfId="0" applyNumberFormat="1" applyFont="1" applyFill="1" applyBorder="1" applyAlignment="1">
      <alignment wrapText="1"/>
    </xf>
    <xf numFmtId="9" fontId="0" fillId="0" borderId="0" xfId="205" applyFont="1"/>
    <xf numFmtId="0" fontId="0" fillId="0" borderId="12" xfId="0" applyBorder="1" applyAlignment="1">
      <alignment horizontal="left"/>
    </xf>
    <xf numFmtId="0" fontId="3" fillId="0" borderId="0" xfId="381" applyAlignment="1">
      <alignment horizontal="left"/>
    </xf>
    <xf numFmtId="1" fontId="0" fillId="0" borderId="0" xfId="0" applyNumberFormat="1" applyAlignment="1">
      <alignment horizontal="left"/>
    </xf>
    <xf numFmtId="165" fontId="0" fillId="0" borderId="0" xfId="0" applyNumberFormat="1" applyAlignment="1">
      <alignment horizontal="right"/>
    </xf>
    <xf numFmtId="0" fontId="9" fillId="0" borderId="0" xfId="0" applyFont="1" applyAlignment="1">
      <alignment horizontal="left"/>
    </xf>
    <xf numFmtId="0" fontId="27" fillId="0" borderId="0" xfId="381" applyFont="1"/>
    <xf numFmtId="2" fontId="0" fillId="0" borderId="0" xfId="0" applyNumberFormat="1" applyAlignment="1">
      <alignment horizontal="right"/>
    </xf>
    <xf numFmtId="9" fontId="0" fillId="0" borderId="0" xfId="205" applyFont="1" applyAlignment="1">
      <alignment horizontal="right"/>
    </xf>
    <xf numFmtId="1" fontId="0" fillId="0" borderId="0" xfId="0" applyNumberFormat="1" applyAlignment="1">
      <alignment horizontal="right"/>
    </xf>
    <xf numFmtId="3" fontId="0" fillId="0" borderId="0" xfId="0" applyNumberFormat="1" applyAlignment="1">
      <alignment horizontal="right"/>
    </xf>
    <xf numFmtId="10" fontId="0" fillId="0" borderId="0" xfId="205" applyNumberFormat="1" applyFont="1" applyFill="1"/>
    <xf numFmtId="164" fontId="39" fillId="0" borderId="0" xfId="0" applyNumberFormat="1" applyFont="1" applyAlignment="1">
      <alignment horizontal="center" wrapText="1"/>
    </xf>
    <xf numFmtId="1" fontId="0" fillId="0" borderId="0" xfId="205" applyNumberFormat="1" applyFont="1"/>
    <xf numFmtId="164" fontId="21" fillId="5" borderId="1" xfId="0" applyNumberFormat="1" applyFont="1" applyFill="1" applyBorder="1" applyAlignment="1">
      <alignment wrapText="1"/>
    </xf>
    <xf numFmtId="164" fontId="9" fillId="0" borderId="12" xfId="0" applyNumberFormat="1" applyFont="1" applyBorder="1"/>
    <xf numFmtId="172" fontId="9" fillId="0" borderId="12" xfId="0" applyNumberFormat="1" applyFont="1" applyBorder="1"/>
    <xf numFmtId="2" fontId="9" fillId="0" borderId="12" xfId="0" applyNumberFormat="1" applyFont="1" applyBorder="1"/>
    <xf numFmtId="169" fontId="9" fillId="0" borderId="12" xfId="0" applyNumberFormat="1" applyFont="1" applyBorder="1"/>
    <xf numFmtId="0" fontId="9" fillId="0" borderId="12" xfId="0" applyFont="1" applyBorder="1"/>
    <xf numFmtId="11" fontId="9" fillId="0" borderId="12" xfId="0" applyNumberFormat="1" applyFont="1" applyBorder="1"/>
    <xf numFmtId="2" fontId="0" fillId="0" borderId="0" xfId="205" applyNumberFormat="1" applyFont="1"/>
    <xf numFmtId="0" fontId="4" fillId="0" borderId="0" xfId="0" applyFont="1" applyAlignment="1">
      <alignment horizontal="center" vertical="center" wrapText="1"/>
    </xf>
    <xf numFmtId="0" fontId="4" fillId="0" borderId="0" xfId="0" applyFont="1" applyAlignment="1">
      <alignment wrapText="1"/>
    </xf>
    <xf numFmtId="0" fontId="40" fillId="0" borderId="13" xfId="0" applyFont="1" applyBorder="1" applyProtection="1">
      <protection locked="0"/>
    </xf>
    <xf numFmtId="0" fontId="40" fillId="0" borderId="14" xfId="0" applyFont="1" applyBorder="1" applyAlignment="1" applyProtection="1">
      <alignment horizontal="center"/>
      <protection locked="0"/>
    </xf>
    <xf numFmtId="0" fontId="40" fillId="0" borderId="15" xfId="0" applyFont="1" applyBorder="1" applyProtection="1">
      <protection locked="0"/>
    </xf>
    <xf numFmtId="0" fontId="40" fillId="0" borderId="16" xfId="0" applyFont="1" applyBorder="1" applyAlignment="1" applyProtection="1">
      <alignment horizontal="center"/>
      <protection locked="0"/>
    </xf>
    <xf numFmtId="0" fontId="40" fillId="0" borderId="17" xfId="0" applyFont="1" applyBorder="1" applyAlignment="1" applyProtection="1">
      <alignment horizontal="center"/>
      <protection locked="0"/>
    </xf>
    <xf numFmtId="0" fontId="40" fillId="0" borderId="15" xfId="0" applyFont="1" applyBorder="1" applyAlignment="1" applyProtection="1">
      <alignment horizontal="center"/>
      <protection locked="0"/>
    </xf>
    <xf numFmtId="0" fontId="41" fillId="0" borderId="0" xfId="0" applyFont="1" applyAlignment="1">
      <alignment horizontal="right"/>
    </xf>
    <xf numFmtId="0" fontId="41" fillId="0" borderId="0" xfId="0" applyFont="1"/>
    <xf numFmtId="0" fontId="3" fillId="0" borderId="0" xfId="395" applyAlignment="1">
      <alignment horizontal="center"/>
    </xf>
    <xf numFmtId="0" fontId="3" fillId="0" borderId="0" xfId="395"/>
    <xf numFmtId="0" fontId="23" fillId="9" borderId="0" xfId="395" applyFont="1" applyFill="1" applyAlignment="1">
      <alignment horizontal="left"/>
    </xf>
    <xf numFmtId="0" fontId="23" fillId="9" borderId="0" xfId="395" applyFont="1" applyFill="1" applyAlignment="1">
      <alignment horizontal="left" wrapText="1"/>
    </xf>
    <xf numFmtId="0" fontId="24" fillId="9" borderId="0" xfId="395" applyFont="1" applyFill="1"/>
    <xf numFmtId="0" fontId="23" fillId="9" borderId="0" xfId="395" applyFont="1" applyFill="1"/>
    <xf numFmtId="0" fontId="23" fillId="9" borderId="0" xfId="395" applyFont="1" applyFill="1" applyAlignment="1">
      <alignment horizontal="left" vertical="top" wrapText="1"/>
    </xf>
    <xf numFmtId="0" fontId="23" fillId="9" borderId="0" xfId="395" applyFont="1" applyFill="1" applyAlignment="1">
      <alignment horizontal="center" vertical="top" wrapText="1"/>
    </xf>
    <xf numFmtId="0" fontId="25" fillId="9" borderId="0" xfId="395" applyFont="1" applyFill="1" applyAlignment="1">
      <alignment horizontal="center" vertical="top" wrapText="1"/>
    </xf>
    <xf numFmtId="0" fontId="23" fillId="9" borderId="0" xfId="395" applyFont="1" applyFill="1" applyAlignment="1">
      <alignment horizontal="right" vertical="center" wrapText="1"/>
    </xf>
    <xf numFmtId="0" fontId="23" fillId="9" borderId="0" xfId="395" applyFont="1" applyFill="1" applyAlignment="1">
      <alignment horizontal="right" wrapText="1"/>
    </xf>
    <xf numFmtId="174" fontId="23" fillId="9" borderId="0" xfId="395" applyNumberFormat="1" applyFont="1" applyFill="1" applyAlignment="1">
      <alignment horizontal="center"/>
    </xf>
    <xf numFmtId="175" fontId="23" fillId="9" borderId="0" xfId="395" applyNumberFormat="1" applyFont="1" applyFill="1" applyAlignment="1">
      <alignment horizontal="center"/>
    </xf>
    <xf numFmtId="0" fontId="23" fillId="9" borderId="0" xfId="395" applyFont="1" applyFill="1" applyAlignment="1">
      <alignment horizontal="center" wrapText="1"/>
    </xf>
    <xf numFmtId="164" fontId="24" fillId="9" borderId="0" xfId="395" applyNumberFormat="1" applyFont="1" applyFill="1" applyAlignment="1">
      <alignment horizontal="center" wrapText="1"/>
    </xf>
    <xf numFmtId="164" fontId="24" fillId="9" borderId="0" xfId="395" applyNumberFormat="1" applyFont="1" applyFill="1" applyAlignment="1">
      <alignment horizontal="center"/>
    </xf>
    <xf numFmtId="173" fontId="24" fillId="9" borderId="0" xfId="395" applyNumberFormat="1" applyFont="1" applyFill="1" applyAlignment="1">
      <alignment horizontal="center"/>
    </xf>
    <xf numFmtId="2" fontId="24" fillId="9" borderId="0" xfId="395" applyNumberFormat="1" applyFont="1" applyFill="1" applyAlignment="1">
      <alignment horizontal="center" wrapText="1"/>
    </xf>
    <xf numFmtId="2" fontId="24" fillId="9" borderId="0" xfId="395" applyNumberFormat="1" applyFont="1" applyFill="1" applyAlignment="1">
      <alignment horizontal="center"/>
    </xf>
    <xf numFmtId="176" fontId="24" fillId="9" borderId="0" xfId="395" applyNumberFormat="1" applyFont="1" applyFill="1" applyAlignment="1">
      <alignment horizontal="center" wrapText="1"/>
    </xf>
    <xf numFmtId="166" fontId="24" fillId="9" borderId="0" xfId="395" applyNumberFormat="1" applyFont="1" applyFill="1" applyAlignment="1">
      <alignment horizontal="center"/>
    </xf>
    <xf numFmtId="166" fontId="24" fillId="9" borderId="0" xfId="395" applyNumberFormat="1" applyFont="1" applyFill="1" applyAlignment="1">
      <alignment horizontal="center" wrapText="1"/>
    </xf>
    <xf numFmtId="3" fontId="24" fillId="9" borderId="0" xfId="395" applyNumberFormat="1" applyFont="1" applyFill="1" applyAlignment="1">
      <alignment horizontal="center" wrapText="1"/>
    </xf>
    <xf numFmtId="3" fontId="24" fillId="9" borderId="0" xfId="395" applyNumberFormat="1" applyFont="1" applyFill="1" applyAlignment="1">
      <alignment horizontal="center"/>
    </xf>
    <xf numFmtId="164" fontId="24" fillId="9" borderId="0" xfId="395" applyNumberFormat="1" applyFont="1" applyFill="1" applyAlignment="1" applyProtection="1">
      <alignment horizontal="center" wrapText="1"/>
      <protection locked="0"/>
    </xf>
    <xf numFmtId="170" fontId="24" fillId="9" borderId="0" xfId="395" applyNumberFormat="1" applyFont="1" applyFill="1" applyAlignment="1">
      <alignment horizontal="center" wrapText="1"/>
    </xf>
    <xf numFmtId="170" fontId="24" fillId="9" borderId="0" xfId="395" applyNumberFormat="1" applyFont="1" applyFill="1" applyAlignment="1">
      <alignment horizontal="center"/>
    </xf>
    <xf numFmtId="0" fontId="24" fillId="9" borderId="0" xfId="395" applyFont="1" applyFill="1" applyAlignment="1">
      <alignment horizontal="center" wrapText="1"/>
    </xf>
    <xf numFmtId="4" fontId="24" fillId="9" borderId="0" xfId="395" applyNumberFormat="1" applyFont="1" applyFill="1" applyAlignment="1">
      <alignment horizontal="center" wrapText="1"/>
    </xf>
    <xf numFmtId="4" fontId="24" fillId="9" borderId="0" xfId="395" applyNumberFormat="1" applyFont="1" applyFill="1" applyAlignment="1">
      <alignment horizontal="center"/>
    </xf>
    <xf numFmtId="165" fontId="3" fillId="9" borderId="0" xfId="395" applyNumberFormat="1" applyFill="1" applyAlignment="1">
      <alignment horizontal="center"/>
    </xf>
    <xf numFmtId="165" fontId="24" fillId="9" borderId="0" xfId="395" applyNumberFormat="1" applyFont="1" applyFill="1" applyAlignment="1">
      <alignment horizontal="center" wrapText="1"/>
    </xf>
    <xf numFmtId="0" fontId="24" fillId="9" borderId="0" xfId="395" applyFont="1" applyFill="1" applyAlignment="1">
      <alignment horizontal="right" wrapText="1"/>
    </xf>
    <xf numFmtId="169" fontId="3" fillId="9" borderId="0" xfId="395" applyNumberFormat="1" applyFill="1" applyAlignment="1">
      <alignment horizontal="center"/>
    </xf>
    <xf numFmtId="169" fontId="24" fillId="9" borderId="0" xfId="395" applyNumberFormat="1" applyFont="1" applyFill="1" applyAlignment="1">
      <alignment horizontal="center" wrapText="1"/>
    </xf>
    <xf numFmtId="165" fontId="26" fillId="9" borderId="0" xfId="395" applyNumberFormat="1" applyFont="1" applyFill="1" applyAlignment="1">
      <alignment horizontal="center"/>
    </xf>
    <xf numFmtId="0" fontId="24" fillId="9" borderId="0" xfId="395" applyFont="1" applyFill="1" applyAlignment="1">
      <alignment horizontal="right"/>
    </xf>
    <xf numFmtId="0" fontId="24" fillId="0" borderId="0" xfId="395" applyFont="1" applyAlignment="1">
      <alignment horizontal="right"/>
    </xf>
    <xf numFmtId="2" fontId="24" fillId="0" borderId="0" xfId="395" applyNumberFormat="1" applyFont="1" applyAlignment="1">
      <alignment horizontal="center"/>
    </xf>
    <xf numFmtId="2" fontId="3" fillId="9" borderId="0" xfId="395" applyNumberFormat="1" applyFill="1" applyAlignment="1">
      <alignment horizontal="center"/>
    </xf>
    <xf numFmtId="2" fontId="3" fillId="0" borderId="0" xfId="395" applyNumberFormat="1" applyAlignment="1">
      <alignment horizontal="center"/>
    </xf>
    <xf numFmtId="11" fontId="3" fillId="9" borderId="0" xfId="395" applyNumberFormat="1" applyFill="1" applyAlignment="1">
      <alignment horizontal="center"/>
    </xf>
    <xf numFmtId="11" fontId="24" fillId="9" borderId="0" xfId="395" applyNumberFormat="1" applyFont="1" applyFill="1" applyAlignment="1">
      <alignment horizontal="right"/>
    </xf>
    <xf numFmtId="11" fontId="24" fillId="0" borderId="0" xfId="395" applyNumberFormat="1" applyFont="1" applyAlignment="1">
      <alignment horizontal="right"/>
    </xf>
    <xf numFmtId="11" fontId="3" fillId="0" borderId="0" xfId="395" applyNumberFormat="1" applyAlignment="1">
      <alignment horizontal="center"/>
    </xf>
    <xf numFmtId="11" fontId="24" fillId="9" borderId="0" xfId="395" applyNumberFormat="1" applyFont="1" applyFill="1" applyAlignment="1">
      <alignment horizontal="center"/>
    </xf>
    <xf numFmtId="4" fontId="24" fillId="0" borderId="0" xfId="395" applyNumberFormat="1" applyFont="1" applyAlignment="1">
      <alignment horizontal="center"/>
    </xf>
    <xf numFmtId="11" fontId="24" fillId="0" borderId="0" xfId="395" applyNumberFormat="1" applyFont="1" applyAlignment="1">
      <alignment horizontal="center"/>
    </xf>
    <xf numFmtId="166" fontId="3" fillId="0" borderId="0" xfId="395" applyNumberFormat="1" applyAlignment="1">
      <alignment horizontal="center"/>
    </xf>
    <xf numFmtId="166" fontId="24" fillId="0" borderId="0" xfId="395" applyNumberFormat="1" applyFont="1" applyAlignment="1">
      <alignment horizontal="center"/>
    </xf>
    <xf numFmtId="165" fontId="3" fillId="0" borderId="0" xfId="395" applyNumberFormat="1" applyAlignment="1">
      <alignment horizontal="center"/>
    </xf>
    <xf numFmtId="169" fontId="3" fillId="0" borderId="0" xfId="395" applyNumberFormat="1" applyAlignment="1">
      <alignment horizontal="center"/>
    </xf>
    <xf numFmtId="11" fontId="26" fillId="9" borderId="0" xfId="395" applyNumberFormat="1" applyFont="1" applyFill="1" applyAlignment="1">
      <alignment horizontal="center"/>
    </xf>
    <xf numFmtId="0" fontId="24" fillId="9" borderId="1" xfId="381" applyFont="1" applyFill="1" applyBorder="1" applyAlignment="1">
      <alignment horizontal="right"/>
    </xf>
    <xf numFmtId="11" fontId="26" fillId="9" borderId="1" xfId="381" applyNumberFormat="1" applyFont="1" applyFill="1" applyBorder="1" applyAlignment="1">
      <alignment horizontal="center"/>
    </xf>
    <xf numFmtId="11" fontId="24" fillId="9" borderId="1" xfId="381" applyNumberFormat="1" applyFont="1" applyFill="1" applyBorder="1" applyAlignment="1">
      <alignment horizontal="right"/>
    </xf>
    <xf numFmtId="11" fontId="24" fillId="9" borderId="1" xfId="381" applyNumberFormat="1" applyFont="1" applyFill="1" applyBorder="1" applyAlignment="1">
      <alignment horizontal="center"/>
    </xf>
    <xf numFmtId="11" fontId="22" fillId="8" borderId="1" xfId="382" applyNumberFormat="1" applyBorder="1" applyAlignment="1">
      <alignment horizontal="center"/>
    </xf>
    <xf numFmtId="176" fontId="24" fillId="9" borderId="0" xfId="395" applyNumberFormat="1" applyFont="1" applyFill="1" applyAlignment="1">
      <alignment horizontal="center"/>
    </xf>
    <xf numFmtId="4" fontId="24" fillId="9" borderId="0" xfId="395" applyNumberFormat="1" applyFont="1" applyFill="1" applyAlignment="1">
      <alignment horizontal="right"/>
    </xf>
    <xf numFmtId="0" fontId="8" fillId="0" borderId="0" xfId="395" applyFont="1"/>
    <xf numFmtId="0" fontId="3" fillId="0" borderId="0" xfId="395" applyAlignment="1">
      <alignment horizontal="center" vertical="center"/>
    </xf>
    <xf numFmtId="2" fontId="3" fillId="0" borderId="0" xfId="395" applyNumberFormat="1" applyAlignment="1">
      <alignment horizontal="center" vertical="center"/>
    </xf>
    <xf numFmtId="2" fontId="3" fillId="0" borderId="0" xfId="395" applyNumberFormat="1" applyAlignment="1">
      <alignment horizontal="left" vertical="center"/>
    </xf>
    <xf numFmtId="0" fontId="43" fillId="0" borderId="12" xfId="395" applyFont="1" applyBorder="1" applyAlignment="1">
      <alignment vertical="center" wrapText="1"/>
    </xf>
    <xf numFmtId="0" fontId="44" fillId="0" borderId="12" xfId="395" applyFont="1" applyBorder="1" applyAlignment="1">
      <alignment horizontal="center" vertical="center" wrapText="1"/>
    </xf>
    <xf numFmtId="2" fontId="44" fillId="0" borderId="12" xfId="395" applyNumberFormat="1" applyFont="1" applyBorder="1" applyAlignment="1">
      <alignment horizontal="center" vertical="center" wrapText="1"/>
    </xf>
    <xf numFmtId="0" fontId="43" fillId="0" borderId="12" xfId="395" applyFont="1" applyBorder="1" applyAlignment="1">
      <alignment wrapText="1"/>
    </xf>
    <xf numFmtId="0" fontId="43" fillId="0" borderId="12" xfId="395" applyFont="1" applyBorder="1" applyAlignment="1">
      <alignment horizontal="center" wrapText="1"/>
    </xf>
    <xf numFmtId="0" fontId="43" fillId="0" borderId="12" xfId="395" applyFont="1" applyBorder="1" applyAlignment="1">
      <alignment horizontal="center" vertical="center" wrapText="1"/>
    </xf>
    <xf numFmtId="2" fontId="3" fillId="0" borderId="12" xfId="395" applyNumberFormat="1" applyBorder="1" applyAlignment="1">
      <alignment horizontal="center" vertical="center"/>
    </xf>
    <xf numFmtId="166" fontId="43" fillId="0" borderId="12" xfId="395" applyNumberFormat="1" applyFont="1" applyBorder="1" applyAlignment="1">
      <alignment horizontal="center" vertical="center" wrapText="1"/>
    </xf>
    <xf numFmtId="165" fontId="43" fillId="0" borderId="12" xfId="395" applyNumberFormat="1" applyFont="1" applyBorder="1" applyAlignment="1">
      <alignment horizontal="center" vertical="center" wrapText="1"/>
    </xf>
    <xf numFmtId="11" fontId="3" fillId="0" borderId="12" xfId="395" applyNumberFormat="1" applyBorder="1" applyAlignment="1">
      <alignment horizontal="center" vertical="center"/>
    </xf>
    <xf numFmtId="11" fontId="43" fillId="0" borderId="12" xfId="395" applyNumberFormat="1" applyFont="1" applyBorder="1" applyAlignment="1">
      <alignment horizontal="center" vertical="center" wrapText="1"/>
    </xf>
    <xf numFmtId="0" fontId="3" fillId="0" borderId="12" xfId="395" applyBorder="1"/>
    <xf numFmtId="0" fontId="3" fillId="0" borderId="12" xfId="395" applyBorder="1" applyAlignment="1">
      <alignment horizontal="center"/>
    </xf>
    <xf numFmtId="1" fontId="43" fillId="0" borderId="12" xfId="395" applyNumberFormat="1" applyFont="1" applyBorder="1" applyAlignment="1">
      <alignment horizontal="center" vertical="center" wrapText="1"/>
    </xf>
    <xf numFmtId="166" fontId="3" fillId="0" borderId="12" xfId="395" applyNumberFormat="1" applyBorder="1" applyAlignment="1">
      <alignment horizontal="center" vertical="center"/>
    </xf>
    <xf numFmtId="165" fontId="3" fillId="0" borderId="12" xfId="395" applyNumberFormat="1" applyBorder="1" applyAlignment="1">
      <alignment horizontal="center" vertical="center"/>
    </xf>
    <xf numFmtId="0" fontId="3" fillId="0" borderId="12" xfId="395" applyBorder="1" applyAlignment="1">
      <alignment horizontal="center" vertical="center"/>
    </xf>
    <xf numFmtId="1" fontId="3" fillId="0" borderId="12" xfId="395" applyNumberFormat="1" applyBorder="1" applyAlignment="1">
      <alignment horizontal="center" vertical="center"/>
    </xf>
    <xf numFmtId="173" fontId="0" fillId="0" borderId="0" xfId="383" applyNumberFormat="1" applyFont="1" applyFill="1"/>
    <xf numFmtId="9" fontId="0" fillId="0" borderId="0" xfId="383" applyFont="1" applyFill="1"/>
    <xf numFmtId="0" fontId="3" fillId="0" borderId="0" xfId="395" applyAlignment="1">
      <alignment vertical="top" wrapText="1"/>
    </xf>
    <xf numFmtId="0" fontId="3" fillId="0" borderId="0" xfId="395" applyAlignment="1">
      <alignment wrapText="1"/>
    </xf>
    <xf numFmtId="11" fontId="3" fillId="0" borderId="0" xfId="395" applyNumberFormat="1" applyAlignment="1">
      <alignment horizontal="center" vertical="center" wrapText="1"/>
    </xf>
    <xf numFmtId="0" fontId="43" fillId="0" borderId="0" xfId="395" applyFont="1"/>
    <xf numFmtId="0" fontId="3" fillId="0" borderId="0" xfId="395" applyAlignment="1">
      <alignment horizontal="left" vertical="center"/>
    </xf>
    <xf numFmtId="11" fontId="3" fillId="0" borderId="0" xfId="395" applyNumberFormat="1"/>
    <xf numFmtId="0" fontId="3" fillId="0" borderId="12" xfId="395" applyBorder="1" applyAlignment="1">
      <alignment horizontal="center" vertical="center" wrapText="1"/>
    </xf>
    <xf numFmtId="11" fontId="3" fillId="0" borderId="12" xfId="395" applyNumberFormat="1" applyBorder="1" applyAlignment="1">
      <alignment horizontal="center" vertical="center" wrapText="1"/>
    </xf>
    <xf numFmtId="0" fontId="47" fillId="0" borderId="12" xfId="395" applyFont="1" applyBorder="1" applyAlignment="1">
      <alignment horizontal="center" vertical="center" wrapText="1"/>
    </xf>
    <xf numFmtId="0" fontId="3" fillId="0" borderId="12" xfId="395" applyBorder="1" applyAlignment="1">
      <alignment vertical="center" wrapText="1"/>
    </xf>
    <xf numFmtId="0" fontId="3" fillId="0" borderId="5" xfId="395" applyBorder="1" applyAlignment="1">
      <alignment vertical="center" wrapText="1"/>
    </xf>
    <xf numFmtId="0" fontId="48" fillId="0" borderId="0" xfId="395" applyFont="1"/>
    <xf numFmtId="0" fontId="8" fillId="0" borderId="12" xfId="395" applyFont="1" applyBorder="1" applyAlignment="1">
      <alignment horizontal="center"/>
    </xf>
    <xf numFmtId="0" fontId="8" fillId="0" borderId="12" xfId="395" applyFont="1" applyBorder="1" applyAlignment="1">
      <alignment horizontal="center" vertical="center" wrapText="1"/>
    </xf>
    <xf numFmtId="0" fontId="3" fillId="0" borderId="0" xfId="395" applyAlignment="1">
      <alignment horizontal="center" wrapText="1"/>
    </xf>
    <xf numFmtId="2" fontId="3" fillId="0" borderId="12" xfId="395" applyNumberFormat="1" applyBorder="1" applyAlignment="1">
      <alignment horizontal="center" vertical="center" wrapText="1"/>
    </xf>
    <xf numFmtId="0" fontId="3" fillId="0" borderId="0" xfId="395" applyAlignment="1">
      <alignment vertical="center" wrapText="1"/>
    </xf>
    <xf numFmtId="0" fontId="48" fillId="0" borderId="0" xfId="395" applyFont="1" applyAlignment="1">
      <alignment wrapText="1"/>
    </xf>
    <xf numFmtId="0" fontId="3" fillId="0" borderId="12" xfId="395" applyBorder="1" applyAlignment="1">
      <alignment horizontal="center" wrapText="1"/>
    </xf>
    <xf numFmtId="11" fontId="3" fillId="0" borderId="12" xfId="395" applyNumberFormat="1" applyBorder="1" applyAlignment="1">
      <alignment horizontal="center" wrapText="1"/>
    </xf>
    <xf numFmtId="2" fontId="3" fillId="0" borderId="12" xfId="395" applyNumberFormat="1" applyBorder="1" applyAlignment="1">
      <alignment horizontal="center" wrapText="1"/>
    </xf>
    <xf numFmtId="0" fontId="3" fillId="0" borderId="12" xfId="395" applyBorder="1" applyAlignment="1">
      <alignment vertical="top" wrapText="1"/>
    </xf>
    <xf numFmtId="0" fontId="3" fillId="0" borderId="12" xfId="395" applyBorder="1" applyAlignment="1">
      <alignment wrapText="1"/>
    </xf>
    <xf numFmtId="11" fontId="3" fillId="0" borderId="0" xfId="395" applyNumberFormat="1" applyAlignment="1">
      <alignment horizontal="center" wrapText="1"/>
    </xf>
    <xf numFmtId="0" fontId="48" fillId="0" borderId="0" xfId="395" applyFont="1" applyAlignment="1">
      <alignment vertical="center" wrapText="1"/>
    </xf>
    <xf numFmtId="49" fontId="8" fillId="0" borderId="12" xfId="395" applyNumberFormat="1" applyFont="1" applyBorder="1" applyAlignment="1">
      <alignment horizontal="center" vertical="center" wrapText="1"/>
    </xf>
    <xf numFmtId="11" fontId="3" fillId="0" borderId="12" xfId="395" applyNumberFormat="1" applyBorder="1" applyAlignment="1">
      <alignment horizontal="center"/>
    </xf>
    <xf numFmtId="0" fontId="47" fillId="0" borderId="12" xfId="395" applyFont="1" applyBorder="1" applyAlignment="1">
      <alignment vertical="center" wrapText="1"/>
    </xf>
    <xf numFmtId="0" fontId="8" fillId="0" borderId="12" xfId="395" applyFont="1" applyBorder="1" applyAlignment="1">
      <alignment horizontal="center" wrapText="1"/>
    </xf>
    <xf numFmtId="0" fontId="3" fillId="0" borderId="12" xfId="395" applyBorder="1" applyAlignment="1">
      <alignment vertical="center"/>
    </xf>
    <xf numFmtId="0" fontId="3" fillId="0" borderId="0" xfId="395" applyAlignment="1">
      <alignment horizontal="left"/>
    </xf>
    <xf numFmtId="177" fontId="3" fillId="0" borderId="0" xfId="395" applyNumberFormat="1" applyAlignment="1">
      <alignment horizontal="center"/>
    </xf>
    <xf numFmtId="0" fontId="52" fillId="0" borderId="0" xfId="396"/>
    <xf numFmtId="0" fontId="53" fillId="0" borderId="0" xfId="395" applyFont="1"/>
    <xf numFmtId="0" fontId="53" fillId="0" borderId="0" xfId="395" applyFont="1" applyAlignment="1">
      <alignment horizontal="left" vertical="center"/>
    </xf>
    <xf numFmtId="0" fontId="3" fillId="0" borderId="20" xfId="395" applyBorder="1" applyAlignment="1">
      <alignment vertical="center" wrapText="1"/>
    </xf>
    <xf numFmtId="0" fontId="3" fillId="0" borderId="21" xfId="395" applyBorder="1" applyAlignment="1">
      <alignment horizontal="left" vertical="center"/>
    </xf>
    <xf numFmtId="11" fontId="3" fillId="0" borderId="21" xfId="395" applyNumberFormat="1" applyBorder="1" applyAlignment="1">
      <alignment horizontal="center" vertical="center"/>
    </xf>
    <xf numFmtId="0" fontId="3" fillId="0" borderId="21" xfId="395" applyBorder="1" applyAlignment="1">
      <alignment horizontal="center" vertical="center"/>
    </xf>
    <xf numFmtId="0" fontId="3" fillId="0" borderId="22" xfId="395" applyBorder="1" applyAlignment="1">
      <alignment horizontal="center" vertical="center"/>
    </xf>
    <xf numFmtId="0" fontId="3" fillId="0" borderId="23" xfId="395" applyBorder="1" applyAlignment="1">
      <alignment vertical="center" wrapText="1"/>
    </xf>
    <xf numFmtId="0" fontId="3" fillId="0" borderId="12" xfId="395" applyBorder="1" applyAlignment="1">
      <alignment horizontal="left" vertical="center"/>
    </xf>
    <xf numFmtId="0" fontId="3" fillId="0" borderId="24" xfId="395" applyBorder="1" applyAlignment="1">
      <alignment horizontal="center" vertical="center"/>
    </xf>
    <xf numFmtId="0" fontId="42" fillId="0" borderId="28" xfId="395" applyFont="1" applyBorder="1" applyAlignment="1">
      <alignment horizontal="center" vertical="center"/>
    </xf>
    <xf numFmtId="177" fontId="42" fillId="0" borderId="28" xfId="395" applyNumberFormat="1" applyFont="1" applyBorder="1" applyAlignment="1">
      <alignment horizontal="center" vertical="center"/>
    </xf>
    <xf numFmtId="0" fontId="42" fillId="0" borderId="28" xfId="395" applyFont="1" applyBorder="1" applyAlignment="1">
      <alignment horizontal="center" vertical="center" wrapText="1"/>
    </xf>
    <xf numFmtId="0" fontId="42" fillId="0" borderId="29" xfId="395" applyFont="1" applyBorder="1" applyAlignment="1">
      <alignment horizontal="center" vertical="center"/>
    </xf>
    <xf numFmtId="0" fontId="42" fillId="0" borderId="0" xfId="395" applyFont="1" applyAlignment="1">
      <alignment horizontal="center"/>
    </xf>
    <xf numFmtId="0" fontId="8" fillId="0" borderId="0" xfId="395" applyFont="1" applyAlignment="1">
      <alignment horizontal="left"/>
    </xf>
    <xf numFmtId="11" fontId="3" fillId="0" borderId="24" xfId="395" applyNumberFormat="1" applyBorder="1" applyAlignment="1">
      <alignment horizontal="center" vertical="center"/>
    </xf>
    <xf numFmtId="11" fontId="3" fillId="0" borderId="23" xfId="395" applyNumberFormat="1" applyBorder="1" applyAlignment="1">
      <alignment horizontal="center" vertical="center"/>
    </xf>
    <xf numFmtId="11" fontId="3" fillId="0" borderId="22" xfId="395" applyNumberFormat="1" applyBorder="1" applyAlignment="1">
      <alignment horizontal="center" vertical="center"/>
    </xf>
    <xf numFmtId="11" fontId="3" fillId="0" borderId="20" xfId="395" applyNumberFormat="1" applyBorder="1" applyAlignment="1">
      <alignment horizontal="center" vertical="center"/>
    </xf>
    <xf numFmtId="172" fontId="0" fillId="0" borderId="0" xfId="0" applyNumberFormat="1"/>
    <xf numFmtId="0" fontId="55" fillId="0" borderId="0" xfId="397"/>
    <xf numFmtId="0" fontId="55" fillId="0" borderId="0" xfId="397" applyAlignment="1">
      <alignment horizontal="right"/>
    </xf>
    <xf numFmtId="0" fontId="8" fillId="0" borderId="0" xfId="398" applyFont="1" applyBorder="1">
      <alignment vertical="center"/>
    </xf>
    <xf numFmtId="0" fontId="55" fillId="0" borderId="0" xfId="397" applyAlignment="1">
      <alignment vertical="center"/>
    </xf>
    <xf numFmtId="0" fontId="58" fillId="0" borderId="0" xfId="397" applyFont="1" applyAlignment="1">
      <alignment horizontal="right" vertical="center"/>
    </xf>
    <xf numFmtId="0" fontId="59" fillId="0" borderId="8" xfId="399" applyBorder="1" applyAlignment="1" applyProtection="1">
      <alignment horizontal="left" vertical="center"/>
      <protection locked="0"/>
    </xf>
    <xf numFmtId="0" fontId="59" fillId="0" borderId="0" xfId="399" applyBorder="1" applyAlignment="1" applyProtection="1">
      <alignment horizontal="left" vertical="center"/>
      <protection locked="0"/>
    </xf>
    <xf numFmtId="0" fontId="58" fillId="0" borderId="1" xfId="397" applyFont="1" applyBorder="1" applyAlignment="1">
      <alignment horizontal="center" vertical="center"/>
    </xf>
    <xf numFmtId="0" fontId="58" fillId="0" borderId="1" xfId="397" applyFont="1" applyBorder="1" applyAlignment="1">
      <alignment horizontal="left" vertical="center"/>
    </xf>
    <xf numFmtId="0" fontId="55" fillId="0" borderId="1" xfId="397" applyBorder="1" applyAlignment="1">
      <alignment vertical="center"/>
    </xf>
    <xf numFmtId="0" fontId="59" fillId="12" borderId="12" xfId="399" applyFill="1" applyBorder="1" applyAlignment="1" applyProtection="1">
      <alignment horizontal="center" vertical="center"/>
      <protection locked="0"/>
    </xf>
    <xf numFmtId="0" fontId="55" fillId="12" borderId="12" xfId="400" applyFont="1" applyBorder="1" applyAlignment="1" applyProtection="1">
      <alignment horizontal="center" vertical="center" wrapText="1"/>
    </xf>
    <xf numFmtId="164" fontId="59" fillId="0" borderId="0" xfId="400" applyNumberFormat="1" applyFont="1" applyFill="1" applyBorder="1" applyAlignment="1" applyProtection="1">
      <alignment horizontal="left" vertical="center"/>
      <protection locked="0"/>
    </xf>
    <xf numFmtId="0" fontId="55" fillId="0" borderId="0" xfId="397" applyAlignment="1">
      <alignment horizontal="left" vertical="center"/>
    </xf>
    <xf numFmtId="3" fontId="55" fillId="12" borderId="12" xfId="400" applyNumberFormat="1" applyFont="1" applyBorder="1" applyAlignment="1" applyProtection="1">
      <alignment horizontal="center" vertical="center"/>
    </xf>
    <xf numFmtId="3" fontId="55" fillId="13" borderId="12" xfId="400" applyNumberFormat="1" applyFont="1" applyFill="1" applyBorder="1" applyAlignment="1" applyProtection="1">
      <alignment horizontal="center" vertical="center"/>
    </xf>
    <xf numFmtId="3" fontId="55" fillId="0" borderId="0" xfId="400" applyNumberFormat="1" applyFont="1" applyFill="1" applyBorder="1" applyAlignment="1" applyProtection="1">
      <alignment horizontal="center" vertical="center"/>
    </xf>
    <xf numFmtId="0" fontId="24" fillId="0" borderId="0" xfId="397" applyFont="1" applyAlignment="1">
      <alignment vertical="center"/>
    </xf>
    <xf numFmtId="3" fontId="55" fillId="0" borderId="0" xfId="400" applyNumberFormat="1" applyFont="1" applyFill="1" applyBorder="1" applyAlignment="1" applyProtection="1">
      <alignment horizontal="left" vertical="center"/>
    </xf>
    <xf numFmtId="0" fontId="57" fillId="0" borderId="0" xfId="397" applyFont="1" applyAlignment="1">
      <alignment vertical="center"/>
    </xf>
    <xf numFmtId="0" fontId="55" fillId="0" borderId="0" xfId="397" applyAlignment="1">
      <alignment horizontal="center" vertical="center"/>
    </xf>
    <xf numFmtId="0" fontId="55" fillId="0" borderId="1" xfId="397" applyBorder="1" applyAlignment="1">
      <alignment horizontal="center" vertical="center"/>
    </xf>
    <xf numFmtId="0" fontId="24" fillId="0" borderId="0" xfId="397" applyFont="1" applyAlignment="1">
      <alignment horizontal="right" vertical="center" wrapText="1"/>
    </xf>
    <xf numFmtId="0" fontId="24" fillId="0" borderId="0" xfId="397" applyFont="1" applyAlignment="1">
      <alignment horizontal="center" vertical="center" wrapText="1"/>
    </xf>
    <xf numFmtId="0" fontId="59" fillId="12" borderId="18" xfId="399" applyFill="1" applyBorder="1" applyAlignment="1" applyProtection="1">
      <alignment horizontal="center" vertical="center"/>
      <protection locked="0"/>
    </xf>
    <xf numFmtId="0" fontId="62" fillId="0" borderId="0" xfId="397" applyFont="1" applyAlignment="1">
      <alignment vertical="center"/>
    </xf>
    <xf numFmtId="2" fontId="59" fillId="0" borderId="12" xfId="399" applyNumberFormat="1" applyBorder="1" applyAlignment="1" applyProtection="1">
      <alignment horizontal="center" vertical="center"/>
      <protection locked="0"/>
    </xf>
    <xf numFmtId="0" fontId="59" fillId="0" borderId="12" xfId="399" applyBorder="1" applyAlignment="1" applyProtection="1">
      <alignment horizontal="center" vertical="center"/>
    </xf>
    <xf numFmtId="0" fontId="59" fillId="0" borderId="0" xfId="399" applyBorder="1" applyAlignment="1" applyProtection="1">
      <alignment horizontal="left" vertical="center"/>
    </xf>
    <xf numFmtId="0" fontId="63" fillId="0" borderId="0" xfId="397" applyFont="1" applyAlignment="1">
      <alignment horizontal="center" vertical="center"/>
    </xf>
    <xf numFmtId="164" fontId="59" fillId="14" borderId="12" xfId="400" applyNumberFormat="1" applyFont="1" applyFill="1" applyBorder="1" applyAlignment="1" applyProtection="1">
      <alignment horizontal="center" vertical="center"/>
    </xf>
    <xf numFmtId="164" fontId="59" fillId="0" borderId="0" xfId="400" applyNumberFormat="1" applyFont="1" applyFill="1" applyBorder="1" applyAlignment="1" applyProtection="1">
      <alignment horizontal="left" vertical="center"/>
    </xf>
    <xf numFmtId="164" fontId="59" fillId="0" borderId="12" xfId="400" applyNumberFormat="1" applyFont="1" applyFill="1" applyBorder="1" applyAlignment="1" applyProtection="1">
      <alignment horizontal="center" vertical="center"/>
      <protection locked="0"/>
    </xf>
    <xf numFmtId="0" fontId="0" fillId="0" borderId="0" xfId="400" applyFont="1" applyFill="1" applyBorder="1" applyAlignment="1" applyProtection="1">
      <alignment horizontal="left" vertical="center"/>
    </xf>
    <xf numFmtId="0" fontId="24" fillId="0" borderId="0" xfId="397" applyFont="1" applyAlignment="1">
      <alignment horizontal="left" vertical="center"/>
    </xf>
    <xf numFmtId="0" fontId="39" fillId="15" borderId="0" xfId="397" applyFont="1" applyFill="1" applyAlignment="1">
      <alignment horizontal="left"/>
    </xf>
    <xf numFmtId="0" fontId="39" fillId="15" borderId="0" xfId="397" applyFont="1" applyFill="1"/>
    <xf numFmtId="0" fontId="55" fillId="12" borderId="12" xfId="400" applyFont="1" applyBorder="1" applyAlignment="1" applyProtection="1">
      <alignment horizontal="center" vertical="center"/>
    </xf>
    <xf numFmtId="2" fontId="67" fillId="11" borderId="0" xfId="397" applyNumberFormat="1" applyFont="1" applyFill="1" applyAlignment="1">
      <alignment horizontal="left"/>
    </xf>
    <xf numFmtId="0" fontId="55" fillId="0" borderId="0" xfId="400" applyFont="1" applyFill="1" applyBorder="1" applyAlignment="1" applyProtection="1">
      <alignment horizontal="left" vertical="center"/>
    </xf>
    <xf numFmtId="0" fontId="55" fillId="16" borderId="12" xfId="400" applyFont="1" applyFill="1" applyBorder="1" applyAlignment="1" applyProtection="1">
      <alignment horizontal="center" vertical="center"/>
    </xf>
    <xf numFmtId="49" fontId="55" fillId="0" borderId="0" xfId="397" applyNumberFormat="1" applyAlignment="1">
      <alignment vertical="center"/>
    </xf>
    <xf numFmtId="0" fontId="62" fillId="0" borderId="0" xfId="397" applyFont="1" applyAlignment="1">
      <alignment horizontal="center" vertical="center" wrapText="1"/>
    </xf>
    <xf numFmtId="0" fontId="62" fillId="0" borderId="0" xfId="397" applyFont="1" applyAlignment="1">
      <alignment horizontal="center" vertical="center"/>
    </xf>
    <xf numFmtId="2" fontId="0" fillId="0" borderId="0" xfId="401" applyNumberFormat="1" applyFont="1" applyFill="1" applyBorder="1" applyAlignment="1" applyProtection="1">
      <alignment horizontal="left" vertical="center"/>
    </xf>
    <xf numFmtId="164" fontId="55" fillId="17" borderId="12" xfId="401" applyNumberFormat="1" applyFont="1" applyBorder="1" applyAlignment="1" applyProtection="1">
      <alignment horizontal="center" vertical="center"/>
    </xf>
    <xf numFmtId="0" fontId="55" fillId="0" borderId="0" xfId="400" applyFont="1" applyFill="1" applyBorder="1" applyAlignment="1">
      <alignment horizontal="left" vertical="center"/>
    </xf>
    <xf numFmtId="0" fontId="23" fillId="0" borderId="0" xfId="397" applyFont="1" applyAlignment="1">
      <alignment horizontal="right" vertical="center" wrapText="1"/>
    </xf>
    <xf numFmtId="164" fontId="55" fillId="18" borderId="1" xfId="401" applyNumberFormat="1" applyFont="1" applyFill="1" applyBorder="1" applyAlignment="1" applyProtection="1">
      <alignment horizontal="center" vertical="center"/>
    </xf>
    <xf numFmtId="0" fontId="55" fillId="11" borderId="1" xfId="400" applyFont="1" applyFill="1" applyBorder="1" applyAlignment="1">
      <alignment horizontal="center" vertical="center"/>
    </xf>
    <xf numFmtId="0" fontId="55" fillId="11" borderId="1" xfId="397" applyFill="1" applyBorder="1" applyAlignment="1">
      <alignment horizontal="center" vertical="center"/>
    </xf>
    <xf numFmtId="0" fontId="39" fillId="0" borderId="0" xfId="397" applyFont="1" applyAlignment="1">
      <alignment horizontal="right"/>
    </xf>
    <xf numFmtId="164" fontId="55" fillId="18" borderId="0" xfId="401" applyNumberFormat="1" applyFont="1" applyFill="1" applyBorder="1" applyAlignment="1" applyProtection="1">
      <alignment horizontal="center" vertical="center"/>
    </xf>
    <xf numFmtId="164" fontId="55" fillId="0" borderId="0" xfId="401" applyNumberFormat="1" applyFont="1" applyFill="1" applyBorder="1" applyAlignment="1" applyProtection="1">
      <alignment horizontal="center" vertical="center"/>
    </xf>
    <xf numFmtId="0" fontId="23" fillId="0" borderId="1" xfId="397" applyFont="1" applyBorder="1" applyAlignment="1">
      <alignment horizontal="center" vertical="center"/>
    </xf>
    <xf numFmtId="0" fontId="58" fillId="0" borderId="1" xfId="397" applyFont="1" applyBorder="1" applyAlignment="1">
      <alignment vertical="center" wrapText="1"/>
    </xf>
    <xf numFmtId="0" fontId="58" fillId="0" borderId="1" xfId="397" applyFont="1" applyBorder="1" applyAlignment="1">
      <alignment vertical="center"/>
    </xf>
    <xf numFmtId="0" fontId="55" fillId="0" borderId="0" xfId="397" applyAlignment="1">
      <alignment horizontal="center" vertical="center" wrapText="1"/>
    </xf>
    <xf numFmtId="2" fontId="23" fillId="19" borderId="18" xfId="397" applyNumberFormat="1" applyFont="1" applyFill="1" applyBorder="1" applyAlignment="1">
      <alignment horizontal="center" vertical="center"/>
    </xf>
    <xf numFmtId="43" fontId="23" fillId="19" borderId="12" xfId="402" applyFont="1" applyFill="1" applyBorder="1" applyAlignment="1">
      <alignment vertical="center"/>
    </xf>
    <xf numFmtId="2" fontId="24" fillId="0" borderId="0" xfId="397" applyNumberFormat="1" applyFont="1" applyAlignment="1">
      <alignment horizontal="left" vertical="center"/>
    </xf>
    <xf numFmtId="0" fontId="55" fillId="0" borderId="0" xfId="397" applyAlignment="1">
      <alignment horizontal="right" vertical="center" wrapText="1"/>
    </xf>
    <xf numFmtId="2" fontId="55" fillId="20" borderId="12" xfId="397" applyNumberFormat="1" applyFill="1" applyBorder="1" applyAlignment="1">
      <alignment horizontal="center" vertical="center"/>
    </xf>
    <xf numFmtId="43" fontId="24" fillId="19" borderId="12" xfId="402" applyFont="1" applyFill="1" applyBorder="1" applyAlignment="1">
      <alignment vertical="center"/>
    </xf>
    <xf numFmtId="2" fontId="55" fillId="0" borderId="0" xfId="397" applyNumberFormat="1" applyAlignment="1">
      <alignment horizontal="left" vertical="center"/>
    </xf>
    <xf numFmtId="2" fontId="55" fillId="0" borderId="12" xfId="397" applyNumberFormat="1" applyBorder="1" applyAlignment="1">
      <alignment horizontal="center" vertical="center"/>
    </xf>
    <xf numFmtId="2" fontId="55" fillId="0" borderId="0" xfId="397" applyNumberFormat="1" applyAlignment="1">
      <alignment horizontal="center" vertical="center"/>
    </xf>
    <xf numFmtId="2" fontId="59" fillId="0" borderId="12" xfId="400" applyNumberFormat="1" applyFont="1" applyFill="1" applyBorder="1" applyAlignment="1" applyProtection="1">
      <alignment horizontal="center" vertical="center"/>
    </xf>
    <xf numFmtId="2" fontId="59" fillId="0" borderId="0" xfId="400" applyNumberFormat="1" applyFont="1" applyFill="1" applyBorder="1" applyAlignment="1" applyProtection="1">
      <alignment horizontal="center" vertical="center"/>
    </xf>
    <xf numFmtId="11" fontId="55" fillId="0" borderId="0" xfId="397" applyNumberFormat="1" applyAlignment="1">
      <alignment horizontal="left" vertical="center"/>
    </xf>
    <xf numFmtId="2" fontId="55" fillId="0" borderId="12" xfId="401" applyNumberFormat="1" applyFont="1" applyFill="1" applyBorder="1" applyAlignment="1" applyProtection="1">
      <alignment horizontal="center" vertical="center"/>
    </xf>
    <xf numFmtId="2" fontId="55" fillId="0" borderId="0" xfId="401" applyNumberFormat="1" applyFont="1" applyFill="1" applyBorder="1" applyAlignment="1" applyProtection="1">
      <alignment horizontal="center" vertical="center"/>
    </xf>
    <xf numFmtId="2" fontId="55" fillId="0" borderId="0" xfId="401" applyNumberFormat="1" applyFont="1" applyFill="1" applyBorder="1" applyAlignment="1" applyProtection="1">
      <alignment horizontal="left" vertical="center"/>
    </xf>
    <xf numFmtId="169" fontId="55" fillId="16" borderId="12" xfId="400" applyNumberFormat="1" applyFont="1" applyFill="1" applyBorder="1" applyAlignment="1" applyProtection="1">
      <alignment horizontal="center" vertical="center"/>
    </xf>
    <xf numFmtId="169" fontId="55" fillId="0" borderId="0" xfId="400" applyNumberFormat="1" applyFont="1" applyFill="1" applyBorder="1" applyAlignment="1" applyProtection="1">
      <alignment horizontal="center" vertical="center"/>
    </xf>
    <xf numFmtId="166" fontId="55" fillId="0" borderId="12" xfId="397" applyNumberFormat="1" applyBorder="1" applyAlignment="1">
      <alignment horizontal="center" vertical="center"/>
    </xf>
    <xf numFmtId="166" fontId="55" fillId="0" borderId="0" xfId="397" applyNumberFormat="1" applyAlignment="1">
      <alignment horizontal="center" vertical="center"/>
    </xf>
    <xf numFmtId="0" fontId="55" fillId="21" borderId="12" xfId="401" applyFont="1" applyFill="1" applyBorder="1" applyAlignment="1" applyProtection="1">
      <alignment horizontal="center" vertical="center"/>
    </xf>
    <xf numFmtId="0" fontId="55" fillId="0" borderId="0" xfId="401" applyFont="1" applyFill="1" applyBorder="1" applyAlignment="1" applyProtection="1">
      <alignment horizontal="center" vertical="center"/>
    </xf>
    <xf numFmtId="0" fontId="55" fillId="21" borderId="12" xfId="397" applyFill="1" applyBorder="1" applyAlignment="1">
      <alignment horizontal="center" vertical="center"/>
    </xf>
    <xf numFmtId="0" fontId="55" fillId="0" borderId="0" xfId="397" applyAlignment="1">
      <alignment horizontal="left" vertical="center" wrapText="1"/>
    </xf>
    <xf numFmtId="0" fontId="24" fillId="0" borderId="0" xfId="397" applyFont="1" applyAlignment="1">
      <alignment horizontal="center" wrapText="1"/>
    </xf>
    <xf numFmtId="0" fontId="24" fillId="14" borderId="0" xfId="397" applyFont="1" applyFill="1" applyAlignment="1">
      <alignment horizontal="right" vertical="center" wrapText="1"/>
    </xf>
    <xf numFmtId="164" fontId="55" fillId="22" borderId="12" xfId="401" applyNumberFormat="1" applyFont="1" applyFill="1" applyBorder="1" applyAlignment="1" applyProtection="1">
      <alignment horizontal="center" vertical="center"/>
    </xf>
    <xf numFmtId="0" fontId="71" fillId="0" borderId="0" xfId="397" applyFont="1" applyAlignment="1">
      <alignment horizontal="center"/>
    </xf>
    <xf numFmtId="166" fontId="55" fillId="22" borderId="12" xfId="401" applyNumberFormat="1" applyFont="1" applyFill="1" applyBorder="1" applyAlignment="1" applyProtection="1">
      <alignment horizontal="center" vertical="center"/>
    </xf>
    <xf numFmtId="166" fontId="55" fillId="0" borderId="0" xfId="401" applyNumberFormat="1" applyFont="1" applyFill="1" applyBorder="1" applyAlignment="1" applyProtection="1">
      <alignment horizontal="center" vertical="center"/>
    </xf>
    <xf numFmtId="0" fontId="55" fillId="0" borderId="0" xfId="397" applyAlignment="1">
      <alignment horizontal="center"/>
    </xf>
    <xf numFmtId="165" fontId="55" fillId="0" borderId="12" xfId="401" applyNumberFormat="1" applyFont="1" applyFill="1" applyBorder="1" applyAlignment="1" applyProtection="1">
      <alignment horizontal="center" vertical="center"/>
    </xf>
    <xf numFmtId="165" fontId="55" fillId="0" borderId="0" xfId="401" applyNumberFormat="1" applyFont="1" applyFill="1" applyBorder="1" applyAlignment="1" applyProtection="1">
      <alignment horizontal="center" vertical="center"/>
    </xf>
    <xf numFmtId="0" fontId="55" fillId="0" borderId="0" xfId="397" applyAlignment="1">
      <alignment vertical="center" wrapText="1"/>
    </xf>
    <xf numFmtId="0" fontId="55" fillId="0" borderId="0" xfId="397" applyAlignment="1">
      <alignment wrapText="1"/>
    </xf>
    <xf numFmtId="0" fontId="23" fillId="0" borderId="0" xfId="397" applyFont="1"/>
    <xf numFmtId="0" fontId="57" fillId="0" borderId="0" xfId="397" applyFont="1"/>
    <xf numFmtId="0" fontId="23" fillId="0" borderId="0" xfId="397" applyFont="1" applyAlignment="1">
      <alignment horizontal="center" vertical="center" wrapText="1"/>
    </xf>
    <xf numFmtId="0" fontId="75" fillId="0" borderId="0" xfId="397" applyFont="1" applyAlignment="1">
      <alignment horizontal="center" wrapText="1"/>
    </xf>
    <xf numFmtId="0" fontId="23" fillId="0" borderId="0" xfId="397" applyFont="1" applyAlignment="1">
      <alignment horizontal="center" wrapText="1"/>
    </xf>
    <xf numFmtId="0" fontId="78" fillId="0" borderId="1" xfId="397" applyFont="1" applyBorder="1" applyAlignment="1">
      <alignment horizontal="center" vertical="center"/>
    </xf>
    <xf numFmtId="0" fontId="75" fillId="0" borderId="1" xfId="397" applyFont="1" applyBorder="1" applyAlignment="1">
      <alignment horizontal="center" wrapText="1"/>
    </xf>
    <xf numFmtId="0" fontId="78" fillId="0" borderId="1" xfId="397" applyFont="1" applyBorder="1" applyAlignment="1">
      <alignment horizontal="center"/>
    </xf>
    <xf numFmtId="0" fontId="39" fillId="0" borderId="12" xfId="397" applyFont="1" applyBorder="1"/>
    <xf numFmtId="0" fontId="39" fillId="0" borderId="18" xfId="397" applyFont="1" applyBorder="1" applyAlignment="1">
      <alignment horizontal="center"/>
    </xf>
    <xf numFmtId="164" fontId="39" fillId="0" borderId="18" xfId="397" applyNumberFormat="1" applyFont="1" applyBorder="1" applyAlignment="1">
      <alignment horizontal="center"/>
    </xf>
    <xf numFmtId="164" fontId="39" fillId="0" borderId="0" xfId="397" applyNumberFormat="1" applyFont="1" applyAlignment="1">
      <alignment horizontal="center"/>
    </xf>
    <xf numFmtId="0" fontId="39" fillId="0" borderId="0" xfId="397" applyFont="1"/>
    <xf numFmtId="0" fontId="39" fillId="0" borderId="12" xfId="397" applyFont="1" applyBorder="1" applyAlignment="1">
      <alignment horizontal="center"/>
    </xf>
    <xf numFmtId="164" fontId="39" fillId="0" borderId="12" xfId="397" applyNumberFormat="1" applyFont="1" applyBorder="1" applyAlignment="1">
      <alignment horizontal="center"/>
    </xf>
    <xf numFmtId="166" fontId="39" fillId="0" borderId="12" xfId="397" applyNumberFormat="1" applyFont="1" applyBorder="1" applyAlignment="1">
      <alignment horizontal="center"/>
    </xf>
    <xf numFmtId="166" fontId="39" fillId="0" borderId="0" xfId="397" applyNumberFormat="1" applyFont="1" applyAlignment="1">
      <alignment horizontal="center"/>
    </xf>
    <xf numFmtId="165" fontId="39" fillId="0" borderId="12" xfId="397" applyNumberFormat="1" applyFont="1" applyBorder="1" applyAlignment="1">
      <alignment horizontal="center"/>
    </xf>
    <xf numFmtId="165" fontId="39" fillId="0" borderId="0" xfId="397" applyNumberFormat="1" applyFont="1" applyAlignment="1">
      <alignment horizontal="center"/>
    </xf>
    <xf numFmtId="0" fontId="55" fillId="0" borderId="9" xfId="397" applyBorder="1"/>
    <xf numFmtId="0" fontId="55" fillId="0" borderId="19" xfId="397" applyBorder="1" applyAlignment="1">
      <alignment horizontal="center" vertical="center"/>
    </xf>
    <xf numFmtId="0" fontId="55" fillId="0" borderId="11" xfId="397" applyBorder="1"/>
    <xf numFmtId="0" fontId="55" fillId="0" borderId="32" xfId="397" applyBorder="1" applyAlignment="1">
      <alignment horizontal="center" vertical="center"/>
    </xf>
    <xf numFmtId="0" fontId="55" fillId="0" borderId="32" xfId="397" applyBorder="1" applyAlignment="1">
      <alignment horizontal="center"/>
    </xf>
    <xf numFmtId="0" fontId="23" fillId="0" borderId="1" xfId="397" applyFont="1" applyBorder="1" applyAlignment="1">
      <alignment horizontal="center"/>
    </xf>
    <xf numFmtId="0" fontId="80" fillId="0" borderId="0" xfId="397" applyFont="1"/>
    <xf numFmtId="0" fontId="39" fillId="0" borderId="5" xfId="397" applyFont="1" applyBorder="1"/>
    <xf numFmtId="0" fontId="39" fillId="0" borderId="7" xfId="397" applyFont="1" applyBorder="1"/>
    <xf numFmtId="2" fontId="39" fillId="0" borderId="12" xfId="397" applyNumberFormat="1" applyFont="1" applyBorder="1" applyAlignment="1">
      <alignment horizontal="center"/>
    </xf>
    <xf numFmtId="2" fontId="55" fillId="0" borderId="0" xfId="397" applyNumberFormat="1" applyAlignment="1">
      <alignment horizontal="center"/>
    </xf>
    <xf numFmtId="0" fontId="81" fillId="0" borderId="0" xfId="397" applyFont="1"/>
    <xf numFmtId="0" fontId="75" fillId="0" borderId="0" xfId="397" applyFont="1"/>
    <xf numFmtId="0" fontId="75" fillId="0" borderId="12" xfId="397" applyFont="1" applyBorder="1" applyAlignment="1">
      <alignment horizontal="center" wrapText="1"/>
    </xf>
    <xf numFmtId="0" fontId="75" fillId="0" borderId="12" xfId="397" applyFont="1" applyBorder="1" applyAlignment="1">
      <alignment horizontal="center"/>
    </xf>
    <xf numFmtId="2" fontId="39" fillId="0" borderId="5" xfId="397" applyNumberFormat="1" applyFont="1" applyBorder="1" applyAlignment="1">
      <alignment horizontal="right"/>
    </xf>
    <xf numFmtId="1" fontId="83" fillId="0" borderId="7" xfId="397" applyNumberFormat="1" applyFont="1" applyBorder="1" applyAlignment="1">
      <alignment horizontal="left"/>
    </xf>
    <xf numFmtId="170" fontId="39" fillId="0" borderId="12" xfId="397" applyNumberFormat="1" applyFont="1" applyBorder="1" applyAlignment="1">
      <alignment horizontal="center"/>
    </xf>
    <xf numFmtId="11" fontId="39" fillId="0" borderId="12" xfId="397" applyNumberFormat="1" applyFont="1" applyBorder="1" applyAlignment="1">
      <alignment horizontal="center"/>
    </xf>
    <xf numFmtId="0" fontId="85" fillId="0" borderId="0" xfId="404" applyFont="1" applyAlignment="1">
      <alignment horizontal="left" vertical="top"/>
    </xf>
    <xf numFmtId="0" fontId="84" fillId="0" borderId="0" xfId="404" applyAlignment="1">
      <alignment horizontal="left" vertical="top"/>
    </xf>
    <xf numFmtId="0" fontId="86" fillId="0" borderId="33" xfId="404" applyFont="1" applyBorder="1" applyAlignment="1">
      <alignment horizontal="left" vertical="top" wrapText="1"/>
    </xf>
    <xf numFmtId="0" fontId="86" fillId="0" borderId="33" xfId="404" applyFont="1" applyBorder="1" applyAlignment="1">
      <alignment horizontal="center" vertical="top" wrapText="1"/>
    </xf>
    <xf numFmtId="0" fontId="86" fillId="0" borderId="33" xfId="404" applyFont="1" applyBorder="1" applyAlignment="1">
      <alignment horizontal="right" vertical="top" wrapText="1" indent="1"/>
    </xf>
    <xf numFmtId="0" fontId="87" fillId="0" borderId="33" xfId="404" applyFont="1" applyBorder="1" applyAlignment="1">
      <alignment horizontal="left" vertical="top" wrapText="1"/>
    </xf>
    <xf numFmtId="0" fontId="84" fillId="0" borderId="33" xfId="404" applyBorder="1" applyAlignment="1">
      <alignment horizontal="center" vertical="top" wrapText="1"/>
    </xf>
    <xf numFmtId="0" fontId="81" fillId="0" borderId="33" xfId="404" applyFont="1" applyBorder="1" applyAlignment="1">
      <alignment horizontal="center" vertical="top" wrapText="1"/>
    </xf>
    <xf numFmtId="164" fontId="90" fillId="0" borderId="33" xfId="404" applyNumberFormat="1" applyFont="1" applyBorder="1" applyAlignment="1">
      <alignment horizontal="center" vertical="top" shrinkToFit="1"/>
    </xf>
    <xf numFmtId="164" fontId="90" fillId="0" borderId="33" xfId="404" applyNumberFormat="1" applyFont="1" applyBorder="1" applyAlignment="1">
      <alignment horizontal="right" vertical="top" indent="1" shrinkToFit="1"/>
    </xf>
    <xf numFmtId="1" fontId="90" fillId="0" borderId="33" xfId="404" applyNumberFormat="1" applyFont="1" applyBorder="1" applyAlignment="1">
      <alignment horizontal="center" vertical="top" shrinkToFit="1"/>
    </xf>
    <xf numFmtId="164" fontId="84" fillId="0" borderId="0" xfId="404" applyNumberFormat="1" applyAlignment="1">
      <alignment horizontal="left" vertical="top"/>
    </xf>
    <xf numFmtId="164" fontId="90" fillId="0" borderId="33" xfId="404" applyNumberFormat="1" applyFont="1" applyBorder="1" applyAlignment="1">
      <alignment horizontal="left" vertical="top" indent="1" shrinkToFit="1"/>
    </xf>
    <xf numFmtId="164" fontId="90" fillId="0" borderId="33" xfId="404" applyNumberFormat="1" applyFont="1" applyBorder="1" applyAlignment="1">
      <alignment horizontal="right" vertical="top" shrinkToFit="1"/>
    </xf>
    <xf numFmtId="0" fontId="91" fillId="0" borderId="33" xfId="404" applyFont="1" applyBorder="1" applyAlignment="1">
      <alignment horizontal="center" vertical="top" wrapText="1"/>
    </xf>
    <xf numFmtId="1" fontId="90" fillId="0" borderId="33" xfId="404" applyNumberFormat="1" applyFont="1" applyBorder="1" applyAlignment="1">
      <alignment horizontal="right" vertical="top" shrinkToFit="1"/>
    </xf>
    <xf numFmtId="1" fontId="90" fillId="0" borderId="33" xfId="404" applyNumberFormat="1" applyFont="1" applyBorder="1" applyAlignment="1">
      <alignment horizontal="right" vertical="top" indent="1" shrinkToFit="1"/>
    </xf>
    <xf numFmtId="1" fontId="90" fillId="0" borderId="33" xfId="404" applyNumberFormat="1" applyFont="1" applyBorder="1" applyAlignment="1">
      <alignment horizontal="left" vertical="top" shrinkToFit="1"/>
    </xf>
    <xf numFmtId="0" fontId="84" fillId="0" borderId="33" xfId="404" applyBorder="1" applyAlignment="1">
      <alignment horizontal="left" wrapText="1"/>
    </xf>
    <xf numFmtId="2" fontId="90" fillId="0" borderId="33" xfId="404" applyNumberFormat="1" applyFont="1" applyBorder="1" applyAlignment="1">
      <alignment horizontal="center" vertical="top" shrinkToFit="1"/>
    </xf>
    <xf numFmtId="164" fontId="0" fillId="0" borderId="0" xfId="0" applyNumberFormat="1" applyAlignment="1">
      <alignment horizontal="right"/>
    </xf>
    <xf numFmtId="166" fontId="0" fillId="0" borderId="0" xfId="0" applyNumberFormat="1" applyAlignment="1">
      <alignment horizontal="right"/>
    </xf>
    <xf numFmtId="0" fontId="5" fillId="0" borderId="0" xfId="0" applyFont="1"/>
    <xf numFmtId="164" fontId="5" fillId="0" borderId="0" xfId="0" applyNumberFormat="1" applyFont="1"/>
    <xf numFmtId="178" fontId="0" fillId="0" borderId="0" xfId="0" applyNumberFormat="1"/>
    <xf numFmtId="0" fontId="8" fillId="0" borderId="0" xfId="395" applyFont="1" applyAlignment="1">
      <alignment horizontal="center"/>
    </xf>
    <xf numFmtId="2" fontId="3" fillId="0" borderId="0" xfId="395" applyNumberFormat="1"/>
    <xf numFmtId="9" fontId="3" fillId="0" borderId="0" xfId="205" applyFont="1"/>
    <xf numFmtId="0" fontId="3" fillId="0" borderId="0" xfId="395" applyAlignment="1">
      <alignment horizontal="center" vertical="center" wrapText="1"/>
    </xf>
    <xf numFmtId="166" fontId="3" fillId="0" borderId="0" xfId="395" applyNumberFormat="1"/>
    <xf numFmtId="164" fontId="3" fillId="0" borderId="0" xfId="395" applyNumberFormat="1"/>
    <xf numFmtId="0" fontId="0" fillId="11" borderId="0" xfId="0" applyFill="1" applyAlignment="1">
      <alignment horizontal="center" vertical="center" wrapText="1"/>
    </xf>
    <xf numFmtId="11" fontId="0" fillId="11" borderId="0" xfId="0" applyNumberFormat="1" applyFill="1"/>
    <xf numFmtId="0" fontId="9" fillId="0" borderId="0" xfId="0" applyFont="1"/>
    <xf numFmtId="11" fontId="9" fillId="0" borderId="0" xfId="0" applyNumberFormat="1" applyFont="1"/>
    <xf numFmtId="0" fontId="2" fillId="0" borderId="0" xfId="395" applyFont="1"/>
    <xf numFmtId="0" fontId="9" fillId="0" borderId="0" xfId="0" applyFont="1" applyAlignment="1">
      <alignment horizontal="right"/>
    </xf>
    <xf numFmtId="3" fontId="9" fillId="0" borderId="0" xfId="0" applyNumberFormat="1" applyFont="1"/>
    <xf numFmtId="0" fontId="95" fillId="0" borderId="0" xfId="0" applyFont="1" applyAlignment="1">
      <alignment horizontal="left"/>
    </xf>
    <xf numFmtId="0" fontId="9" fillId="0" borderId="0" xfId="0" applyFont="1" applyAlignment="1">
      <alignment horizontal="center" vertical="center" wrapText="1"/>
    </xf>
    <xf numFmtId="2" fontId="9" fillId="0" borderId="0" xfId="0" applyNumberFormat="1" applyFont="1"/>
    <xf numFmtId="166" fontId="9" fillId="0" borderId="0" xfId="0" applyNumberFormat="1" applyFont="1"/>
    <xf numFmtId="0" fontId="2" fillId="0" borderId="0" xfId="395" applyFont="1" applyAlignment="1">
      <alignment horizontal="center" vertical="center" wrapText="1"/>
    </xf>
    <xf numFmtId="0" fontId="2" fillId="0" borderId="0" xfId="405"/>
    <xf numFmtId="0" fontId="42" fillId="0" borderId="0" xfId="405" applyFont="1"/>
    <xf numFmtId="0" fontId="42" fillId="0" borderId="34" xfId="405" applyFont="1" applyBorder="1"/>
    <xf numFmtId="0" fontId="8" fillId="0" borderId="0" xfId="405" applyFont="1" applyAlignment="1">
      <alignment horizontal="center" vertical="center"/>
    </xf>
    <xf numFmtId="0" fontId="2" fillId="0" borderId="0" xfId="405" applyAlignment="1">
      <alignment wrapText="1"/>
    </xf>
    <xf numFmtId="0" fontId="2" fillId="0" borderId="0" xfId="405" applyAlignment="1">
      <alignment horizontal="left" wrapText="1" indent="2"/>
    </xf>
    <xf numFmtId="0" fontId="2" fillId="0" borderId="0" xfId="405" applyAlignment="1">
      <alignment horizontal="left" vertical="top" wrapText="1" indent="2"/>
    </xf>
    <xf numFmtId="0" fontId="2" fillId="0" borderId="0" xfId="405" applyAlignment="1">
      <alignment vertical="top" wrapText="1"/>
    </xf>
    <xf numFmtId="0" fontId="96" fillId="0" borderId="0" xfId="405" applyFont="1" applyAlignment="1">
      <alignment horizontal="left" wrapText="1" indent="2"/>
    </xf>
    <xf numFmtId="0" fontId="2" fillId="0" borderId="0" xfId="405" applyAlignment="1">
      <alignment horizontal="left" vertical="top" wrapText="1"/>
    </xf>
    <xf numFmtId="0" fontId="2" fillId="0" borderId="0" xfId="405" applyAlignment="1">
      <alignment horizontal="left" wrapText="1" indent="4"/>
    </xf>
    <xf numFmtId="0" fontId="2" fillId="0" borderId="0" xfId="405" applyAlignment="1">
      <alignment horizontal="left" wrapText="1" indent="8"/>
    </xf>
    <xf numFmtId="0" fontId="2" fillId="0" borderId="0" xfId="405" applyAlignment="1">
      <alignment horizontal="left" wrapText="1" indent="5"/>
    </xf>
    <xf numFmtId="0" fontId="2" fillId="0" borderId="0" xfId="405" applyAlignment="1">
      <alignment horizontal="left" wrapText="1" indent="7"/>
    </xf>
    <xf numFmtId="0" fontId="2" fillId="0" borderId="0" xfId="405" applyAlignment="1">
      <alignment horizontal="left" wrapText="1" indent="9"/>
    </xf>
    <xf numFmtId="0" fontId="2" fillId="0" borderId="0" xfId="405" applyAlignment="1">
      <alignment horizontal="left" wrapText="1" indent="3"/>
    </xf>
    <xf numFmtId="0" fontId="2" fillId="0" borderId="0" xfId="381" applyFont="1" applyAlignment="1">
      <alignment horizontal="center" vertical="center" wrapText="1"/>
    </xf>
    <xf numFmtId="10" fontId="0" fillId="0" borderId="0" xfId="205" applyNumberFormat="1" applyFont="1"/>
    <xf numFmtId="0" fontId="47" fillId="0" borderId="0" xfId="405" applyFont="1" applyAlignment="1">
      <alignment vertical="top" wrapText="1"/>
    </xf>
    <xf numFmtId="11" fontId="3" fillId="0" borderId="7" xfId="395" applyNumberFormat="1" applyBorder="1" applyAlignment="1">
      <alignment horizontal="center" vertical="center"/>
    </xf>
    <xf numFmtId="11" fontId="3" fillId="0" borderId="35" xfId="395" applyNumberFormat="1" applyBorder="1" applyAlignment="1">
      <alignment horizontal="center" vertical="center"/>
    </xf>
    <xf numFmtId="0" fontId="42" fillId="0" borderId="36" xfId="395" applyFont="1" applyBorder="1" applyAlignment="1">
      <alignment horizontal="center" vertical="center" wrapText="1"/>
    </xf>
    <xf numFmtId="2" fontId="44" fillId="0" borderId="29" xfId="395" applyNumberFormat="1" applyFont="1" applyBorder="1" applyAlignment="1">
      <alignment horizontal="center" vertical="center" wrapText="1"/>
    </xf>
    <xf numFmtId="2" fontId="44" fillId="0" borderId="28" xfId="395" applyNumberFormat="1" applyFont="1" applyBorder="1" applyAlignment="1">
      <alignment horizontal="center" vertical="center" wrapText="1"/>
    </xf>
    <xf numFmtId="2" fontId="44" fillId="0" borderId="27" xfId="395" applyNumberFormat="1" applyFont="1" applyBorder="1" applyAlignment="1">
      <alignment horizontal="center" vertical="center" wrapText="1"/>
    </xf>
    <xf numFmtId="11" fontId="3" fillId="0" borderId="25" xfId="395" applyNumberFormat="1" applyBorder="1" applyAlignment="1">
      <alignment horizontal="center" vertical="center"/>
    </xf>
    <xf numFmtId="11" fontId="3" fillId="0" borderId="37" xfId="395" applyNumberFormat="1" applyBorder="1" applyAlignment="1">
      <alignment horizontal="center" vertical="center"/>
    </xf>
    <xf numFmtId="0" fontId="1" fillId="0" borderId="0" xfId="405" applyFont="1" applyAlignment="1">
      <alignment wrapText="1"/>
    </xf>
    <xf numFmtId="49" fontId="0" fillId="0" borderId="0" xfId="0" applyNumberFormat="1" applyAlignment="1">
      <alignment horizontal="left"/>
    </xf>
    <xf numFmtId="49" fontId="0" fillId="0" borderId="0" xfId="0" applyNumberFormat="1"/>
    <xf numFmtId="49" fontId="9" fillId="0" borderId="0" xfId="0" applyNumberFormat="1" applyFont="1" applyAlignment="1">
      <alignment horizontal="center" vertical="center" wrapText="1"/>
    </xf>
    <xf numFmtId="49" fontId="9" fillId="0" borderId="0" xfId="0" applyNumberFormat="1" applyFont="1"/>
    <xf numFmtId="49" fontId="9" fillId="0" borderId="0" xfId="0" applyNumberFormat="1" applyFont="1" applyAlignment="1">
      <alignment horizontal="left"/>
    </xf>
    <xf numFmtId="49" fontId="8" fillId="0" borderId="0" xfId="0" applyNumberFormat="1" applyFont="1"/>
    <xf numFmtId="49" fontId="34" fillId="0" borderId="0" xfId="0" applyNumberFormat="1" applyFont="1" applyAlignment="1">
      <alignment horizontal="left"/>
    </xf>
    <xf numFmtId="49" fontId="0" fillId="0" borderId="0" xfId="0" applyNumberFormat="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Alignment="1">
      <alignment wrapText="1"/>
    </xf>
    <xf numFmtId="49" fontId="0" fillId="0" borderId="0" xfId="0" applyNumberFormat="1" applyAlignment="1">
      <alignment wrapText="1"/>
    </xf>
    <xf numFmtId="49" fontId="0" fillId="0" borderId="0" xfId="0" applyNumberFormat="1" applyAlignment="1">
      <alignment horizontal="right"/>
    </xf>
    <xf numFmtId="49" fontId="12" fillId="0" borderId="0" xfId="0" applyNumberFormat="1" applyFont="1" applyAlignment="1">
      <alignment horizontal="left"/>
    </xf>
    <xf numFmtId="49" fontId="39" fillId="0" borderId="0" xfId="0" applyNumberFormat="1" applyFont="1"/>
    <xf numFmtId="49" fontId="5" fillId="0" borderId="0" xfId="0" applyNumberFormat="1" applyFont="1"/>
    <xf numFmtId="49" fontId="94" fillId="0" borderId="0" xfId="0" applyNumberFormat="1" applyFont="1"/>
    <xf numFmtId="49" fontId="0" fillId="0" borderId="0" xfId="0" applyNumberFormat="1" applyAlignment="1">
      <alignment vertical="center"/>
    </xf>
    <xf numFmtId="49" fontId="42" fillId="0" borderId="0" xfId="395" applyNumberFormat="1" applyFont="1" applyAlignment="1">
      <alignment horizontal="left"/>
    </xf>
    <xf numFmtId="49" fontId="3" fillId="0" borderId="0" xfId="395" applyNumberFormat="1" applyAlignment="1">
      <alignment horizontal="left"/>
    </xf>
    <xf numFmtId="49" fontId="8" fillId="0" borderId="0" xfId="395" applyNumberFormat="1" applyFont="1" applyAlignment="1">
      <alignment horizontal="center"/>
    </xf>
    <xf numFmtId="49" fontId="3" fillId="0" borderId="0" xfId="395" applyNumberFormat="1"/>
    <xf numFmtId="49" fontId="3" fillId="0" borderId="0" xfId="395" applyNumberFormat="1" applyAlignment="1">
      <alignment horizontal="right"/>
    </xf>
    <xf numFmtId="49" fontId="3" fillId="0" borderId="0" xfId="395" applyNumberFormat="1" applyAlignment="1">
      <alignment horizontal="center" vertical="center" wrapText="1"/>
    </xf>
    <xf numFmtId="179" fontId="0" fillId="0" borderId="0" xfId="0" applyNumberFormat="1"/>
    <xf numFmtId="180" fontId="0" fillId="0" borderId="0" xfId="0" applyNumberFormat="1"/>
    <xf numFmtId="181" fontId="0" fillId="0" borderId="0" xfId="0" applyNumberFormat="1"/>
    <xf numFmtId="0" fontId="1" fillId="0" borderId="0" xfId="405" applyFont="1" applyAlignment="1">
      <alignment horizontal="left" wrapText="1" indent="7"/>
    </xf>
    <xf numFmtId="0" fontId="1" fillId="0" borderId="0" xfId="395" applyFont="1"/>
    <xf numFmtId="0" fontId="1" fillId="0" borderId="5" xfId="395" applyFont="1" applyBorder="1" applyAlignment="1">
      <alignment vertical="center" wrapText="1"/>
    </xf>
    <xf numFmtId="0" fontId="8" fillId="0" borderId="0" xfId="405" applyFont="1" applyAlignment="1">
      <alignment horizontal="center" vertical="center"/>
    </xf>
    <xf numFmtId="0" fontId="2" fillId="0" borderId="0" xfId="405" applyAlignment="1">
      <alignment horizontal="left" vertical="top" wrapText="1"/>
    </xf>
    <xf numFmtId="173" fontId="0" fillId="0" borderId="0" xfId="0" applyNumberFormat="1" applyAlignment="1">
      <alignment horizontal="center"/>
    </xf>
    <xf numFmtId="0" fontId="0" fillId="0" borderId="0" xfId="0" applyAlignment="1">
      <alignment horizontal="center"/>
    </xf>
    <xf numFmtId="173" fontId="0" fillId="0" borderId="0" xfId="205" applyNumberFormat="1" applyFont="1" applyAlignment="1">
      <alignment horizontal="center"/>
    </xf>
    <xf numFmtId="1"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23" fillId="9" borderId="1" xfId="381" applyFont="1" applyFill="1" applyBorder="1" applyAlignment="1">
      <alignment horizontal="right" wrapText="1"/>
    </xf>
    <xf numFmtId="0" fontId="23" fillId="0" borderId="5" xfId="381" applyFont="1" applyBorder="1" applyAlignment="1">
      <alignment horizontal="center"/>
    </xf>
    <xf numFmtId="0" fontId="23" fillId="0" borderId="6" xfId="381" applyFont="1" applyBorder="1" applyAlignment="1">
      <alignment horizontal="center"/>
    </xf>
    <xf numFmtId="0" fontId="23" fillId="0" borderId="7" xfId="381" applyFont="1" applyBorder="1" applyAlignment="1">
      <alignment horizontal="center"/>
    </xf>
    <xf numFmtId="0" fontId="23" fillId="0" borderId="0" xfId="381" applyFont="1" applyAlignment="1">
      <alignment horizontal="right"/>
    </xf>
    <xf numFmtId="0" fontId="23" fillId="9" borderId="0" xfId="381" applyFont="1" applyFill="1" applyAlignment="1">
      <alignment horizontal="right"/>
    </xf>
    <xf numFmtId="0" fontId="23" fillId="9" borderId="5" xfId="381" applyFont="1" applyFill="1" applyBorder="1" applyAlignment="1">
      <alignment horizontal="center"/>
    </xf>
    <xf numFmtId="0" fontId="23" fillId="9" borderId="6" xfId="381" applyFont="1" applyFill="1" applyBorder="1" applyAlignment="1">
      <alignment horizontal="center"/>
    </xf>
    <xf numFmtId="0" fontId="23" fillId="9" borderId="7" xfId="381" applyFont="1" applyFill="1" applyBorder="1" applyAlignment="1">
      <alignment horizontal="center"/>
    </xf>
    <xf numFmtId="0" fontId="23" fillId="9" borderId="8" xfId="381" applyFont="1" applyFill="1" applyBorder="1" applyAlignment="1">
      <alignment horizontal="right"/>
    </xf>
    <xf numFmtId="0" fontId="23" fillId="9" borderId="8" xfId="381" applyFont="1" applyFill="1" applyBorder="1" applyAlignment="1">
      <alignment horizontal="right" wrapText="1"/>
    </xf>
    <xf numFmtId="0" fontId="23" fillId="9" borderId="0" xfId="381" applyFont="1" applyFill="1" applyAlignment="1">
      <alignment horizontal="right" wrapText="1"/>
    </xf>
    <xf numFmtId="0" fontId="23" fillId="9" borderId="5" xfId="381" applyFont="1" applyFill="1" applyBorder="1" applyAlignment="1">
      <alignment horizontal="center" wrapText="1"/>
    </xf>
    <xf numFmtId="0" fontId="23" fillId="9" borderId="6" xfId="381" applyFont="1" applyFill="1" applyBorder="1" applyAlignment="1">
      <alignment horizontal="center" wrapText="1"/>
    </xf>
    <xf numFmtId="0" fontId="23" fillId="9" borderId="7" xfId="381" applyFont="1" applyFill="1" applyBorder="1" applyAlignment="1">
      <alignment horizontal="center" wrapText="1"/>
    </xf>
    <xf numFmtId="0" fontId="3" fillId="0" borderId="0" xfId="381" applyAlignment="1">
      <alignment horizontal="center"/>
    </xf>
    <xf numFmtId="0" fontId="23" fillId="9" borderId="0" xfId="381" applyFont="1" applyFill="1" applyAlignment="1">
      <alignment horizontal="left" wrapText="1"/>
    </xf>
    <xf numFmtId="0" fontId="23" fillId="9" borderId="0" xfId="381" applyFont="1" applyFill="1" applyAlignment="1">
      <alignment horizontal="left" vertical="top" wrapText="1"/>
    </xf>
    <xf numFmtId="0" fontId="23" fillId="9" borderId="0" xfId="381" applyFont="1" applyFill="1" applyAlignment="1">
      <alignment horizontal="right" vertical="center" wrapText="1"/>
    </xf>
    <xf numFmtId="0" fontId="23" fillId="9" borderId="0" xfId="381" applyFont="1" applyFill="1" applyAlignment="1">
      <alignment horizontal="center"/>
    </xf>
    <xf numFmtId="0" fontId="23" fillId="0" borderId="0" xfId="395" applyFont="1" applyAlignment="1">
      <alignment horizontal="right"/>
    </xf>
    <xf numFmtId="0" fontId="23" fillId="0" borderId="5" xfId="395" applyFont="1" applyBorder="1" applyAlignment="1">
      <alignment horizontal="center"/>
    </xf>
    <xf numFmtId="0" fontId="23" fillId="0" borderId="6" xfId="395" applyFont="1" applyBorder="1" applyAlignment="1">
      <alignment horizontal="center"/>
    </xf>
    <xf numFmtId="0" fontId="23" fillId="0" borderId="7" xfId="395" applyFont="1" applyBorder="1" applyAlignment="1">
      <alignment horizontal="center"/>
    </xf>
    <xf numFmtId="0" fontId="23" fillId="0" borderId="8" xfId="395" applyFont="1" applyBorder="1" applyAlignment="1">
      <alignment horizontal="right"/>
    </xf>
    <xf numFmtId="0" fontId="23" fillId="9" borderId="5" xfId="395" applyFont="1" applyFill="1" applyBorder="1" applyAlignment="1">
      <alignment horizontal="center"/>
    </xf>
    <xf numFmtId="0" fontId="23" fillId="9" borderId="6" xfId="395" applyFont="1" applyFill="1" applyBorder="1" applyAlignment="1">
      <alignment horizontal="center"/>
    </xf>
    <xf numFmtId="0" fontId="23" fillId="9" borderId="7" xfId="395" applyFont="1" applyFill="1" applyBorder="1" applyAlignment="1">
      <alignment horizontal="center"/>
    </xf>
    <xf numFmtId="0" fontId="23" fillId="9" borderId="0" xfId="395" applyFont="1" applyFill="1" applyAlignment="1">
      <alignment horizontal="right"/>
    </xf>
    <xf numFmtId="0" fontId="23" fillId="9" borderId="8" xfId="395" applyFont="1" applyFill="1" applyBorder="1" applyAlignment="1">
      <alignment horizontal="right" wrapText="1"/>
    </xf>
    <xf numFmtId="0" fontId="23" fillId="9" borderId="0" xfId="395" applyFont="1" applyFill="1" applyAlignment="1">
      <alignment horizontal="right" wrapText="1"/>
    </xf>
    <xf numFmtId="0" fontId="23" fillId="9" borderId="1" xfId="395" applyFont="1" applyFill="1" applyBorder="1" applyAlignment="1">
      <alignment horizontal="right" wrapText="1"/>
    </xf>
    <xf numFmtId="0" fontId="23" fillId="9" borderId="5" xfId="395" applyFont="1" applyFill="1" applyBorder="1" applyAlignment="1">
      <alignment horizontal="center" wrapText="1"/>
    </xf>
    <xf numFmtId="0" fontId="23" fillId="9" borderId="6" xfId="395" applyFont="1" applyFill="1" applyBorder="1" applyAlignment="1">
      <alignment horizontal="center" wrapText="1"/>
    </xf>
    <xf numFmtId="0" fontId="23" fillId="9" borderId="7" xfId="395" applyFont="1" applyFill="1" applyBorder="1" applyAlignment="1">
      <alignment horizontal="center" wrapText="1"/>
    </xf>
    <xf numFmtId="0" fontId="3" fillId="0" borderId="0" xfId="395" applyAlignment="1">
      <alignment horizontal="center"/>
    </xf>
    <xf numFmtId="0" fontId="23" fillId="9" borderId="0" xfId="395" applyFont="1" applyFill="1" applyAlignment="1">
      <alignment horizontal="left" wrapText="1"/>
    </xf>
    <xf numFmtId="0" fontId="23" fillId="9" borderId="0" xfId="395" applyFont="1" applyFill="1" applyAlignment="1">
      <alignment horizontal="left" vertical="top" wrapText="1"/>
    </xf>
    <xf numFmtId="0" fontId="23" fillId="9" borderId="0" xfId="395" applyFont="1" applyFill="1" applyAlignment="1">
      <alignment horizontal="right" vertical="center" wrapText="1"/>
    </xf>
    <xf numFmtId="0" fontId="23" fillId="9" borderId="0" xfId="395" applyFont="1" applyFill="1" applyAlignment="1">
      <alignment horizontal="center"/>
    </xf>
    <xf numFmtId="0" fontId="27" fillId="0" borderId="0" xfId="381" applyFont="1" applyAlignment="1">
      <alignment horizontal="center"/>
    </xf>
    <xf numFmtId="2" fontId="42" fillId="0" borderId="5" xfId="395" applyNumberFormat="1" applyFont="1" applyBorder="1" applyAlignment="1">
      <alignment horizontal="center" vertical="center"/>
    </xf>
    <xf numFmtId="2" fontId="42" fillId="0" borderId="6" xfId="395" applyNumberFormat="1" applyFont="1" applyBorder="1" applyAlignment="1">
      <alignment horizontal="center" vertical="center"/>
    </xf>
    <xf numFmtId="2" fontId="42" fillId="0" borderId="7" xfId="395" applyNumberFormat="1" applyFont="1" applyBorder="1" applyAlignment="1">
      <alignment horizontal="center" vertical="center"/>
    </xf>
    <xf numFmtId="0" fontId="8" fillId="0" borderId="12" xfId="395" applyFont="1" applyBorder="1" applyAlignment="1">
      <alignment horizontal="center" vertical="center" wrapText="1"/>
    </xf>
    <xf numFmtId="0" fontId="8" fillId="0" borderId="19" xfId="395" applyFont="1" applyBorder="1" applyAlignment="1">
      <alignment horizontal="center" vertical="center" wrapText="1"/>
    </xf>
    <xf numFmtId="0" fontId="8" fillId="0" borderId="18" xfId="395" applyFont="1" applyBorder="1" applyAlignment="1">
      <alignment horizontal="center" vertical="center" wrapText="1"/>
    </xf>
    <xf numFmtId="0" fontId="8" fillId="0" borderId="12" xfId="395" applyFont="1" applyBorder="1" applyAlignment="1">
      <alignment horizontal="center"/>
    </xf>
    <xf numFmtId="0" fontId="1" fillId="11" borderId="26" xfId="395" applyFont="1" applyFill="1" applyBorder="1" applyAlignment="1">
      <alignment horizontal="center"/>
    </xf>
    <xf numFmtId="0" fontId="3" fillId="11" borderId="6" xfId="395" applyFill="1" applyBorder="1" applyAlignment="1">
      <alignment horizontal="center"/>
    </xf>
    <xf numFmtId="0" fontId="3" fillId="11" borderId="25" xfId="395" applyFill="1" applyBorder="1" applyAlignment="1">
      <alignment horizontal="center"/>
    </xf>
    <xf numFmtId="0" fontId="3" fillId="0" borderId="0" xfId="395" applyAlignment="1">
      <alignment wrapText="1"/>
    </xf>
    <xf numFmtId="0" fontId="3" fillId="0" borderId="0" xfId="395" applyAlignment="1">
      <alignment vertical="center" wrapText="1"/>
    </xf>
    <xf numFmtId="0" fontId="3" fillId="11" borderId="26" xfId="395" applyFill="1" applyBorder="1" applyAlignment="1">
      <alignment horizontal="center" vertical="center"/>
    </xf>
    <xf numFmtId="0" fontId="3" fillId="11" borderId="6" xfId="395" applyFill="1" applyBorder="1" applyAlignment="1">
      <alignment horizontal="center" vertical="center"/>
    </xf>
    <xf numFmtId="0" fontId="3" fillId="11" borderId="25" xfId="395" applyFill="1" applyBorder="1" applyAlignment="1">
      <alignment horizontal="center" vertical="center"/>
    </xf>
    <xf numFmtId="0" fontId="3" fillId="0" borderId="0" xfId="395" applyAlignment="1">
      <alignment horizontal="left" vertical="center" wrapText="1"/>
    </xf>
    <xf numFmtId="0" fontId="3" fillId="11" borderId="26" xfId="395" applyFill="1" applyBorder="1" applyAlignment="1">
      <alignment horizontal="center"/>
    </xf>
    <xf numFmtId="0" fontId="55" fillId="0" borderId="0" xfId="397" applyAlignment="1">
      <alignment horizontal="left" vertical="center"/>
    </xf>
    <xf numFmtId="0" fontId="55" fillId="0" borderId="0" xfId="397" applyAlignment="1">
      <alignment vertical="center"/>
    </xf>
    <xf numFmtId="0" fontId="55" fillId="0" borderId="8" xfId="397" applyBorder="1" applyAlignment="1">
      <alignment horizontal="left" vertical="center"/>
    </xf>
    <xf numFmtId="0" fontId="58" fillId="0" borderId="1" xfId="397" applyFont="1" applyBorder="1" applyAlignment="1">
      <alignment horizontal="center" vertical="center"/>
    </xf>
    <xf numFmtId="0" fontId="55" fillId="0" borderId="8" xfId="397" applyBorder="1" applyAlignment="1">
      <alignment vertical="center"/>
    </xf>
    <xf numFmtId="0" fontId="59" fillId="12" borderId="5" xfId="399" applyFill="1" applyBorder="1" applyAlignment="1" applyProtection="1">
      <alignment horizontal="left" vertical="center"/>
      <protection locked="0"/>
    </xf>
    <xf numFmtId="0" fontId="59" fillId="12" borderId="7" xfId="399" applyFill="1" applyBorder="1" applyAlignment="1" applyProtection="1">
      <alignment horizontal="left" vertical="center"/>
      <protection locked="0"/>
    </xf>
    <xf numFmtId="0" fontId="56" fillId="0" borderId="30" xfId="398" applyBorder="1">
      <alignment vertical="center"/>
    </xf>
    <xf numFmtId="0" fontId="55" fillId="0" borderId="31" xfId="397" applyBorder="1"/>
    <xf numFmtId="0" fontId="57" fillId="0" borderId="0" xfId="397" applyFont="1" applyAlignment="1">
      <alignment horizontal="left" vertical="center"/>
    </xf>
    <xf numFmtId="0" fontId="59" fillId="12" borderId="12" xfId="399" applyFill="1" applyBorder="1" applyAlignment="1" applyProtection="1">
      <alignment horizontal="left" vertical="center"/>
      <protection locked="0"/>
    </xf>
    <xf numFmtId="0" fontId="39" fillId="0" borderId="5" xfId="397" applyFont="1" applyBorder="1"/>
    <xf numFmtId="0" fontId="39" fillId="0" borderId="6" xfId="397" applyFont="1" applyBorder="1"/>
    <xf numFmtId="0" fontId="39" fillId="0" borderId="7" xfId="397" applyFont="1" applyBorder="1"/>
    <xf numFmtId="0" fontId="75" fillId="0" borderId="2" xfId="397" applyFont="1" applyBorder="1" applyAlignment="1">
      <alignment horizontal="center" wrapText="1"/>
    </xf>
    <xf numFmtId="0" fontId="75" fillId="0" borderId="9" xfId="397" applyFont="1" applyBorder="1" applyAlignment="1">
      <alignment horizontal="center" wrapText="1"/>
    </xf>
    <xf numFmtId="0" fontId="75" fillId="0" borderId="3" xfId="397" applyFont="1" applyBorder="1" applyAlignment="1">
      <alignment horizontal="center" wrapText="1"/>
    </xf>
    <xf numFmtId="0" fontId="75" fillId="0" borderId="11" xfId="397" applyFont="1" applyBorder="1" applyAlignment="1">
      <alignment horizontal="center" wrapText="1"/>
    </xf>
    <xf numFmtId="0" fontId="75" fillId="0" borderId="4" xfId="397" applyFont="1" applyBorder="1" applyAlignment="1">
      <alignment horizontal="center" wrapText="1"/>
    </xf>
    <xf numFmtId="0" fontId="75" fillId="0" borderId="10" xfId="397" applyFont="1" applyBorder="1" applyAlignment="1">
      <alignment horizontal="center" wrapText="1"/>
    </xf>
    <xf numFmtId="0" fontId="75" fillId="0" borderId="12" xfId="397" applyFont="1" applyBorder="1" applyAlignment="1">
      <alignment horizontal="center" wrapText="1"/>
    </xf>
    <xf numFmtId="0" fontId="75" fillId="0" borderId="12" xfId="397" applyFont="1" applyBorder="1" applyAlignment="1">
      <alignment horizontal="center"/>
    </xf>
    <xf numFmtId="0" fontId="74" fillId="0" borderId="0" xfId="403" applyFont="1" applyBorder="1">
      <alignment vertical="center"/>
    </xf>
    <xf numFmtId="0" fontId="57" fillId="0" borderId="0" xfId="397" applyFont="1"/>
    <xf numFmtId="0" fontId="23" fillId="0" borderId="0" xfId="397" applyFont="1" applyAlignment="1">
      <alignment horizontal="center" vertical="center" wrapText="1"/>
    </xf>
    <xf numFmtId="0" fontId="23" fillId="0" borderId="1" xfId="397" applyFont="1" applyBorder="1" applyAlignment="1">
      <alignment horizontal="center" vertical="center" wrapText="1"/>
    </xf>
    <xf numFmtId="0" fontId="75" fillId="0" borderId="0" xfId="397" applyFont="1" applyAlignment="1">
      <alignment horizontal="center" wrapText="1"/>
    </xf>
    <xf numFmtId="0" fontId="23" fillId="0" borderId="0" xfId="397" applyFont="1" applyAlignment="1">
      <alignment horizontal="center" vertical="center"/>
    </xf>
    <xf numFmtId="0" fontId="75" fillId="0" borderId="2" xfId="397" applyFont="1" applyBorder="1" applyAlignment="1">
      <alignment horizontal="left"/>
    </xf>
    <xf numFmtId="0" fontId="75" fillId="0" borderId="8" xfId="397" applyFont="1" applyBorder="1" applyAlignment="1">
      <alignment horizontal="left"/>
    </xf>
    <xf numFmtId="0" fontId="75" fillId="0" borderId="9" xfId="397" applyFont="1" applyBorder="1" applyAlignment="1">
      <alignment horizontal="left"/>
    </xf>
    <xf numFmtId="0" fontId="75" fillId="0" borderId="3" xfId="397" applyFont="1" applyBorder="1" applyAlignment="1">
      <alignment horizontal="left"/>
    </xf>
    <xf numFmtId="0" fontId="75" fillId="0" borderId="0" xfId="397" applyFont="1" applyAlignment="1">
      <alignment horizontal="left"/>
    </xf>
    <xf numFmtId="0" fontId="75" fillId="0" borderId="11" xfId="397" applyFont="1" applyBorder="1" applyAlignment="1">
      <alignment horizontal="left"/>
    </xf>
    <xf numFmtId="0" fontId="75" fillId="0" borderId="4" xfId="397" applyFont="1" applyBorder="1" applyAlignment="1">
      <alignment horizontal="left"/>
    </xf>
    <xf numFmtId="0" fontId="75" fillId="0" borderId="1" xfId="397" applyFont="1" applyBorder="1" applyAlignment="1">
      <alignment horizontal="left"/>
    </xf>
    <xf numFmtId="0" fontId="75" fillId="0" borderId="10" xfId="397" applyFont="1" applyBorder="1" applyAlignment="1">
      <alignment horizontal="left"/>
    </xf>
  </cellXfs>
  <cellStyles count="406">
    <cellStyle name="Comma 2" xfId="206" xr:uid="{00000000-0005-0000-0000-000001000000}"/>
    <cellStyle name="Comma 3" xfId="402" xr:uid="{292835B6-97DA-FD4C-9F4D-8A921AC5CED5}"/>
    <cellStyle name="Enter Info" xfId="400" xr:uid="{0FF695AF-A6F7-E044-8395-5AD52FFD23FC}"/>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6" builtinId="9" hidden="1"/>
    <cellStyle name="Followed Hyperlink" xfId="388" builtinId="9" hidden="1"/>
    <cellStyle name="Followed Hyperlink" xfId="390" builtinId="9" hidden="1"/>
    <cellStyle name="Followed Hyperlink" xfId="392" builtinId="9" hidden="1"/>
    <cellStyle name="Good" xfId="382" builtinId="2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5" builtinId="8" hidden="1"/>
    <cellStyle name="Hyperlink" xfId="387" builtinId="8" hidden="1"/>
    <cellStyle name="Hyperlink" xfId="389" builtinId="8" hidden="1"/>
    <cellStyle name="Hyperlink" xfId="391" builtinId="8" hidden="1"/>
    <cellStyle name="Hyperlink" xfId="396" builtinId="8"/>
    <cellStyle name="Normal" xfId="0" builtinId="0"/>
    <cellStyle name="Normal 2" xfId="395" xr:uid="{5A0CF709-C285-094D-BA26-E6884DA9AF21}"/>
    <cellStyle name="Normal 3" xfId="394" xr:uid="{EEF16004-F0D4-C94D-BB20-8867B5D7E999}"/>
    <cellStyle name="Normal 3 2" xfId="404" xr:uid="{B8FFBF32-3994-1E46-8A25-0BD0940994F0}"/>
    <cellStyle name="Normal 4" xfId="397" xr:uid="{AB5AABD4-34EA-F04F-88A5-A5078A9C9070}"/>
    <cellStyle name="Normal 4 2" xfId="393" xr:uid="{730B1F2D-32EF-F94E-87F3-9BF1C8C2D2EA}"/>
    <cellStyle name="Normal 5" xfId="405" xr:uid="{82207E43-E48C-ED43-86B1-90D23A033706}"/>
    <cellStyle name="Normal 6" xfId="381" xr:uid="{00000000-0005-0000-0000-000086010000}"/>
    <cellStyle name="PCA Body Text" xfId="399" xr:uid="{F21A0F8C-EAD5-A744-9A13-ED9E29EB74D6}"/>
    <cellStyle name="PCA Heading 1" xfId="398" xr:uid="{F90EDC56-45F7-4E40-9721-877BF533B442}"/>
    <cellStyle name="PCA Hyperlink 2" xfId="403" xr:uid="{87D3B07F-01D1-B648-8D3F-87170E4E960D}"/>
    <cellStyle name="Percent" xfId="205" builtinId="5"/>
    <cellStyle name="Percent 2" xfId="383" xr:uid="{00000000-0005-0000-0000-000088010000}"/>
    <cellStyle name="Percent 2 2" xfId="384" xr:uid="{00000000-0005-0000-0000-000089010000}"/>
    <cellStyle name="Standard Values" xfId="401" xr:uid="{C88C63FF-23CB-8A48-ACD4-4BA75B82662A}"/>
  </cellStyles>
  <dxfs count="1655">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452847</xdr:colOff>
      <xdr:row>4</xdr:row>
      <xdr:rowOff>49032</xdr:rowOff>
    </xdr:from>
    <xdr:to>
      <xdr:col>15</xdr:col>
      <xdr:colOff>734469</xdr:colOff>
      <xdr:row>20</xdr:row>
      <xdr:rowOff>1477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683" r="13023"/>
        <a:stretch/>
      </xdr:blipFill>
      <xdr:spPr>
        <a:xfrm>
          <a:off x="11032924" y="947801"/>
          <a:ext cx="5371392" cy="3231459"/>
        </a:xfrm>
        <a:prstGeom prst="rect">
          <a:avLst/>
        </a:prstGeom>
      </xdr:spPr>
    </xdr:pic>
    <xdr:clientData/>
  </xdr:twoCellAnchor>
  <xdr:twoCellAnchor editAs="oneCell">
    <xdr:from>
      <xdr:col>12</xdr:col>
      <xdr:colOff>238125</xdr:colOff>
      <xdr:row>47</xdr:row>
      <xdr:rowOff>190500</xdr:rowOff>
    </xdr:from>
    <xdr:to>
      <xdr:col>21</xdr:col>
      <xdr:colOff>581026</xdr:colOff>
      <xdr:row>60</xdr:row>
      <xdr:rowOff>25511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0525125" y="3381375"/>
          <a:ext cx="7772400" cy="2739231"/>
        </a:xfrm>
        <a:prstGeom prst="rect">
          <a:avLst/>
        </a:prstGeom>
      </xdr:spPr>
    </xdr:pic>
    <xdr:clientData/>
  </xdr:twoCellAnchor>
  <xdr:twoCellAnchor>
    <xdr:from>
      <xdr:col>0</xdr:col>
      <xdr:colOff>115835</xdr:colOff>
      <xdr:row>82</xdr:row>
      <xdr:rowOff>146541</xdr:rowOff>
    </xdr:from>
    <xdr:to>
      <xdr:col>5</xdr:col>
      <xdr:colOff>79549</xdr:colOff>
      <xdr:row>86</xdr:row>
      <xdr:rowOff>19539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5835" y="18493156"/>
          <a:ext cx="7065945" cy="693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 - Calculations assume 100% of Cr emissions are Cr 6+.</a:t>
          </a:r>
        </a:p>
        <a:p>
          <a:r>
            <a:rPr lang="en-US" sz="1100"/>
            <a:t> - Wt.% metal fraction of total PM</a:t>
          </a:r>
          <a:r>
            <a:rPr lang="en-US" sz="1100" baseline="0"/>
            <a:t> based on CSRM internal steel specification (included)</a:t>
          </a:r>
          <a:endParaRPr lang="en-US" sz="1100"/>
        </a:p>
      </xdr:txBody>
    </xdr:sp>
    <xdr:clientData/>
  </xdr:twoCellAnchor>
  <xdr:twoCellAnchor editAs="oneCell">
    <xdr:from>
      <xdr:col>12</xdr:col>
      <xdr:colOff>217714</xdr:colOff>
      <xdr:row>68</xdr:row>
      <xdr:rowOff>162731</xdr:rowOff>
    </xdr:from>
    <xdr:to>
      <xdr:col>18</xdr:col>
      <xdr:colOff>315686</xdr:colOff>
      <xdr:row>84</xdr:row>
      <xdr:rowOff>79075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1520714" y="6177088"/>
          <a:ext cx="5050971" cy="3820870"/>
        </a:xfrm>
        <a:prstGeom prst="rect">
          <a:avLst/>
        </a:prstGeom>
      </xdr:spPr>
    </xdr:pic>
    <xdr:clientData/>
  </xdr:twoCellAnchor>
  <xdr:twoCellAnchor>
    <xdr:from>
      <xdr:col>0</xdr:col>
      <xdr:colOff>46869</xdr:colOff>
      <xdr:row>150</xdr:row>
      <xdr:rowOff>127000</xdr:rowOff>
    </xdr:from>
    <xdr:to>
      <xdr:col>5</xdr:col>
      <xdr:colOff>10583</xdr:colOff>
      <xdr:row>154</xdr:row>
      <xdr:rowOff>148167</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6869" y="32406167"/>
          <a:ext cx="7043964" cy="82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 - Emission factors</a:t>
          </a:r>
          <a:r>
            <a:rPr lang="en-US" sz="1100" baseline="0"/>
            <a:t> from Oregon DEQ 2020 ATEI Combustion EF Tool, Natural Gas External Combustion &lt; 10 MMBtu/hr.</a:t>
          </a:r>
          <a:endParaRPr lang="en-US" sz="1100"/>
        </a:p>
      </xdr:txBody>
    </xdr:sp>
    <xdr:clientData/>
  </xdr:twoCellAnchor>
  <xdr:twoCellAnchor>
    <xdr:from>
      <xdr:col>0</xdr:col>
      <xdr:colOff>106740</xdr:colOff>
      <xdr:row>25</xdr:row>
      <xdr:rowOff>66826</xdr:rowOff>
    </xdr:from>
    <xdr:to>
      <xdr:col>5</xdr:col>
      <xdr:colOff>70454</xdr:colOff>
      <xdr:row>39</xdr:row>
      <xdr:rowOff>25400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06740" y="4418693"/>
          <a:ext cx="7067247" cy="2803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u="sng"/>
            <a:t>Scrap Preparation:</a:t>
          </a:r>
        </a:p>
        <a:p>
          <a:endParaRPr lang="en-US" sz="1100"/>
        </a:p>
        <a:p>
          <a:r>
            <a:rPr lang="en-US" sz="1100"/>
            <a:t>- Calculate PM</a:t>
          </a:r>
          <a:r>
            <a:rPr lang="en-US" sz="1100" baseline="0"/>
            <a:t> emissions based on torch cutting of scrap metal emission factor.</a:t>
          </a:r>
        </a:p>
        <a:p>
          <a:r>
            <a:rPr lang="en-US" sz="1100"/>
            <a:t>- Use typical steel </a:t>
          </a:r>
          <a:r>
            <a:rPr lang="en-US" sz="1100" baseline="0"/>
            <a:t>composition information to determine mass fraction of metal TACs.</a:t>
          </a:r>
        </a:p>
        <a:p>
          <a:r>
            <a:rPr lang="en-US" sz="1100" baseline="0"/>
            <a:t>- Use DEQ natural gas emission factors for torch gas combustion.</a:t>
          </a:r>
        </a:p>
        <a:p>
          <a:endParaRPr lang="en-US" sz="1100" baseline="0"/>
        </a:p>
        <a:p>
          <a:r>
            <a:rPr lang="en-US" sz="1100" u="sng" baseline="0">
              <a:solidFill>
                <a:sysClr val="windowText" lastClr="000000"/>
              </a:solidFill>
            </a:rPr>
            <a:t>Scrap Handling:</a:t>
          </a:r>
        </a:p>
        <a:p>
          <a:endParaRPr lang="en-US" sz="1100" baseline="0">
            <a:solidFill>
              <a:sysClr val="windowText" lastClr="000000"/>
            </a:solidFill>
          </a:endParaRPr>
        </a:p>
        <a:p>
          <a:r>
            <a:rPr lang="en-US" sz="1100" baseline="0">
              <a:solidFill>
                <a:sysClr val="windowText" lastClr="000000"/>
              </a:solidFill>
            </a:rPr>
            <a:t>- Use AP-42 emission factor (batch drop front end loader) to calculate PM emissions.</a:t>
          </a:r>
        </a:p>
        <a:p>
          <a:r>
            <a:rPr lang="en-US" sz="1100" baseline="0">
              <a:solidFill>
                <a:sysClr val="windowText" lastClr="000000"/>
              </a:solidFill>
            </a:rPr>
            <a:t>- For both the Main Scrap Area and the Secondary Scrap Area calculate emissions based on maximum quantities received and removed from each area.</a:t>
          </a:r>
        </a:p>
        <a:p>
          <a:r>
            <a:rPr lang="en-US" sz="1100" baseline="0">
              <a:solidFill>
                <a:sysClr val="windowText" lastClr="000000"/>
              </a:solidFill>
            </a:rPr>
            <a:t>- Calculate speciated metal TAC emissions based on results of analytical testing of scrap dust (Truck "Sweep Off" sample).</a:t>
          </a:r>
        </a:p>
      </xdr:txBody>
    </xdr:sp>
    <xdr:clientData/>
  </xdr:twoCellAnchor>
  <xdr:twoCellAnchor>
    <xdr:from>
      <xdr:col>0</xdr:col>
      <xdr:colOff>104531</xdr:colOff>
      <xdr:row>204</xdr:row>
      <xdr:rowOff>149469</xdr:rowOff>
    </xdr:from>
    <xdr:to>
      <xdr:col>5</xdr:col>
      <xdr:colOff>68245</xdr:colOff>
      <xdr:row>209</xdr:row>
      <xdr:rowOff>131326</xdr:rowOff>
    </xdr:to>
    <xdr:sp macro="" textlink="">
      <xdr:nvSpPr>
        <xdr:cNvPr id="8" name="TextBox 7">
          <a:extLst>
            <a:ext uri="{FF2B5EF4-FFF2-40B4-BE49-F238E27FC236}">
              <a16:creationId xmlns:a16="http://schemas.microsoft.com/office/drawing/2014/main" id="{30D177D9-739E-1C45-83E0-E69C21CCE1C8}"/>
            </a:ext>
          </a:extLst>
        </xdr:cNvPr>
        <xdr:cNvSpPr txBox="1"/>
      </xdr:nvSpPr>
      <xdr:spPr>
        <a:xfrm>
          <a:off x="104531" y="33921700"/>
          <a:ext cx="7065945" cy="1007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Chromium is present in the ferrous metal scrap but there is no mechanism (e.g. high temperatures) in scrap handling to cause oxidation of elemental chromium to the hexavalent state. It is conservatively assumed that 5% of the detected chromium is hexavalent.</a:t>
          </a:r>
        </a:p>
      </xdr:txBody>
    </xdr:sp>
    <xdr:clientData/>
  </xdr:twoCellAnchor>
  <xdr:twoCellAnchor editAs="oneCell">
    <xdr:from>
      <xdr:col>7</xdr:col>
      <xdr:colOff>409223</xdr:colOff>
      <xdr:row>160</xdr:row>
      <xdr:rowOff>84665</xdr:rowOff>
    </xdr:from>
    <xdr:to>
      <xdr:col>16</xdr:col>
      <xdr:colOff>542085</xdr:colOff>
      <xdr:row>191</xdr:row>
      <xdr:rowOff>152028</xdr:rowOff>
    </xdr:to>
    <xdr:pic>
      <xdr:nvPicPr>
        <xdr:cNvPr id="10" name="Picture 9">
          <a:extLst>
            <a:ext uri="{FF2B5EF4-FFF2-40B4-BE49-F238E27FC236}">
              <a16:creationId xmlns:a16="http://schemas.microsoft.com/office/drawing/2014/main" id="{2AB58049-67D4-2D30-6FFE-334C78D6DB26}"/>
            </a:ext>
          </a:extLst>
        </xdr:cNvPr>
        <xdr:cNvPicPr>
          <a:picLocks noChangeAspect="1"/>
        </xdr:cNvPicPr>
      </xdr:nvPicPr>
      <xdr:blipFill>
        <a:blip xmlns:r="http://schemas.openxmlformats.org/officeDocument/2006/relationships" r:embed="rId4"/>
        <a:stretch>
          <a:fillRect/>
        </a:stretch>
      </xdr:blipFill>
      <xdr:spPr>
        <a:xfrm>
          <a:off x="9313334" y="23523221"/>
          <a:ext cx="7772400" cy="71370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283308</xdr:colOff>
      <xdr:row>19</xdr:row>
      <xdr:rowOff>48846</xdr:rowOff>
    </xdr:from>
    <xdr:to>
      <xdr:col>5</xdr:col>
      <xdr:colOff>205154</xdr:colOff>
      <xdr:row>23</xdr:row>
      <xdr:rowOff>166077</xdr:rowOff>
    </xdr:to>
    <xdr:sp macro="" textlink="">
      <xdr:nvSpPr>
        <xdr:cNvPr id="2" name="TextBox 1">
          <a:extLst>
            <a:ext uri="{FF2B5EF4-FFF2-40B4-BE49-F238E27FC236}">
              <a16:creationId xmlns:a16="http://schemas.microsoft.com/office/drawing/2014/main" id="{CEB53970-ECEF-8D44-F2C3-69E3B4678F97}"/>
            </a:ext>
          </a:extLst>
        </xdr:cNvPr>
        <xdr:cNvSpPr txBox="1"/>
      </xdr:nvSpPr>
      <xdr:spPr>
        <a:xfrm>
          <a:off x="283308" y="4640384"/>
          <a:ext cx="7766538" cy="908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Emission</a:t>
          </a:r>
          <a:r>
            <a:rPr lang="en-US" sz="1100" baseline="0"/>
            <a:t> factors from ODEQ 2020 Air Toxics Emissions Inventory Welding Emission Factor Search Tool.</a:t>
          </a:r>
        </a:p>
        <a:p>
          <a:r>
            <a:rPr lang="en-US" sz="1100" baseline="0"/>
            <a:t> </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241300</xdr:colOff>
      <xdr:row>2</xdr:row>
      <xdr:rowOff>63500</xdr:rowOff>
    </xdr:from>
    <xdr:to>
      <xdr:col>6</xdr:col>
      <xdr:colOff>355600</xdr:colOff>
      <xdr:row>18</xdr:row>
      <xdr:rowOff>25400</xdr:rowOff>
    </xdr:to>
    <xdr:pic>
      <xdr:nvPicPr>
        <xdr:cNvPr id="2" name="Picture 1">
          <a:extLst>
            <a:ext uri="{FF2B5EF4-FFF2-40B4-BE49-F238E27FC236}">
              <a16:creationId xmlns:a16="http://schemas.microsoft.com/office/drawing/2014/main" id="{C8B0BAAA-D481-1A54-9BDC-814B41F5C37B}"/>
            </a:ext>
          </a:extLst>
        </xdr:cNvPr>
        <xdr:cNvPicPr>
          <a:picLocks noChangeAspect="1"/>
        </xdr:cNvPicPr>
      </xdr:nvPicPr>
      <xdr:blipFill>
        <a:blip xmlns:r="http://schemas.openxmlformats.org/officeDocument/2006/relationships" r:embed="rId1"/>
        <a:stretch>
          <a:fillRect/>
        </a:stretch>
      </xdr:blipFill>
      <xdr:spPr>
        <a:xfrm>
          <a:off x="241300" y="486833"/>
          <a:ext cx="5194300" cy="3348567"/>
        </a:xfrm>
        <a:prstGeom prst="rect">
          <a:avLst/>
        </a:prstGeom>
      </xdr:spPr>
    </xdr:pic>
    <xdr:clientData/>
  </xdr:twoCellAnchor>
  <xdr:twoCellAnchor editAs="oneCell">
    <xdr:from>
      <xdr:col>0</xdr:col>
      <xdr:colOff>270933</xdr:colOff>
      <xdr:row>19</xdr:row>
      <xdr:rowOff>84666</xdr:rowOff>
    </xdr:from>
    <xdr:to>
      <xdr:col>6</xdr:col>
      <xdr:colOff>321733</xdr:colOff>
      <xdr:row>38</xdr:row>
      <xdr:rowOff>97366</xdr:rowOff>
    </xdr:to>
    <xdr:pic>
      <xdr:nvPicPr>
        <xdr:cNvPr id="3" name="Picture 2">
          <a:extLst>
            <a:ext uri="{FF2B5EF4-FFF2-40B4-BE49-F238E27FC236}">
              <a16:creationId xmlns:a16="http://schemas.microsoft.com/office/drawing/2014/main" id="{AFA8A8FE-B2A2-A6D7-8949-9C60C252FAC5}"/>
            </a:ext>
          </a:extLst>
        </xdr:cNvPr>
        <xdr:cNvPicPr>
          <a:picLocks noChangeAspect="1"/>
        </xdr:cNvPicPr>
      </xdr:nvPicPr>
      <xdr:blipFill>
        <a:blip xmlns:r="http://schemas.openxmlformats.org/officeDocument/2006/relationships" r:embed="rId2"/>
        <a:stretch>
          <a:fillRect/>
        </a:stretch>
      </xdr:blipFill>
      <xdr:spPr>
        <a:xfrm>
          <a:off x="270933" y="4106333"/>
          <a:ext cx="5130800" cy="40343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2822</xdr:colOff>
      <xdr:row>0</xdr:row>
      <xdr:rowOff>0</xdr:rowOff>
    </xdr:from>
    <xdr:to>
      <xdr:col>25</xdr:col>
      <xdr:colOff>124841</xdr:colOff>
      <xdr:row>47</xdr:row>
      <xdr:rowOff>194733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0221222" y="0"/>
          <a:ext cx="7665819" cy="10354733"/>
        </a:xfrm>
        <a:prstGeom prst="rect">
          <a:avLst/>
        </a:prstGeom>
      </xdr:spPr>
    </xdr:pic>
    <xdr:clientData/>
  </xdr:twoCellAnchor>
  <xdr:twoCellAnchor editAs="oneCell">
    <xdr:from>
      <xdr:col>6</xdr:col>
      <xdr:colOff>330200</xdr:colOff>
      <xdr:row>0</xdr:row>
      <xdr:rowOff>228600</xdr:rowOff>
    </xdr:from>
    <xdr:to>
      <xdr:col>15</xdr:col>
      <xdr:colOff>401419</xdr:colOff>
      <xdr:row>47</xdr:row>
      <xdr:rowOff>127000</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2166600" y="228600"/>
          <a:ext cx="7615019" cy="10058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37569</xdr:colOff>
      <xdr:row>3</xdr:row>
      <xdr:rowOff>200027</xdr:rowOff>
    </xdr:from>
    <xdr:to>
      <xdr:col>9</xdr:col>
      <xdr:colOff>1018164</xdr:colOff>
      <xdr:row>11</xdr:row>
      <xdr:rowOff>190501</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7569" y="676277"/>
          <a:ext cx="9568970" cy="164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on Baghouse Emission Factors Derived</a:t>
          </a:r>
          <a:r>
            <a:rPr lang="en-US" sz="1100" baseline="0"/>
            <a:t> from Filter Analysis</a:t>
          </a:r>
          <a:r>
            <a:rPr lang="en-US" sz="1100"/>
            <a:t>:</a:t>
          </a:r>
        </a:p>
        <a:p>
          <a:endParaRPr lang="en-US" sz="1100"/>
        </a:p>
        <a:p>
          <a:r>
            <a:rPr lang="en-US" sz="1100" baseline="0"/>
            <a:t>Emissions of metal TACS are estimated based on a 2013 analysis of an air source test filter to determine the mass fraction of metals present on the filter relative to the total PM on the filter and then multiplying these mass fractions by the source test derived PM emission factor.</a:t>
          </a:r>
        </a:p>
        <a:p>
          <a:endParaRPr lang="en-US" sz="1100" baseline="0"/>
        </a:p>
        <a:p>
          <a:r>
            <a:rPr lang="en-US" sz="1100" baseline="0"/>
            <a:t>A review of the analytical data indicates that the filter "catch" for BH1 was extremely small. For BH1 the data shows that after drying the filter it weighed less than its original tare weight resulting in a negative collected mass.  For this assessment it is assumed the BH1A metal TAC emission factors derived from the 2013 filter analysis can also be applied to the BH1 PM source test emission factors as these two baghouse systems both control emissions from the melt shop and are manifolded together.</a:t>
          </a:r>
        </a:p>
        <a:p>
          <a:endParaRPr lang="en-US" sz="1100" baseline="0"/>
        </a:p>
        <a:p>
          <a:endParaRPr lang="en-US" sz="1100" baseline="0"/>
        </a:p>
        <a:p>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76200</xdr:colOff>
      <xdr:row>23</xdr:row>
      <xdr:rowOff>88900</xdr:rowOff>
    </xdr:from>
    <xdr:to>
      <xdr:col>17</xdr:col>
      <xdr:colOff>190500</xdr:colOff>
      <xdr:row>47</xdr:row>
      <xdr:rowOff>148736</xdr:rowOff>
    </xdr:to>
    <xdr:pic>
      <xdr:nvPicPr>
        <xdr:cNvPr id="3" name="Picture 2" descr="2013_Filter.pn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0" y="5295900"/>
          <a:ext cx="5626100" cy="4669936"/>
        </a:xfrm>
        <a:prstGeom prst="rect">
          <a:avLst/>
        </a:prstGeom>
      </xdr:spPr>
    </xdr:pic>
    <xdr:clientData/>
  </xdr:twoCellAnchor>
  <xdr:twoCellAnchor editAs="oneCell">
    <xdr:from>
      <xdr:col>19</xdr:col>
      <xdr:colOff>522902</xdr:colOff>
      <xdr:row>21</xdr:row>
      <xdr:rowOff>177800</xdr:rowOff>
    </xdr:from>
    <xdr:to>
      <xdr:col>25</xdr:col>
      <xdr:colOff>469899</xdr:colOff>
      <xdr:row>51</xdr:row>
      <xdr:rowOff>85457</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8549302" y="6273800"/>
          <a:ext cx="4709497" cy="609255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0</xdr:colOff>
      <xdr:row>5</xdr:row>
      <xdr:rowOff>0</xdr:rowOff>
    </xdr:from>
    <xdr:to>
      <xdr:col>25</xdr:col>
      <xdr:colOff>296470</xdr:colOff>
      <xdr:row>63</xdr:row>
      <xdr:rowOff>152400</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8547100" y="1003300"/>
          <a:ext cx="7700570" cy="10058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13</xdr:col>
      <xdr:colOff>647700</xdr:colOff>
      <xdr:row>4</xdr:row>
      <xdr:rowOff>76200</xdr:rowOff>
    </xdr:from>
    <xdr:to>
      <xdr:col>25</xdr:col>
      <xdr:colOff>271070</xdr:colOff>
      <xdr:row>63</xdr:row>
      <xdr:rowOff>0</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8255000" y="939800"/>
          <a:ext cx="7700570" cy="10058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0</xdr:colOff>
      <xdr:row>3</xdr:row>
      <xdr:rowOff>0</xdr:rowOff>
    </xdr:from>
    <xdr:to>
      <xdr:col>26</xdr:col>
      <xdr:colOff>249903</xdr:colOff>
      <xdr:row>61</xdr:row>
      <xdr:rowOff>120650</xdr:rowOff>
    </xdr:to>
    <xdr:pic>
      <xdr:nvPicPr>
        <xdr:cNvPr id="2" name="Picture 1">
          <a:extLst>
            <a:ext uri="{FF2B5EF4-FFF2-40B4-BE49-F238E27FC236}">
              <a16:creationId xmlns:a16="http://schemas.microsoft.com/office/drawing/2014/main" id="{B97885A7-A353-E643-A556-9299CB9489F7}"/>
            </a:ext>
          </a:extLst>
        </xdr:cNvPr>
        <xdr:cNvPicPr>
          <a:picLocks noChangeAspect="1"/>
        </xdr:cNvPicPr>
      </xdr:nvPicPr>
      <xdr:blipFill>
        <a:blip xmlns:r="http://schemas.openxmlformats.org/officeDocument/2006/relationships" r:embed="rId1"/>
        <a:stretch>
          <a:fillRect/>
        </a:stretch>
      </xdr:blipFill>
      <xdr:spPr>
        <a:xfrm>
          <a:off x="9313333" y="624417"/>
          <a:ext cx="7700570" cy="10058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266700</xdr:colOff>
      <xdr:row>20</xdr:row>
      <xdr:rowOff>38100</xdr:rowOff>
    </xdr:from>
    <xdr:to>
      <xdr:col>5</xdr:col>
      <xdr:colOff>596900</xdr:colOff>
      <xdr:row>28</xdr:row>
      <xdr:rowOff>22410</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266700" y="4385982"/>
          <a:ext cx="8585200" cy="15381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Based on discussions with the Source Testing Company (Mostardi Platt) it</a:t>
          </a:r>
          <a:r>
            <a:rPr lang="en-US" sz="1100" baseline="0"/>
            <a:t> was decided that the most representative data was the Acetone Rinse without blank correction and the Filter Result with a Reagent Blank (the filter) correction.  Per DEQ request on 12/13/22 this was changed to "Filter Only No Blance Correction" dataset. These two results were further corrected to account for non-detect values following DEQ HRA guidance.</a:t>
          </a:r>
        </a:p>
        <a:p>
          <a:endParaRPr lang="en-US" sz="1100" baseline="0"/>
        </a:p>
        <a:p>
          <a:r>
            <a:rPr lang="en-US" sz="1100" baseline="0"/>
            <a:t>The line item above for Chromium VI, chromate and dichromate particulate is actually for total chromium per the the source test report.  The CAO name for Chromium VI is used in order to facility a lookup function in the emission factor calculations.</a:t>
          </a:r>
          <a:endParaRPr lang="en-US" sz="1100"/>
        </a:p>
      </xdr:txBody>
    </xdr:sp>
    <xdr:clientData/>
  </xdr:twoCellAnchor>
  <xdr:twoCellAnchor editAs="oneCell">
    <xdr:from>
      <xdr:col>8</xdr:col>
      <xdr:colOff>36287</xdr:colOff>
      <xdr:row>3</xdr:row>
      <xdr:rowOff>72572</xdr:rowOff>
    </xdr:from>
    <xdr:to>
      <xdr:col>15</xdr:col>
      <xdr:colOff>453573</xdr:colOff>
      <xdr:row>45</xdr:row>
      <xdr:rowOff>160013</xdr:rowOff>
    </xdr:to>
    <xdr:pic>
      <xdr:nvPicPr>
        <xdr:cNvPr id="9" name="Picture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1"/>
        <a:stretch>
          <a:fillRect/>
        </a:stretch>
      </xdr:blipFill>
      <xdr:spPr>
        <a:xfrm>
          <a:off x="10795001" y="1124858"/>
          <a:ext cx="6259286" cy="846944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14</xdr:col>
      <xdr:colOff>36287</xdr:colOff>
      <xdr:row>3</xdr:row>
      <xdr:rowOff>72572</xdr:rowOff>
    </xdr:from>
    <xdr:to>
      <xdr:col>23</xdr:col>
      <xdr:colOff>174173</xdr:colOff>
      <xdr:row>51</xdr:row>
      <xdr:rowOff>121913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10767787" y="1113972"/>
          <a:ext cx="6195786" cy="8088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62103</xdr:colOff>
      <xdr:row>91</xdr:row>
      <xdr:rowOff>93133</xdr:rowOff>
    </xdr:from>
    <xdr:to>
      <xdr:col>9</xdr:col>
      <xdr:colOff>542888</xdr:colOff>
      <xdr:row>106</xdr:row>
      <xdr:rowOff>135466</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2103" y="18796000"/>
          <a:ext cx="12952185" cy="3090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baseline="0"/>
        </a:p>
        <a:p>
          <a:r>
            <a:rPr lang="en-US" sz="1100" baseline="0"/>
            <a:t> - BH1 metal TAC emission factors derived from a 2013 filter analysis. More details are provided in the "Filter_Analysis" tab.</a:t>
          </a:r>
        </a:p>
        <a:p>
          <a:r>
            <a:rPr lang="en-US" sz="1100" baseline="0"/>
            <a:t> - Organic TAC emission factors derived from 1995 source test and "Attachment D. Recommended Organic TAC Emission Factors for EU-1" from DEQ's December 13, 2022 Warning Letter with Opportunity to Correct.</a:t>
          </a:r>
        </a:p>
        <a:p>
          <a:r>
            <a:rPr lang="en-US" sz="1100" baseline="0"/>
            <a:t> - Emission factors for persissten organic pollutants and polycyclic aromatic hydrocarbons from Attachment A of DEQ's December 13, 2022 Warning Letter with Opportunity to Correct.</a:t>
          </a:r>
        </a:p>
        <a:p>
          <a:r>
            <a:rPr lang="en-US" sz="1100"/>
            <a:t> - The Chromium VI speciation factor was derived based on a review</a:t>
          </a:r>
          <a:r>
            <a:rPr lang="en-US" sz="1100" baseline="0"/>
            <a:t> of </a:t>
          </a:r>
          <a:r>
            <a:rPr lang="en-US" sz="1100"/>
            <a:t>EPA's "2014 National Emissions Inventory, version 2, Technical Support Document", July 2018. This document discusses chromium VI speciation factor use for the NEI (pg. 2-5) and inlcudes a link to speciation factors for Chromium VI from total Chromium for various industries.  The default assumption is 34% chromium VI. EPA uses a 12% speciation factor for EAFs and 3% factor for other steel production operations.  For the CSRM CAO EI it is assumed the EAF has a majority of the emissions and the speciation factor is weighted as follows: Chromium VI speciation factor = (0.6)(12%) + (0.4)(3%) = 8.4%. This factor is</a:t>
          </a:r>
          <a:r>
            <a:rPr lang="en-US" sz="1100" baseline="0"/>
            <a:t> applied to melt shop activity total chromium emission factors.</a:t>
          </a:r>
        </a:p>
        <a:p>
          <a:r>
            <a:rPr lang="en-US" sz="1100" baseline="0"/>
            <a:t> - 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r>
            <a:rPr lang="en-US" sz="1100" baseline="0"/>
            <a:t>-Scrap Billet Cutting occurs on weekends when other melt shop activities are not occur.  As such the maximum daily BH-1 emissions are taken as the maximum of either the calculated Melt Shop Activities value or the Scrap Billet Cutting activity.</a:t>
          </a:r>
        </a:p>
        <a:p>
          <a:r>
            <a:rPr lang="en-US" sz="1100" baseline="0"/>
            <a:t>- Steel produced assumed to be 90% of steel melted.</a:t>
          </a:r>
        </a:p>
        <a:p>
          <a:r>
            <a:rPr lang="en-US" sz="1100" baseline="0"/>
            <a:t>- Fluoride emission factor from similar Nucor Steel facility. See supporting information.</a:t>
          </a:r>
        </a:p>
        <a:p>
          <a:r>
            <a:rPr lang="en-US" sz="1100" baseline="0"/>
            <a:t>- The BH01 and BH01A emissions allocations are based on measured flowrates during source tests for this manifolded exhaust system.  The allocations are only applied where direct measurement data is not available, e.g., Fluorides.</a:t>
          </a:r>
        </a:p>
        <a:p>
          <a:endParaRPr lang="en-US" sz="1100" baseline="0"/>
        </a:p>
      </xdr:txBody>
    </xdr:sp>
    <xdr:clientData/>
  </xdr:twoCellAnchor>
  <xdr:twoCellAnchor>
    <xdr:from>
      <xdr:col>0</xdr:col>
      <xdr:colOff>82248</xdr:colOff>
      <xdr:row>350</xdr:row>
      <xdr:rowOff>192314</xdr:rowOff>
    </xdr:from>
    <xdr:to>
      <xdr:col>4</xdr:col>
      <xdr:colOff>977296</xdr:colOff>
      <xdr:row>353</xdr:row>
      <xdr:rowOff>127000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82248" y="57333243"/>
          <a:ext cx="8007048"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 - Emission factors</a:t>
          </a:r>
          <a:r>
            <a:rPr lang="en-US" sz="1100" baseline="0"/>
            <a:t> from Oregon DEQ 2020 ATEI Combustion EF Tool, Natural Gas External Combustion. </a:t>
          </a:r>
          <a:endParaRPr lang="en-US" sz="1100"/>
        </a:p>
      </xdr:txBody>
    </xdr:sp>
    <xdr:clientData/>
  </xdr:twoCellAnchor>
  <xdr:twoCellAnchor>
    <xdr:from>
      <xdr:col>0</xdr:col>
      <xdr:colOff>103909</xdr:colOff>
      <xdr:row>284</xdr:row>
      <xdr:rowOff>136898</xdr:rowOff>
    </xdr:from>
    <xdr:to>
      <xdr:col>5</xdr:col>
      <xdr:colOff>762722</xdr:colOff>
      <xdr:row>291</xdr:row>
      <xdr:rowOff>84667</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03909" y="59208831"/>
          <a:ext cx="8846080" cy="1370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baseline="0"/>
        </a:p>
        <a:p>
          <a:r>
            <a:rPr lang="en-US" sz="1100" baseline="0"/>
            <a:t> - The EU-3 Melt Shop fugitive emissions assumed to be 5% of uncontrolled Roof Monitor emissions as described in permit Review Report with the exception of organics and fluorides.   For organics it is assumed that each baghouse has 0% control efficency and 95% capture efficency and the uncaptured emissions are allocated to the Melt Shop fugitive emission point.  For fluorides, it is assumed that baghouses BH-1/BH-1A has an overall capture and control efficiency of 95% and 5% of the uncaptured and uncontrolled emissions are allocated to the melt shop fugitive emission point.</a:t>
          </a:r>
        </a:p>
        <a:p>
          <a:endParaRPr lang="en-US" sz="1100"/>
        </a:p>
      </xdr:txBody>
    </xdr:sp>
    <xdr:clientData/>
  </xdr:twoCellAnchor>
  <xdr:twoCellAnchor>
    <xdr:from>
      <xdr:col>0</xdr:col>
      <xdr:colOff>45357</xdr:colOff>
      <xdr:row>464</xdr:row>
      <xdr:rowOff>172358</xdr:rowOff>
    </xdr:from>
    <xdr:to>
      <xdr:col>4</xdr:col>
      <xdr:colOff>997857</xdr:colOff>
      <xdr:row>469</xdr:row>
      <xdr:rowOff>36286</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45357" y="96311358"/>
          <a:ext cx="8264071" cy="861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pPr marL="0" marR="0" lvl="0" indent="0" defTabSz="914400" eaLnBrk="1" fontAlgn="auto" latinLnBrk="0" hangingPunct="1">
            <a:lnSpc>
              <a:spcPct val="100000"/>
            </a:lnSpc>
            <a:spcBef>
              <a:spcPts val="0"/>
            </a:spcBef>
            <a:spcAft>
              <a:spcPts val="0"/>
            </a:spcAft>
            <a:buClrTx/>
            <a:buSzTx/>
            <a:buFontTx/>
            <a:buNone/>
            <a:tabLst/>
            <a:defRPr/>
          </a:pPr>
          <a:r>
            <a:rPr lang="en-US" sz="1100"/>
            <a:t> - Emission factors</a:t>
          </a:r>
          <a:r>
            <a:rPr lang="en-US" sz="1100" baseline="0"/>
            <a:t> from Oregon DEQ 2020 ATEI Combustion EF Tool.  Melt Shop fugitive gas combustion emissions assumed to be 5% of  Roof Monitor emissions as described in permit Review Report. This ajustment is made to the emission factor to estimate emissions.</a:t>
          </a:r>
        </a:p>
        <a:p>
          <a:endParaRPr lang="en-US" sz="1100"/>
        </a:p>
      </xdr:txBody>
    </xdr:sp>
    <xdr:clientData/>
  </xdr:twoCellAnchor>
  <xdr:twoCellAnchor>
    <xdr:from>
      <xdr:col>0</xdr:col>
      <xdr:colOff>116417</xdr:colOff>
      <xdr:row>32</xdr:row>
      <xdr:rowOff>137583</xdr:rowOff>
    </xdr:from>
    <xdr:to>
      <xdr:col>4</xdr:col>
      <xdr:colOff>719667</xdr:colOff>
      <xdr:row>37</xdr:row>
      <xdr:rowOff>70555</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16417" y="5732639"/>
          <a:ext cx="7919861" cy="956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available site specific</a:t>
          </a:r>
          <a:r>
            <a:rPr lang="en-US" sz="1100" baseline="0"/>
            <a:t> </a:t>
          </a:r>
          <a:r>
            <a:rPr lang="en-US" sz="1100"/>
            <a:t>source</a:t>
          </a:r>
          <a:r>
            <a:rPr lang="en-US" sz="1100" baseline="0"/>
            <a:t> test data, emission factors suggested by DEQ and other emission factors used by similar facilities.</a:t>
          </a:r>
        </a:p>
        <a:p>
          <a:r>
            <a:rPr lang="en-US" sz="1100" baseline="0"/>
            <a:t> - Scrap billet cutting emissions (EU-12) have been added to the BH-1/1A and MELTFUG emission points in the supporting calculations below.</a:t>
          </a:r>
          <a:endParaRPr lang="en-US" sz="1100"/>
        </a:p>
      </xdr:txBody>
    </xdr:sp>
    <xdr:clientData/>
  </xdr:twoCellAnchor>
  <xdr:twoCellAnchor>
    <xdr:from>
      <xdr:col>0</xdr:col>
      <xdr:colOff>108453</xdr:colOff>
      <xdr:row>149</xdr:row>
      <xdr:rowOff>185664</xdr:rowOff>
    </xdr:from>
    <xdr:to>
      <xdr:col>9</xdr:col>
      <xdr:colOff>589238</xdr:colOff>
      <xdr:row>159</xdr:row>
      <xdr:rowOff>141111</xdr:rowOff>
    </xdr:to>
    <xdr:sp macro="" textlink="">
      <xdr:nvSpPr>
        <xdr:cNvPr id="11" name="TextBox 10">
          <a:extLst>
            <a:ext uri="{FF2B5EF4-FFF2-40B4-BE49-F238E27FC236}">
              <a16:creationId xmlns:a16="http://schemas.microsoft.com/office/drawing/2014/main" id="{7CB7E9D6-1E88-0F46-BCE8-540AD4823BC2}"/>
            </a:ext>
          </a:extLst>
        </xdr:cNvPr>
        <xdr:cNvSpPr txBox="1"/>
      </xdr:nvSpPr>
      <xdr:spPr>
        <a:xfrm>
          <a:off x="108453" y="29353331"/>
          <a:ext cx="12940896" cy="1931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baseline="0"/>
        </a:p>
        <a:p>
          <a:r>
            <a:rPr lang="en-US" sz="1100" baseline="0"/>
            <a:t> - BH1A emission factors derived from a 2013 filter analysis. More details are provided in the "Filter_Analysis" tab.</a:t>
          </a:r>
        </a:p>
        <a:p>
          <a:r>
            <a:rPr lang="en-US" sz="1100" baseline="0"/>
            <a:t> - Organic TAC emission factors derived from 1995 source test and "Attachment D. Recommended Organic TAC Emission Factors for EU-1" from DEQ's December 13, 2022 Warning Letter with Opportunity to Correct.</a:t>
          </a:r>
        </a:p>
        <a:p>
          <a:r>
            <a:rPr lang="en-US" sz="1100"/>
            <a:t> - The Chromium VI speciation factor was derived based on a review</a:t>
          </a:r>
          <a:r>
            <a:rPr lang="en-US" sz="1100" baseline="0"/>
            <a:t> of </a:t>
          </a:r>
          <a:r>
            <a:rPr lang="en-US" sz="1100"/>
            <a:t>EPA's "2014 National Emissions Inventory, version 2, Technical Support Document", July 2018. This document discusses chromium VI speciation factor use for the NEI (pg. 2-5) and inlcudes a link to speciation factors for Chromium VI from total Chromium for various industries.  The default assumption is 34% chromium VI. EPA uses a 12% speciation factor for EAFs and 3% factor for other steel production operations.  For the CSRM CAO EI it is assumed the EAF has a majority of the emissions and the speciation factor is weighted as follows: Chromium VI speciation factor = (0.6)(12%) + (0.4)(3%) = 8.4%. This factor is</a:t>
          </a:r>
          <a:r>
            <a:rPr lang="en-US" sz="1100" baseline="0"/>
            <a:t> applied to melt shop activity total chromium emission factors.</a:t>
          </a:r>
        </a:p>
        <a:p>
          <a:r>
            <a:rPr lang="en-US" sz="1100" baseline="0"/>
            <a:t> - 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endParaRPr lang="en-US" sz="1100" baseline="0"/>
        </a:p>
      </xdr:txBody>
    </xdr:sp>
    <xdr:clientData/>
  </xdr:twoCellAnchor>
  <xdr:twoCellAnchor>
    <xdr:from>
      <xdr:col>0</xdr:col>
      <xdr:colOff>81642</xdr:colOff>
      <xdr:row>201</xdr:row>
      <xdr:rowOff>136769</xdr:rowOff>
    </xdr:from>
    <xdr:to>
      <xdr:col>9</xdr:col>
      <xdr:colOff>562427</xdr:colOff>
      <xdr:row>210</xdr:row>
      <xdr:rowOff>107462</xdr:rowOff>
    </xdr:to>
    <xdr:sp macro="" textlink="">
      <xdr:nvSpPr>
        <xdr:cNvPr id="12" name="TextBox 11">
          <a:extLst>
            <a:ext uri="{FF2B5EF4-FFF2-40B4-BE49-F238E27FC236}">
              <a16:creationId xmlns:a16="http://schemas.microsoft.com/office/drawing/2014/main" id="{006C4E6F-877E-6140-A1F4-877B9EFF017A}"/>
            </a:ext>
          </a:extLst>
        </xdr:cNvPr>
        <xdr:cNvSpPr txBox="1"/>
      </xdr:nvSpPr>
      <xdr:spPr>
        <a:xfrm>
          <a:off x="81642" y="34114154"/>
          <a:ext cx="13063554" cy="1817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baseline="0"/>
        </a:p>
        <a:p>
          <a:r>
            <a:rPr lang="en-US" sz="1100" baseline="0"/>
            <a:t>- BH2 emission factors derived from a 2013 filter analysis. More details are provided in the "Filter_Analysis" tab.</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 Organic TAC emission factors derived from 1995 source test and "Attachment D. Recommended Organic TAC Emission Factors for EU-1" from DEQ's December 13, 2022 Warning Letter with Opportunity to Correct.</a:t>
          </a:r>
        </a:p>
        <a:p>
          <a:r>
            <a:rPr lang="en-US" sz="1100"/>
            <a:t>- The Chromium VI speciation factor was derived based on a review</a:t>
          </a:r>
          <a:r>
            <a:rPr lang="en-US" sz="1100" baseline="0"/>
            <a:t> of </a:t>
          </a:r>
          <a:r>
            <a:rPr lang="en-US" sz="1100"/>
            <a:t>EPA's "2014 National Emissions Inventory, version 2, Technical Support Document", July 2018. This document discusses chromium VI speciation factor use for the NEI (pg. 2-5) and inlcudes a link to speciation factors for Chromium VI from total Chromium for various industries.  The default assumption is 34% chromium VI. EPA uses a 12% speciation factor for EAFs and 3% factor for other steel production operations.  For the CSRM CAO EI it is assumed the EAF has a majority of the emissions and the speciation factor is weighted as follows: Chromium VI speciation factor = (0.6)(12%) + (0.4)(3%) = 8.4%. This factor is</a:t>
          </a:r>
          <a:r>
            <a:rPr lang="en-US" sz="1100" baseline="0"/>
            <a:t> applied to melt shop activity total chromium emission factors.</a:t>
          </a:r>
        </a:p>
        <a:p>
          <a:r>
            <a:rPr lang="en-US" sz="1100" baseline="0"/>
            <a:t> - 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endParaRPr lang="en-US" sz="1100" baseline="0"/>
        </a:p>
      </xdr:txBody>
    </xdr:sp>
    <xdr:clientData/>
  </xdr:twoCellAnchor>
  <xdr:twoCellAnchor>
    <xdr:from>
      <xdr:col>0</xdr:col>
      <xdr:colOff>81642</xdr:colOff>
      <xdr:row>230</xdr:row>
      <xdr:rowOff>117932</xdr:rowOff>
    </xdr:from>
    <xdr:to>
      <xdr:col>9</xdr:col>
      <xdr:colOff>562427</xdr:colOff>
      <xdr:row>239</xdr:row>
      <xdr:rowOff>169334</xdr:rowOff>
    </xdr:to>
    <xdr:sp macro="" textlink="">
      <xdr:nvSpPr>
        <xdr:cNvPr id="13" name="TextBox 12">
          <a:extLst>
            <a:ext uri="{FF2B5EF4-FFF2-40B4-BE49-F238E27FC236}">
              <a16:creationId xmlns:a16="http://schemas.microsoft.com/office/drawing/2014/main" id="{D2ABD0AB-D061-F743-A5CC-B534863CE317}"/>
            </a:ext>
          </a:extLst>
        </xdr:cNvPr>
        <xdr:cNvSpPr txBox="1"/>
      </xdr:nvSpPr>
      <xdr:spPr>
        <a:xfrm>
          <a:off x="81642" y="37805182"/>
          <a:ext cx="13096118" cy="18611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baseline="0"/>
            <a:t> - Roof Monitor Uncontrolled emission factor derived from August 6-8, 2019 source test.</a:t>
          </a:r>
        </a:p>
        <a:p>
          <a:r>
            <a:rPr lang="en-US" sz="1100"/>
            <a:t> - The Chromium VI speciation factor was derived based on a review</a:t>
          </a:r>
          <a:r>
            <a:rPr lang="en-US" sz="1100" baseline="0"/>
            <a:t> of </a:t>
          </a:r>
          <a:r>
            <a:rPr lang="en-US" sz="1100"/>
            <a:t>EPA's "2014 National Emissions Inventory, version 2, Technical Support Document", July 2018. This document discusses chromium VI speciation factor use for the NEI (pg. 2-5) and inlcudes a link to speciation factors for Chromium VI from total Chromium for various industries.  The default assumption is 34% chromium VI. EPA uses a 12% speciation factor for EAFs and 3% factor for other steel production operations.  For the CSRM CAO EI it is assumed the EAF has a majority of the emissions and the speciation factor is weighted as follows: Chromium VI speciation factor = (0.6)(12%) + (0.4)(3%) = 8.4%. This factor is</a:t>
          </a:r>
          <a:r>
            <a:rPr lang="en-US" sz="1100" baseline="0"/>
            <a:t> applied to melt shop activity total chromium emission factors.</a:t>
          </a:r>
        </a:p>
        <a:p>
          <a:r>
            <a:rPr lang="en-US" sz="1100" baseline="0"/>
            <a:t> - 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endParaRPr lang="en-US" sz="1100" baseline="0"/>
        </a:p>
      </xdr:txBody>
    </xdr:sp>
    <xdr:clientData/>
  </xdr:twoCellAnchor>
  <xdr:twoCellAnchor>
    <xdr:from>
      <xdr:col>0</xdr:col>
      <xdr:colOff>108858</xdr:colOff>
      <xdr:row>295</xdr:row>
      <xdr:rowOff>145143</xdr:rowOff>
    </xdr:from>
    <xdr:to>
      <xdr:col>4</xdr:col>
      <xdr:colOff>712108</xdr:colOff>
      <xdr:row>300</xdr:row>
      <xdr:rowOff>137583</xdr:rowOff>
    </xdr:to>
    <xdr:sp macro="" textlink="">
      <xdr:nvSpPr>
        <xdr:cNvPr id="14" name="TextBox 13">
          <a:extLst>
            <a:ext uri="{FF2B5EF4-FFF2-40B4-BE49-F238E27FC236}">
              <a16:creationId xmlns:a16="http://schemas.microsoft.com/office/drawing/2014/main" id="{BB8D3942-840D-E646-9C3B-5823FA110421}"/>
            </a:ext>
          </a:extLst>
        </xdr:cNvPr>
        <xdr:cNvSpPr txBox="1"/>
      </xdr:nvSpPr>
      <xdr:spPr>
        <a:xfrm>
          <a:off x="108858" y="44704000"/>
          <a:ext cx="7715250" cy="990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r>
            <a:rPr lang="en-US" sz="1100"/>
            <a:t> - CSRM has evaluated natural gas combustion sources in the</a:t>
          </a:r>
          <a:r>
            <a:rPr lang="en-US" sz="1100" baseline="0"/>
            <a:t> Melt Shop and emissions are based on the following number and BTU ratings of the equipment and emission point allocations. The Title V permit identifes a "Ladle Furnace Preheater" but we believe this is actually the Vertical Preheater.</a:t>
          </a:r>
        </a:p>
        <a:p>
          <a:endParaRPr lang="en-US" sz="1100"/>
        </a:p>
      </xdr:txBody>
    </xdr:sp>
    <xdr:clientData/>
  </xdr:twoCellAnchor>
  <xdr:twoCellAnchor>
    <xdr:from>
      <xdr:col>0</xdr:col>
      <xdr:colOff>338061</xdr:colOff>
      <xdr:row>388</xdr:row>
      <xdr:rowOff>133048</xdr:rowOff>
    </xdr:from>
    <xdr:to>
      <xdr:col>8</xdr:col>
      <xdr:colOff>888999</xdr:colOff>
      <xdr:row>393</xdr:row>
      <xdr:rowOff>194733</xdr:rowOff>
    </xdr:to>
    <xdr:sp macro="" textlink="">
      <xdr:nvSpPr>
        <xdr:cNvPr id="17" name="TextBox 16">
          <a:extLst>
            <a:ext uri="{FF2B5EF4-FFF2-40B4-BE49-F238E27FC236}">
              <a16:creationId xmlns:a16="http://schemas.microsoft.com/office/drawing/2014/main" id="{1D362FB4-0510-3944-A0BF-09472AB738D4}"/>
            </a:ext>
          </a:extLst>
        </xdr:cNvPr>
        <xdr:cNvSpPr txBox="1"/>
      </xdr:nvSpPr>
      <xdr:spPr>
        <a:xfrm>
          <a:off x="338061" y="82302048"/>
          <a:ext cx="11735405" cy="1077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 - Emission factors</a:t>
          </a:r>
          <a:r>
            <a:rPr lang="en-US" sz="1100" baseline="0"/>
            <a:t> from Oregon DEQ 2020 ATEI Combustion EF Tool, Natural Gas External Combustion. Because these gas combustion emissions will be vented through BH01/BH01A a number of pollutants emission rates have already been accounted for in the source test derived emission factors associated with Melt Shop process emissions. Due to some gaps in the emissions data the full list of gas combustion emissions is included above resulting in some potential "double counting" of emissions.  The allocation (83.3%/16.7%) of emissions to the manifolded Baghouse BH-1/1A system is based on source test flow rate information, i.e., about 83.3% of the flow is emitted through Baghouse BH-1. </a:t>
          </a:r>
          <a:endParaRPr lang="en-US" sz="1100"/>
        </a:p>
      </xdr:txBody>
    </xdr:sp>
    <xdr:clientData/>
  </xdr:twoCellAnchor>
  <xdr:twoCellAnchor>
    <xdr:from>
      <xdr:col>0</xdr:col>
      <xdr:colOff>66523</xdr:colOff>
      <xdr:row>426</xdr:row>
      <xdr:rowOff>10888</xdr:rowOff>
    </xdr:from>
    <xdr:to>
      <xdr:col>4</xdr:col>
      <xdr:colOff>961571</xdr:colOff>
      <xdr:row>431</xdr:row>
      <xdr:rowOff>72571</xdr:rowOff>
    </xdr:to>
    <xdr:sp macro="" textlink="">
      <xdr:nvSpPr>
        <xdr:cNvPr id="19" name="TextBox 18">
          <a:extLst>
            <a:ext uri="{FF2B5EF4-FFF2-40B4-BE49-F238E27FC236}">
              <a16:creationId xmlns:a16="http://schemas.microsoft.com/office/drawing/2014/main" id="{8DA5B6CD-112D-424B-94A6-AE4C0A101A8B}"/>
            </a:ext>
          </a:extLst>
        </xdr:cNvPr>
        <xdr:cNvSpPr txBox="1"/>
      </xdr:nvSpPr>
      <xdr:spPr>
        <a:xfrm>
          <a:off x="66523" y="72282959"/>
          <a:ext cx="8007048" cy="1059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 - Emission factors</a:t>
          </a:r>
          <a:r>
            <a:rPr lang="en-US" sz="1100" baseline="0"/>
            <a:t> from Oregon DEQ 2020 ATEI Combustion EF Tool, Natural Gas External Combustion. Because these gas combustion emissions will be vented through RMELT a number of pollutants emission rates have already been accounted for in the source test derived emission factors associated with Melt Shop process emissions. Due to some gaps in the emissions data the full list of gas combustion emissions is included above resulting in some potential "double counting" of emissions.  </a:t>
          </a:r>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13</xdr:col>
      <xdr:colOff>36287</xdr:colOff>
      <xdr:row>3</xdr:row>
      <xdr:rowOff>72572</xdr:rowOff>
    </xdr:from>
    <xdr:to>
      <xdr:col>22</xdr:col>
      <xdr:colOff>174173</xdr:colOff>
      <xdr:row>51</xdr:row>
      <xdr:rowOff>121913</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9091387" y="745672"/>
          <a:ext cx="6195786" cy="808844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324556</xdr:colOff>
      <xdr:row>26</xdr:row>
      <xdr:rowOff>56445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0" y="4247444"/>
          <a:ext cx="7450667" cy="1439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Based on discussions with the Source Testing Company (Mostardi Platt) it</a:t>
          </a:r>
          <a:r>
            <a:rPr lang="en-US" sz="1100" baseline="0"/>
            <a:t> was decided that the most representative data was the Acetone Rinse without blank correction and the Filter Result with a Reagent Blank (the filter) correction. Per DEQ request on 12/13/22 this was changed to "Filter Only No Blance Correction" dataset. These two results were further corrected to account for non-detect values following DEQ HRA guidance.</a:t>
          </a:r>
          <a:endParaRPr lang="en-US" sz="1100"/>
        </a:p>
      </xdr:txBody>
    </xdr:sp>
    <xdr:clientData/>
  </xdr:twoCellAnchor>
  <xdr:twoCellAnchor editAs="oneCell">
    <xdr:from>
      <xdr:col>8</xdr:col>
      <xdr:colOff>36287</xdr:colOff>
      <xdr:row>3</xdr:row>
      <xdr:rowOff>72572</xdr:rowOff>
    </xdr:from>
    <xdr:to>
      <xdr:col>15</xdr:col>
      <xdr:colOff>453573</xdr:colOff>
      <xdr:row>44</xdr:row>
      <xdr:rowOff>172713</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8227787" y="745672"/>
          <a:ext cx="6195786" cy="808844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5</xdr:row>
      <xdr:rowOff>0</xdr:rowOff>
    </xdr:from>
    <xdr:to>
      <xdr:col>8</xdr:col>
      <xdr:colOff>419100</xdr:colOff>
      <xdr:row>32</xdr:row>
      <xdr:rowOff>0</xdr:rowOff>
    </xdr:to>
    <xdr:sp macro="" textlink="">
      <xdr:nvSpPr>
        <xdr:cNvPr id="2" name="AutoShape 4">
          <a:extLst>
            <a:ext uri="{FF2B5EF4-FFF2-40B4-BE49-F238E27FC236}">
              <a16:creationId xmlns:a16="http://schemas.microsoft.com/office/drawing/2014/main" id="{21A684EE-3A51-8744-AFC7-29FFFB68D96E}"/>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3" name="AutoShape 2">
          <a:extLst>
            <a:ext uri="{FF2B5EF4-FFF2-40B4-BE49-F238E27FC236}">
              <a16:creationId xmlns:a16="http://schemas.microsoft.com/office/drawing/2014/main" id="{531B9BA8-A202-394F-B686-45CD87E14EDD}"/>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4" name="AutoShape 4">
          <a:extLst>
            <a:ext uri="{FF2B5EF4-FFF2-40B4-BE49-F238E27FC236}">
              <a16:creationId xmlns:a16="http://schemas.microsoft.com/office/drawing/2014/main" id="{FD55A9AD-7A14-B344-82CD-5696DCFE6073}"/>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5" name="AutoShape 2">
          <a:extLst>
            <a:ext uri="{FF2B5EF4-FFF2-40B4-BE49-F238E27FC236}">
              <a16:creationId xmlns:a16="http://schemas.microsoft.com/office/drawing/2014/main" id="{61809A21-A6CF-F445-8FCA-15EEEABBB83D}"/>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6" name="AutoShape 4">
          <a:extLst>
            <a:ext uri="{FF2B5EF4-FFF2-40B4-BE49-F238E27FC236}">
              <a16:creationId xmlns:a16="http://schemas.microsoft.com/office/drawing/2014/main" id="{DA3DE825-3A8F-A148-94FF-3B7BF13B7696}"/>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7" name="AutoShape 2">
          <a:extLst>
            <a:ext uri="{FF2B5EF4-FFF2-40B4-BE49-F238E27FC236}">
              <a16:creationId xmlns:a16="http://schemas.microsoft.com/office/drawing/2014/main" id="{A6D765CF-8300-A24D-9CB1-9D781F309A8C}"/>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8" name="AutoShape 4">
          <a:extLst>
            <a:ext uri="{FF2B5EF4-FFF2-40B4-BE49-F238E27FC236}">
              <a16:creationId xmlns:a16="http://schemas.microsoft.com/office/drawing/2014/main" id="{DCEA2E0B-B7BD-FB43-A09A-FB0CB01F7F30}"/>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32</xdr:row>
      <xdr:rowOff>0</xdr:rowOff>
    </xdr:to>
    <xdr:sp macro="" textlink="">
      <xdr:nvSpPr>
        <xdr:cNvPr id="9" name="AutoShape 2">
          <a:extLst>
            <a:ext uri="{FF2B5EF4-FFF2-40B4-BE49-F238E27FC236}">
              <a16:creationId xmlns:a16="http://schemas.microsoft.com/office/drawing/2014/main" id="{871916E3-83DD-2A40-BAF4-E7862CC296BC}"/>
            </a:ext>
          </a:extLst>
        </xdr:cNvPr>
        <xdr:cNvSpPr>
          <a:spLocks noChangeArrowheads="1"/>
        </xdr:cNvSpPr>
      </xdr:nvSpPr>
      <xdr:spPr bwMode="auto">
        <a:xfrm>
          <a:off x="3238500" y="952500"/>
          <a:ext cx="8242300" cy="514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34</xdr:row>
      <xdr:rowOff>9525</xdr:rowOff>
    </xdr:to>
    <xdr:sp macro="" textlink="">
      <xdr:nvSpPr>
        <xdr:cNvPr id="10" name="AutoShape 4">
          <a:extLst>
            <a:ext uri="{FF2B5EF4-FFF2-40B4-BE49-F238E27FC236}">
              <a16:creationId xmlns:a16="http://schemas.microsoft.com/office/drawing/2014/main" id="{96F37FCE-5A9E-2E41-9E95-5DFABF0C01C8}"/>
            </a:ext>
          </a:extLst>
        </xdr:cNvPr>
        <xdr:cNvSpPr>
          <a:spLocks noChangeArrowheads="1"/>
        </xdr:cNvSpPr>
      </xdr:nvSpPr>
      <xdr:spPr bwMode="auto">
        <a:xfrm>
          <a:off x="3238500" y="952500"/>
          <a:ext cx="8242300" cy="5534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34</xdr:row>
      <xdr:rowOff>9525</xdr:rowOff>
    </xdr:to>
    <xdr:sp macro="" textlink="">
      <xdr:nvSpPr>
        <xdr:cNvPr id="11" name="AutoShape 4">
          <a:extLst>
            <a:ext uri="{FF2B5EF4-FFF2-40B4-BE49-F238E27FC236}">
              <a16:creationId xmlns:a16="http://schemas.microsoft.com/office/drawing/2014/main" id="{F6C7E354-605C-2A4E-BCEE-20A88C80D021}"/>
            </a:ext>
          </a:extLst>
        </xdr:cNvPr>
        <xdr:cNvSpPr>
          <a:spLocks noChangeArrowheads="1"/>
        </xdr:cNvSpPr>
      </xdr:nvSpPr>
      <xdr:spPr bwMode="auto">
        <a:xfrm>
          <a:off x="3238500" y="952500"/>
          <a:ext cx="8242300" cy="5534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34</xdr:row>
      <xdr:rowOff>9525</xdr:rowOff>
    </xdr:to>
    <xdr:sp macro="" textlink="">
      <xdr:nvSpPr>
        <xdr:cNvPr id="12" name="AutoShape 4">
          <a:extLst>
            <a:ext uri="{FF2B5EF4-FFF2-40B4-BE49-F238E27FC236}">
              <a16:creationId xmlns:a16="http://schemas.microsoft.com/office/drawing/2014/main" id="{9BED5E03-FD92-164C-B4D4-95D9D2FC9177}"/>
            </a:ext>
          </a:extLst>
        </xdr:cNvPr>
        <xdr:cNvSpPr>
          <a:spLocks noChangeArrowheads="1"/>
        </xdr:cNvSpPr>
      </xdr:nvSpPr>
      <xdr:spPr bwMode="auto">
        <a:xfrm>
          <a:off x="3238500" y="952500"/>
          <a:ext cx="8242300" cy="5534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5</xdr:row>
      <xdr:rowOff>0</xdr:rowOff>
    </xdr:from>
    <xdr:to>
      <xdr:col>8</xdr:col>
      <xdr:colOff>419100</xdr:colOff>
      <xdr:row>34</xdr:row>
      <xdr:rowOff>9525</xdr:rowOff>
    </xdr:to>
    <xdr:sp macro="" textlink="">
      <xdr:nvSpPr>
        <xdr:cNvPr id="13" name="AutoShape 4">
          <a:extLst>
            <a:ext uri="{FF2B5EF4-FFF2-40B4-BE49-F238E27FC236}">
              <a16:creationId xmlns:a16="http://schemas.microsoft.com/office/drawing/2014/main" id="{1B6AC2FA-F773-F042-B35D-EA304F91A103}"/>
            </a:ext>
          </a:extLst>
        </xdr:cNvPr>
        <xdr:cNvSpPr>
          <a:spLocks noChangeArrowheads="1"/>
        </xdr:cNvSpPr>
      </xdr:nvSpPr>
      <xdr:spPr bwMode="auto">
        <a:xfrm>
          <a:off x="3238500" y="952500"/>
          <a:ext cx="8242300" cy="55340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50018</xdr:colOff>
      <xdr:row>56</xdr:row>
      <xdr:rowOff>71563</xdr:rowOff>
    </xdr:from>
    <xdr:to>
      <xdr:col>5</xdr:col>
      <xdr:colOff>642937</xdr:colOff>
      <xdr:row>66</xdr:row>
      <xdr:rowOff>88900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0018" y="12047663"/>
          <a:ext cx="7908119" cy="1642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Emission factors are derived from a 2019 source test of the existing billet cutting</a:t>
          </a:r>
          <a:r>
            <a:rPr lang="en-US" sz="1100" baseline="0"/>
            <a:t> area vent. Data reduction and additional information is provide in the "BC Summary" tab.</a:t>
          </a:r>
        </a:p>
        <a:p>
          <a:endParaRPr lang="en-US" sz="1100" baseline="0"/>
        </a:p>
        <a:p>
          <a:r>
            <a:rPr lang="en-US" sz="1100" baseline="0"/>
            <a:t>About 0.5 percent of the time, on an annual basis the facility will run special stainless steel melt called "MMFX".  The MMFX product is similar to regular steel except for its chromium content which is about 64 times higher.  Annual and daily emission factor adjustments are made to account for running MMFX.</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The contribution of melt shop fugitive emissions, if any, from the caster billet cutting activity are accounted for in the assumption that melt shop fugitive emissions are 5% of roof monitor emissions as described in DEQ's Review Report.</a:t>
          </a:r>
        </a:p>
        <a:p>
          <a:endParaRPr lang="en-US" sz="1100" baseline="0"/>
        </a:p>
        <a:p>
          <a:endParaRPr lang="en-US" sz="1100" baseline="0"/>
        </a:p>
        <a:p>
          <a:endParaRPr lang="en-US" sz="1100"/>
        </a:p>
      </xdr:txBody>
    </xdr:sp>
    <xdr:clientData/>
  </xdr:twoCellAnchor>
  <xdr:twoCellAnchor>
    <xdr:from>
      <xdr:col>0</xdr:col>
      <xdr:colOff>36286</xdr:colOff>
      <xdr:row>89</xdr:row>
      <xdr:rowOff>60476</xdr:rowOff>
    </xdr:from>
    <xdr:to>
      <xdr:col>4</xdr:col>
      <xdr:colOff>783167</xdr:colOff>
      <xdr:row>94</xdr:row>
      <xdr:rowOff>52917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6286" y="21322393"/>
          <a:ext cx="6588881"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Notes:</a:t>
          </a:r>
        </a:p>
        <a:p>
          <a:endParaRPr lang="en-US" sz="1100"/>
        </a:p>
        <a:p>
          <a:r>
            <a:rPr lang="en-US" sz="1100"/>
            <a:t> - Emission factors</a:t>
          </a:r>
          <a:r>
            <a:rPr lang="en-US" sz="1100" baseline="0"/>
            <a:t> from Oregon DEQ 2020 ATEI Combustion EF Tool, Natural Gas External Combustion &lt; 10 MMBtu/hr. Metal emissions that were included in the source testing of EU-10 have been removed.</a:t>
          </a:r>
          <a:endParaRPr lang="en-US" sz="1100"/>
        </a:p>
      </xdr:txBody>
    </xdr:sp>
    <xdr:clientData/>
  </xdr:twoCellAnchor>
  <xdr:twoCellAnchor>
    <xdr:from>
      <xdr:col>0</xdr:col>
      <xdr:colOff>179917</xdr:colOff>
      <xdr:row>13</xdr:row>
      <xdr:rowOff>31750</xdr:rowOff>
    </xdr:from>
    <xdr:to>
      <xdr:col>5</xdr:col>
      <xdr:colOff>516467</xdr:colOff>
      <xdr:row>18</xdr:row>
      <xdr:rowOff>34773</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79917" y="2730500"/>
          <a:ext cx="7131050" cy="1008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source</a:t>
          </a:r>
          <a:r>
            <a:rPr lang="en-US" sz="1100" baseline="0"/>
            <a:t> test data from existing billet cutting at casting vent and develope a per billet cut emission factor.</a:t>
          </a:r>
          <a:endParaRPr lang="en-US" sz="1100"/>
        </a:p>
        <a:p>
          <a:r>
            <a:rPr lang="en-US" sz="1100"/>
            <a:t> - DEQ Combustio</a:t>
          </a:r>
          <a:r>
            <a:rPr lang="en-US" sz="1100" baseline="0"/>
            <a:t>n Tool natural gas emission factors for torches.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169081</xdr:colOff>
      <xdr:row>56</xdr:row>
      <xdr:rowOff>79501</xdr:rowOff>
    </xdr:from>
    <xdr:to>
      <xdr:col>4</xdr:col>
      <xdr:colOff>690562</xdr:colOff>
      <xdr:row>60</xdr:row>
      <xdr:rowOff>127000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69081" y="10823701"/>
          <a:ext cx="6363481" cy="860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Emission factors are derived from a 2019 source test of the existing billet cutting</a:t>
          </a:r>
          <a:r>
            <a:rPr lang="en-US" sz="1100" baseline="0"/>
            <a:t> area vent. Data reduction and additional information is provide in the "BC Summary" tab.</a:t>
          </a:r>
          <a:endParaRPr lang="en-US" sz="1100"/>
        </a:p>
      </xdr:txBody>
    </xdr:sp>
    <xdr:clientData/>
  </xdr:twoCellAnchor>
  <xdr:twoCellAnchor>
    <xdr:from>
      <xdr:col>0</xdr:col>
      <xdr:colOff>149411</xdr:colOff>
      <xdr:row>14</xdr:row>
      <xdr:rowOff>141941</xdr:rowOff>
    </xdr:from>
    <xdr:to>
      <xdr:col>5</xdr:col>
      <xdr:colOff>474755</xdr:colOff>
      <xdr:row>20</xdr:row>
      <xdr:rowOff>99786</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49411" y="2627512"/>
          <a:ext cx="7119844" cy="1155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source</a:t>
          </a:r>
          <a:r>
            <a:rPr lang="en-US" sz="1100" baseline="0"/>
            <a:t> test data from existing billet cutting at casting vent and develope per billet cut emission factor.</a:t>
          </a:r>
          <a:endParaRPr lang="en-US" sz="1100"/>
        </a:p>
        <a:p>
          <a:r>
            <a:rPr lang="en-US" sz="1100"/>
            <a:t> - DEQ Combustio</a:t>
          </a:r>
          <a:r>
            <a:rPr lang="en-US" sz="1100" baseline="0"/>
            <a:t>n Tool natural gas emission factors for torches.</a:t>
          </a:r>
        </a:p>
        <a:p>
          <a:r>
            <a:rPr lang="en-US" sz="1100" baseline="0"/>
            <a:t> - Scrap billet cutting occurs only on weekends when other melt shop activities are not occuring.  Daily emissions are not additive to other melt shop activities.</a:t>
          </a:r>
        </a:p>
      </xdr:txBody>
    </xdr:sp>
    <xdr:clientData/>
  </xdr:twoCellAnchor>
  <xdr:twoCellAnchor>
    <xdr:from>
      <xdr:col>0</xdr:col>
      <xdr:colOff>111125</xdr:colOff>
      <xdr:row>102</xdr:row>
      <xdr:rowOff>142875</xdr:rowOff>
    </xdr:from>
    <xdr:to>
      <xdr:col>4</xdr:col>
      <xdr:colOff>858006</xdr:colOff>
      <xdr:row>107</xdr:row>
      <xdr:rowOff>108857</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11125" y="21431250"/>
          <a:ext cx="6588881"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Notes:</a:t>
          </a:r>
        </a:p>
        <a:p>
          <a:endParaRPr lang="en-US" sz="1100"/>
        </a:p>
        <a:p>
          <a:r>
            <a:rPr lang="en-US" sz="1100"/>
            <a:t> - Emission factors</a:t>
          </a:r>
          <a:r>
            <a:rPr lang="en-US" sz="1100" baseline="0"/>
            <a:t> from Oregon DEQ 2020 ATEI Combustion EF Tool, Natural Gas External Combustion &lt; 10 MMBtu/hr. Metal emissions that were included in the source testing of EU-10 have been removed.</a:t>
          </a:r>
          <a:endParaRPr lang="en-US" sz="1100"/>
        </a:p>
      </xdr:txBody>
    </xdr:sp>
    <xdr:clientData/>
  </xdr:twoCellAnchor>
  <xdr:twoCellAnchor>
    <xdr:from>
      <xdr:col>0</xdr:col>
      <xdr:colOff>142875</xdr:colOff>
      <xdr:row>130</xdr:row>
      <xdr:rowOff>0</xdr:rowOff>
    </xdr:from>
    <xdr:to>
      <xdr:col>4</xdr:col>
      <xdr:colOff>889756</xdr:colOff>
      <xdr:row>134</xdr:row>
      <xdr:rowOff>172357</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42875" y="27320875"/>
          <a:ext cx="6588881"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Notes:</a:t>
          </a:r>
        </a:p>
        <a:p>
          <a:endParaRPr lang="en-US" sz="1100"/>
        </a:p>
        <a:p>
          <a:r>
            <a:rPr lang="en-US" sz="1100"/>
            <a:t> - Emission factors</a:t>
          </a:r>
          <a:r>
            <a:rPr lang="en-US" sz="1100" baseline="0"/>
            <a:t> from Oregon DEQ 2020 ATEI Combustion EF Tool, Natural Gas External Combustion &lt; 10 MMBtu/hr. Metal emissions that were included in the source testing of EU-10 have been removed.</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103981</xdr:colOff>
      <xdr:row>88</xdr:row>
      <xdr:rowOff>117708</xdr:rowOff>
    </xdr:from>
    <xdr:to>
      <xdr:col>4</xdr:col>
      <xdr:colOff>625462</xdr:colOff>
      <xdr:row>92</xdr:row>
      <xdr:rowOff>10459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3981" y="18097279"/>
          <a:ext cx="7152695" cy="6910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baseline="0"/>
            <a:t>TAC emission rate is calculated by multiplying the AP-42 drop equation derived PM emission factor by the mass fraction of each metal in slag based on analytical testing (see Slag_Composition tab). </a:t>
          </a:r>
          <a:endParaRPr lang="en-US" sz="1100"/>
        </a:p>
      </xdr:txBody>
    </xdr:sp>
    <xdr:clientData/>
  </xdr:twoCellAnchor>
  <xdr:twoCellAnchor>
    <xdr:from>
      <xdr:col>0</xdr:col>
      <xdr:colOff>0</xdr:colOff>
      <xdr:row>7</xdr:row>
      <xdr:rowOff>0</xdr:rowOff>
    </xdr:from>
    <xdr:to>
      <xdr:col>5</xdr:col>
      <xdr:colOff>314138</xdr:colOff>
      <xdr:row>12</xdr:row>
      <xdr:rowOff>23257</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1688353"/>
          <a:ext cx="7119844" cy="1031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EPA drop equation as used for slag handling operations in current permit documents to estimate PM emissions</a:t>
          </a:r>
          <a:r>
            <a:rPr lang="en-US" sz="1100" baseline="0"/>
            <a:t>.</a:t>
          </a:r>
        </a:p>
        <a:p>
          <a:r>
            <a:rPr lang="en-US" sz="1100" baseline="0"/>
            <a:t> - Two dumps occur in the same general location.</a:t>
          </a:r>
          <a:endParaRPr lang="en-US" sz="1100"/>
        </a:p>
        <a:p>
          <a:r>
            <a:rPr lang="en-US" sz="1100"/>
            <a:t> - Use slag </a:t>
          </a:r>
          <a:r>
            <a:rPr lang="en-US" sz="1100" baseline="0"/>
            <a:t>composition analytical data to determine mass fraction of metal TACs.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36286</xdr:colOff>
      <xdr:row>46</xdr:row>
      <xdr:rowOff>60476</xdr:rowOff>
    </xdr:from>
    <xdr:to>
      <xdr:col>5</xdr:col>
      <xdr:colOff>0</xdr:colOff>
      <xdr:row>51</xdr:row>
      <xdr:rowOff>42333</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36286" y="15109976"/>
          <a:ext cx="6478814"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 - Emission factors</a:t>
          </a:r>
          <a:r>
            <a:rPr lang="en-US" sz="1100" baseline="0"/>
            <a:t> from Oregon DEQ 2020 ATEI Combustion EF Tool</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36286</xdr:colOff>
      <xdr:row>46</xdr:row>
      <xdr:rowOff>60476</xdr:rowOff>
    </xdr:from>
    <xdr:to>
      <xdr:col>5</xdr:col>
      <xdr:colOff>0</xdr:colOff>
      <xdr:row>51</xdr:row>
      <xdr:rowOff>42333</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36286" y="9750576"/>
          <a:ext cx="6478814" cy="997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endParaRPr lang="en-US" sz="1100"/>
        </a:p>
        <a:p>
          <a:r>
            <a:rPr lang="en-US" sz="1100"/>
            <a:t> - Emission factors</a:t>
          </a:r>
          <a:r>
            <a:rPr lang="en-US" sz="1100" baseline="0"/>
            <a:t> from Oregon DEQ 2020 ATEI Combustion EF Tool</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126999</xdr:colOff>
      <xdr:row>6</xdr:row>
      <xdr:rowOff>134937</xdr:rowOff>
    </xdr:from>
    <xdr:to>
      <xdr:col>4</xdr:col>
      <xdr:colOff>1579563</xdr:colOff>
      <xdr:row>17</xdr:row>
      <xdr:rowOff>80818</xdr:rowOff>
    </xdr:to>
    <xdr:sp macro="" textlink="">
      <xdr:nvSpPr>
        <xdr:cNvPr id="2" name="TextBox 1">
          <a:extLst>
            <a:ext uri="{FF2B5EF4-FFF2-40B4-BE49-F238E27FC236}">
              <a16:creationId xmlns:a16="http://schemas.microsoft.com/office/drawing/2014/main" id="{10B40AB4-AC85-2146-81B2-B4AFEC27BD00}"/>
            </a:ext>
          </a:extLst>
        </xdr:cNvPr>
        <xdr:cNvSpPr txBox="1"/>
      </xdr:nvSpPr>
      <xdr:spPr>
        <a:xfrm>
          <a:off x="126999" y="1428028"/>
          <a:ext cx="8021928" cy="2168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Calculate daily VOC emissions based on TCEQ Guidance (Estimating</a:t>
          </a:r>
          <a:r>
            <a:rPr lang="en-US" sz="1100" baseline="0"/>
            <a:t> Short Term Emission Rates from Fixed Roof Tanks, TCEQ - APDG 6250v3, revised 02/20) for filling the tank and </a:t>
          </a:r>
          <a:r>
            <a:rPr lang="en-US" sz="1100"/>
            <a:t>EPA AP-42, Table 5.2-7 for vehicle filling loses (spillage and vapor displacement).</a:t>
          </a:r>
        </a:p>
        <a:p>
          <a:endParaRPr lang="en-US" sz="1100"/>
        </a:p>
        <a:p>
          <a:r>
            <a:rPr lang="en-US" sz="1100"/>
            <a:t>- Calculate annual VOC emissions from</a:t>
          </a:r>
          <a:r>
            <a:rPr lang="en-US" sz="1100" baseline="0"/>
            <a:t> tank filling, breathing and emptying based on AP-42, Section 7.1.3 and add vehicle filling losses.</a:t>
          </a:r>
        </a:p>
        <a:p>
          <a:endParaRPr lang="en-US" sz="1100" baseline="0"/>
        </a:p>
        <a:p>
          <a:r>
            <a:rPr lang="en-US" sz="1100" baseline="0"/>
            <a:t>- Calculate TAC emissions based on TAC Speciation for Gasoline (California Air Resources Board Speciation Profiles, highest weight fraction for each TAC from from Profile 691 ("Headspace vapors E10 summer gasoline fuel") and Profile 695 ("Headspace vapors E10 winter gasoline fuel")</a:t>
          </a:r>
        </a:p>
        <a:p>
          <a:r>
            <a:rPr lang="en-US" sz="1100"/>
            <a:t>https://ww2.arb.ca.gov/speciation‐profiles‐used‐carb‐modeling</a:t>
          </a:r>
        </a:p>
        <a:p>
          <a:endParaRPr lang="en-US" sz="1100"/>
        </a:p>
      </xdr:txBody>
    </xdr:sp>
    <xdr:clientData/>
  </xdr:twoCellAnchor>
  <xdr:twoCellAnchor editAs="oneCell">
    <xdr:from>
      <xdr:col>2</xdr:col>
      <xdr:colOff>304601</xdr:colOff>
      <xdr:row>38</xdr:row>
      <xdr:rowOff>16933</xdr:rowOff>
    </xdr:from>
    <xdr:to>
      <xdr:col>5</xdr:col>
      <xdr:colOff>359833</xdr:colOff>
      <xdr:row>40</xdr:row>
      <xdr:rowOff>151540</xdr:rowOff>
    </xdr:to>
    <xdr:pic>
      <xdr:nvPicPr>
        <xdr:cNvPr id="5" name="Picture 4">
          <a:extLst>
            <a:ext uri="{FF2B5EF4-FFF2-40B4-BE49-F238E27FC236}">
              <a16:creationId xmlns:a16="http://schemas.microsoft.com/office/drawing/2014/main" id="{969CB65E-1C47-3611-D610-FFFD5E13F2F0}"/>
            </a:ext>
          </a:extLst>
        </xdr:cNvPr>
        <xdr:cNvPicPr>
          <a:picLocks noChangeAspect="1"/>
        </xdr:cNvPicPr>
      </xdr:nvPicPr>
      <xdr:blipFill>
        <a:blip xmlns:r="http://schemas.openxmlformats.org/officeDocument/2006/relationships" r:embed="rId1"/>
        <a:stretch>
          <a:fillRect/>
        </a:stretch>
      </xdr:blipFill>
      <xdr:spPr>
        <a:xfrm>
          <a:off x="4410934" y="12107333"/>
          <a:ext cx="4186965" cy="583340"/>
        </a:xfrm>
        <a:prstGeom prst="rect">
          <a:avLst/>
        </a:prstGeom>
      </xdr:spPr>
    </xdr:pic>
    <xdr:clientData/>
  </xdr:twoCellAnchor>
  <xdr:twoCellAnchor editAs="oneCell">
    <xdr:from>
      <xdr:col>2</xdr:col>
      <xdr:colOff>753533</xdr:colOff>
      <xdr:row>42</xdr:row>
      <xdr:rowOff>49785</xdr:rowOff>
    </xdr:from>
    <xdr:to>
      <xdr:col>3</xdr:col>
      <xdr:colOff>1528233</xdr:colOff>
      <xdr:row>44</xdr:row>
      <xdr:rowOff>198967</xdr:rowOff>
    </xdr:to>
    <xdr:pic>
      <xdr:nvPicPr>
        <xdr:cNvPr id="6" name="Picture 5">
          <a:extLst>
            <a:ext uri="{FF2B5EF4-FFF2-40B4-BE49-F238E27FC236}">
              <a16:creationId xmlns:a16="http://schemas.microsoft.com/office/drawing/2014/main" id="{F78BB5D4-F998-F961-D8BA-CEF12664CF84}"/>
            </a:ext>
          </a:extLst>
        </xdr:cNvPr>
        <xdr:cNvPicPr>
          <a:picLocks noChangeAspect="1"/>
        </xdr:cNvPicPr>
      </xdr:nvPicPr>
      <xdr:blipFill>
        <a:blip xmlns:r="http://schemas.openxmlformats.org/officeDocument/2006/relationships" r:embed="rId2"/>
        <a:stretch>
          <a:fillRect/>
        </a:stretch>
      </xdr:blipFill>
      <xdr:spPr>
        <a:xfrm>
          <a:off x="4859866" y="12995318"/>
          <a:ext cx="1604433" cy="5809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126998</xdr:colOff>
      <xdr:row>10</xdr:row>
      <xdr:rowOff>134937</xdr:rowOff>
    </xdr:from>
    <xdr:to>
      <xdr:col>7</xdr:col>
      <xdr:colOff>104587</xdr:colOff>
      <xdr:row>17</xdr:row>
      <xdr:rowOff>150091</xdr:rowOff>
    </xdr:to>
    <xdr:sp macro="" textlink="">
      <xdr:nvSpPr>
        <xdr:cNvPr id="3" name="TextBox 2">
          <a:extLst>
            <a:ext uri="{FF2B5EF4-FFF2-40B4-BE49-F238E27FC236}">
              <a16:creationId xmlns:a16="http://schemas.microsoft.com/office/drawing/2014/main" id="{F1C6750F-497F-0C4A-BA4B-EC1677EF3A8B}"/>
            </a:ext>
          </a:extLst>
        </xdr:cNvPr>
        <xdr:cNvSpPr txBox="1"/>
      </xdr:nvSpPr>
      <xdr:spPr>
        <a:xfrm>
          <a:off x="126998" y="1428028"/>
          <a:ext cx="8169089" cy="14294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Description of Calculation</a:t>
          </a:r>
          <a:r>
            <a:rPr lang="en-US" sz="1100" baseline="0"/>
            <a:t> Methodology</a:t>
          </a:r>
          <a:r>
            <a:rPr lang="en-US" sz="1100"/>
            <a:t>:</a:t>
          </a:r>
        </a:p>
        <a:p>
          <a:endParaRPr lang="en-US" sz="1100"/>
        </a:p>
        <a:p>
          <a:r>
            <a:rPr lang="en-US" sz="1100"/>
            <a:t> - Use AP-42 Section 13.2.2 empirical expressions (eqn. 1a) and updated</a:t>
          </a:r>
          <a:r>
            <a:rPr lang="en-US" sz="1100" baseline="0"/>
            <a:t> unpaved road and vehicle travel data to estimate PM emissions.</a:t>
          </a:r>
        </a:p>
        <a:p>
          <a:r>
            <a:rPr lang="en-US" sz="1100" baseline="0"/>
            <a:t> - Roads are primarily constructed of slag.  Use slag composition data to speciate TAC emissions from PM.</a:t>
          </a:r>
        </a:p>
        <a:p>
          <a:endParaRPr lang="en-US" sz="1100" baseline="0"/>
        </a:p>
        <a:p>
          <a:r>
            <a:rPr lang="en-US" sz="1100" baseline="0"/>
            <a:t>- Control efficiency, CE applied to both daily and annual PM emission estimate. Rainfall correction only applied to annual PM emission estimate.</a:t>
          </a:r>
          <a:endParaRPr lang="en-US" sz="1100"/>
        </a:p>
      </xdr:txBody>
    </xdr:sp>
    <xdr:clientData/>
  </xdr:twoCellAnchor>
  <xdr:twoCellAnchor editAs="oneCell">
    <xdr:from>
      <xdr:col>0</xdr:col>
      <xdr:colOff>28863</xdr:colOff>
      <xdr:row>21</xdr:row>
      <xdr:rowOff>134146</xdr:rowOff>
    </xdr:from>
    <xdr:to>
      <xdr:col>1</xdr:col>
      <xdr:colOff>914400</xdr:colOff>
      <xdr:row>23</xdr:row>
      <xdr:rowOff>59046</xdr:rowOff>
    </xdr:to>
    <xdr:pic>
      <xdr:nvPicPr>
        <xdr:cNvPr id="2" name="Picture 1">
          <a:extLst>
            <a:ext uri="{FF2B5EF4-FFF2-40B4-BE49-F238E27FC236}">
              <a16:creationId xmlns:a16="http://schemas.microsoft.com/office/drawing/2014/main" id="{1FEA63E6-E8B5-17E0-9732-D91CA560CADA}"/>
            </a:ext>
          </a:extLst>
        </xdr:cNvPr>
        <xdr:cNvPicPr>
          <a:picLocks noChangeAspect="1"/>
        </xdr:cNvPicPr>
      </xdr:nvPicPr>
      <xdr:blipFill>
        <a:blip xmlns:r="http://schemas.openxmlformats.org/officeDocument/2006/relationships" r:embed="rId1"/>
        <a:stretch>
          <a:fillRect/>
        </a:stretch>
      </xdr:blipFill>
      <xdr:spPr>
        <a:xfrm>
          <a:off x="28863" y="3222555"/>
          <a:ext cx="3211946" cy="305899"/>
        </a:xfrm>
        <a:prstGeom prst="rect">
          <a:avLst/>
        </a:prstGeom>
      </xdr:spPr>
    </xdr:pic>
    <xdr:clientData/>
  </xdr:twoCellAnchor>
  <xdr:twoCellAnchor editAs="oneCell">
    <xdr:from>
      <xdr:col>7</xdr:col>
      <xdr:colOff>758855</xdr:colOff>
      <xdr:row>0</xdr:row>
      <xdr:rowOff>147053</xdr:rowOff>
    </xdr:from>
    <xdr:to>
      <xdr:col>16</xdr:col>
      <xdr:colOff>393699</xdr:colOff>
      <xdr:row>25</xdr:row>
      <xdr:rowOff>110471</xdr:rowOff>
    </xdr:to>
    <xdr:pic>
      <xdr:nvPicPr>
        <xdr:cNvPr id="6" name="Picture 5">
          <a:extLst>
            <a:ext uri="{FF2B5EF4-FFF2-40B4-BE49-F238E27FC236}">
              <a16:creationId xmlns:a16="http://schemas.microsoft.com/office/drawing/2014/main" id="{599A0248-433F-DDEC-8FA6-2E28DBECF623}"/>
            </a:ext>
          </a:extLst>
        </xdr:cNvPr>
        <xdr:cNvPicPr>
          <a:picLocks noChangeAspect="1"/>
        </xdr:cNvPicPr>
      </xdr:nvPicPr>
      <xdr:blipFill>
        <a:blip xmlns:r="http://schemas.openxmlformats.org/officeDocument/2006/relationships" r:embed="rId2"/>
        <a:stretch>
          <a:fillRect/>
        </a:stretch>
      </xdr:blipFill>
      <xdr:spPr>
        <a:xfrm>
          <a:off x="9715697" y="147053"/>
          <a:ext cx="6492176" cy="5016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FEA1PUB303/SharedData/Public/CPUDAILY/q298/smrymai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JFEA1PUB303/SharedData/EHS_NWRO/CAMPUS%20TEAMS/RAEHS/ENVIRONM/AIR/CMB/Indicators/2002/VOC%20Calculation%20Tool28%20June%20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jbrowning/Bridgewater%20Group%20Dropbox/John%20Browning/PoP_AT_EI_2020/2020_AT_EI/2020ATEIReportingForm_26_2914_Po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ENVIRON/Port%20of%20Portland/PDX%20ACDP/PDX%20GHG%20Calc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eliver.ch2m.com/projects/483524/Shared%20Documents/06_TypeIV_application/ApplicationLetter+FluorideAssess/1_Application/3_App_C_Emissions_Calculations_J_Browning/PM%20Rev%201.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D:/Users/jbrowning/Documents/Intel_PSD/0_From_SP_Post_App_Submission/ApplicationLetter+FluorideAssess/1_Application/3_App_C_Emissions_Calculations_J_Browning/PermitApplicationEmissionRates11-19_sbs%20122214_jpb_12_26_14.xlsx?F9CA2547" TargetMode="External"/><Relationship Id="rId1" Type="http://schemas.openxmlformats.org/officeDocument/2006/relationships/externalLinkPath" Target="file:///F9CA2547/PermitApplicationEmissionRates11-19_sbs%20122214_jpb_12_26_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jbrowning/Documents/Hampton/Warrenton/Warrenton_Calcs_draft_4_1_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Master%20Planning%20&amp;%20LRPs/Goal%20Setting/2013%20PTD%20Goal%20Overview/NOxCO/NOxCO%20analysis_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EJET_MODELS/P1265/Air%20Models/1265GWG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eliver.ch2m.com/Users/John%20Browning/AppData/Local/Microsoft/Windows/INetCache/Content.Outlook/96NCT766/Road%20Calcs%20Tab_12192014%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eliver.ch2m.com/Master%20Planning%20&amp;%20LRPs/Goal%20Setting/2013%20PTD%20Goal%20Overview/NOxCO/NOxCO%20analysis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k"/>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fer Start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l Lookup"/>
      <sheetName val="Units Lookup"/>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 Commits"/>
      <sheetName val="Model"/>
      <sheetName val="Data"/>
      <sheetName val="Data2.5"/>
      <sheetName val="PM graph"/>
      <sheetName val="PM10 w_insig"/>
      <sheetName val="PM2.5 w_insig"/>
      <sheetName val="Roads"/>
      <sheetName val="Sheet1"/>
      <sheetName val="CoolingTower PTE"/>
      <sheetName val="EGen"/>
      <sheetName val="Sheet2"/>
      <sheetName val="Revision"/>
    </sheetNames>
    <sheetDataSet>
      <sheetData sheetId="0" refreshError="1"/>
      <sheetData sheetId="1">
        <row r="1">
          <cell r="E1">
            <v>2.5</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ow r="90">
          <cell r="C90">
            <v>2.2000000000000001E-3</v>
          </cell>
        </row>
        <row r="91">
          <cell r="C91">
            <v>2.0500000000000002E-3</v>
          </cell>
        </row>
        <row r="92">
          <cell r="C92">
            <v>3.1E-2</v>
          </cell>
        </row>
        <row r="93">
          <cell r="C93">
            <v>6.6800000000000002E-3</v>
          </cell>
        </row>
        <row r="94">
          <cell r="C94">
            <v>2.47E-3</v>
          </cell>
        </row>
        <row r="97">
          <cell r="C97">
            <v>6.9999999999999999E-4</v>
          </cell>
          <cell r="E97" t="str">
            <v>Lbs/hp-hr</v>
          </cell>
        </row>
        <row r="98">
          <cell r="C98">
            <v>4.0499999999999998E-3</v>
          </cell>
        </row>
        <row r="99">
          <cell r="C99">
            <v>2.4E-2</v>
          </cell>
        </row>
        <row r="100">
          <cell r="C100">
            <v>1.2999999999999999E-2</v>
          </cell>
        </row>
        <row r="102">
          <cell r="C102">
            <v>5.4999999999999997E-3</v>
          </cell>
        </row>
        <row r="103">
          <cell r="C103">
            <v>6.4000000000000005E-4</v>
          </cell>
        </row>
      </sheetData>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EN EF Ref2"/>
      <sheetName val="14_Manufacturing - Scrubbers"/>
      <sheetName val="1_Boilers"/>
      <sheetName val="3_BSSW"/>
      <sheetName val="4_ EGENs Fire Pumps"/>
      <sheetName val="5_Heaters"/>
      <sheetName val="2_ RCTOs - Combustion"/>
      <sheetName val="6_TMXW"/>
      <sheetName val="7_Cooling Tow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renton_Calcs_draft_4_1_17"/>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OC LRP"/>
      <sheetName val="NM LRP"/>
      <sheetName val="RA LRP"/>
      <sheetName val="OC Combustion"/>
      <sheetName val="Model"/>
      <sheetName val="Actuals_NOxCO"/>
      <sheetName val="Summary"/>
      <sheetName val="OC NOx"/>
      <sheetName val="OC CO"/>
      <sheetName val="RA emissions - POU"/>
      <sheetName val="RA-CO TitV Scenarios"/>
      <sheetName val="RA-CO years"/>
      <sheetName val="RA-NOX years"/>
      <sheetName val="Sheet3"/>
      <sheetName val="RA emissions - CO"/>
      <sheetName val="RA emissions - NOX"/>
      <sheetName val="CO Scenarios"/>
      <sheetName val="Pareto"/>
      <sheetName val="Opens"/>
      <sheetName val="EGen"/>
      <sheetName val="Assumptions1"/>
      <sheetName val="Revision"/>
      <sheetName val="Sheet2"/>
      <sheetName val="Assumptions Legal"/>
      <sheetName val="RA_AL Actuals"/>
      <sheetName val="Sheet5"/>
      <sheetName val="Sheet1"/>
      <sheetName val="Emission Factors"/>
      <sheetName val="NG Usage vs Oxidizer Temp"/>
    </sheetNames>
    <sheetDataSet>
      <sheetData sheetId="0">
        <row r="18">
          <cell r="B18">
            <v>1</v>
          </cell>
        </row>
      </sheetData>
      <sheetData sheetId="1"/>
      <sheetData sheetId="2"/>
      <sheetData sheetId="3"/>
      <sheetData sheetId="4"/>
      <sheetData sheetId="5">
        <row r="3">
          <cell r="I3">
            <v>1.1499999999999999</v>
          </cell>
        </row>
        <row r="4">
          <cell r="I4">
            <v>1.5</v>
          </cell>
        </row>
      </sheetData>
      <sheetData sheetId="6"/>
      <sheetData sheetId="7"/>
      <sheetData sheetId="8"/>
      <sheetData sheetId="9"/>
      <sheetData sheetId="10"/>
      <sheetData sheetId="11" refreshError="1"/>
      <sheetData sheetId="12" refreshError="1"/>
      <sheetData sheetId="13" refreshError="1"/>
      <sheetData sheetId="14"/>
      <sheetData sheetId="15"/>
      <sheetData sheetId="16"/>
      <sheetData sheetId="17" refreshError="1"/>
      <sheetData sheetId="18">
        <row r="29">
          <cell r="B29">
            <v>0.7</v>
          </cell>
        </row>
      </sheetData>
      <sheetData sheetId="19"/>
      <sheetData sheetId="20"/>
      <sheetData sheetId="21">
        <row r="17">
          <cell r="P17">
            <v>1023</v>
          </cell>
        </row>
        <row r="18">
          <cell r="P18">
            <v>1375</v>
          </cell>
        </row>
      </sheetData>
      <sheetData sheetId="22"/>
      <sheetData sheetId="23"/>
      <sheetData sheetId="24"/>
      <sheetData sheetId="25"/>
      <sheetData sheetId="26"/>
      <sheetData sheetId="27"/>
      <sheetData sheetId="28">
        <row r="4">
          <cell r="E4">
            <v>950.5</v>
          </cell>
          <cell r="F4">
            <v>74.2</v>
          </cell>
        </row>
        <row r="8">
          <cell r="E8">
            <v>700</v>
          </cell>
          <cell r="F8">
            <v>53.7</v>
          </cell>
        </row>
        <row r="9">
          <cell r="E9">
            <v>772.6</v>
          </cell>
          <cell r="F9">
            <v>145</v>
          </cell>
        </row>
        <row r="10">
          <cell r="E10">
            <v>572.70000000000005</v>
          </cell>
          <cell r="F10">
            <v>76.5</v>
          </cell>
        </row>
        <row r="11">
          <cell r="E11">
            <v>700</v>
          </cell>
          <cell r="F11">
            <v>53.7</v>
          </cell>
        </row>
      </sheetData>
      <sheetData sheetId="29">
        <row r="4">
          <cell r="V4">
            <v>6500000</v>
          </cell>
        </row>
        <row r="19">
          <cell r="C19">
            <v>1323321.1538461535</v>
          </cell>
          <cell r="H19">
            <v>2325653.8461538455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WG Sum"/>
      <sheetName val="GWGs Definition"/>
      <sheetName val="Intro"/>
      <sheetName val="GWGs Definition_old"/>
      <sheetName val="EF &amp; Eff."/>
      <sheetName val="Chemical_EPA"/>
      <sheetName val="Tool_EPA"/>
      <sheetName val="GWG Sum 2"/>
      <sheetName val="Links Summary 2"/>
      <sheetName val="GWGs Summary 2"/>
      <sheetName val="Revision"/>
      <sheetName val="Env Goals"/>
      <sheetName val="Links Summary"/>
      <sheetName val="TF Link"/>
      <sheetName val="Etch Link"/>
      <sheetName val="Plnr link"/>
      <sheetName val="Awsb Link"/>
      <sheetName val="Diff Link"/>
      <sheetName val="Litho Link"/>
      <sheetName val="Impl Link"/>
      <sheetName val="model_EPA_chart"/>
      <sheetName val="model_EPA_chartdata"/>
      <sheetName val="GWGs Summary"/>
      <sheetName val="Subsystem GWGs by Chemical"/>
      <sheetName val="EOP GWGs by Chemical"/>
      <sheetName val="Tool GWGs by Chemical"/>
      <sheetName val="Chemical"/>
      <sheetName val="C4 Link"/>
      <sheetName val="Tool GWGs by Tool"/>
      <sheetName val="Subsystem GWGs by Tool"/>
      <sheetName val="EOP GWGs by Tool"/>
      <sheetName val="To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Boilers"/>
      <sheetName val="2_ RCTOs - Combustion"/>
      <sheetName val="3_BSSW"/>
      <sheetName val="4_ EGENs Fire Pumps"/>
      <sheetName val="5_Heaters"/>
      <sheetName val="6_TMXW"/>
      <sheetName val="7_Cooling Towers"/>
      <sheetName val="8_HCl_POU"/>
      <sheetName val="9_Ozone"/>
      <sheetName val="10_As_Spec_Ex"/>
      <sheetName val="11_Lime Silo"/>
      <sheetName val="12_H2S"/>
      <sheetName val="13_Road_Dust"/>
      <sheetName val="14_Manufacturing - Scrubbers"/>
      <sheetName val="15_Total_PSEL_by_EU"/>
      <sheetName val="Appl_1_Total_PSEL_CIA_Fug"/>
      <sheetName val="Appl_2_Total Emissions"/>
      <sheetName val="Emission Inventory"/>
      <sheetName val="Assumptions"/>
      <sheetName val="EGEN EF Ref1"/>
      <sheetName val="EGEN EF Ref2"/>
      <sheetName val=" - not going to use"/>
      <sheetName val="RetroBACT_dont_use"/>
      <sheetName val="Process PM and SO2"/>
      <sheetName val="POU combustion PM and SO2"/>
      <sheetName val="Stack testing data"/>
      <sheetName val="Wafer Starts"/>
      <sheetName val="initial schedule"/>
    </sheetNames>
    <sheetDataSet>
      <sheetData sheetId="0">
        <row r="35">
          <cell r="A35" t="str">
            <v>Emissions Unit</v>
          </cell>
          <cell r="Y35" t="str">
            <v>Annual Emissions ton/yr</v>
          </cell>
          <cell r="AB35" t="str">
            <v>Annual Emissions ton/yr</v>
          </cell>
          <cell r="AD35" t="str">
            <v>Annual Emissions ton/yr</v>
          </cell>
          <cell r="AF35" t="str">
            <v>Annual Emissions ton/yr</v>
          </cell>
          <cell r="AH35" t="str">
            <v>Annual Emissions ton/yr</v>
          </cell>
          <cell r="AJ35" t="str">
            <v>Annual Emissions ton/yr</v>
          </cell>
        </row>
        <row r="36">
          <cell r="A36" t="str">
            <v>EU8</v>
          </cell>
          <cell r="Y36">
            <v>0.4472016806722689</v>
          </cell>
          <cell r="AB36">
            <v>1.5128289473684213</v>
          </cell>
          <cell r="AD36">
            <v>0.10144852941176472</v>
          </cell>
          <cell r="AF36">
            <v>0.10144852941176472</v>
          </cell>
          <cell r="AH36">
            <v>0.10550647058823528</v>
          </cell>
          <cell r="AJ36">
            <v>2.0289705882352937E-5</v>
          </cell>
        </row>
        <row r="37">
          <cell r="A37" t="str">
            <v>EU8</v>
          </cell>
          <cell r="Y37">
            <v>0.4472016806722689</v>
          </cell>
          <cell r="AB37">
            <v>1.5128289473684213</v>
          </cell>
          <cell r="AD37">
            <v>0.10144852941176472</v>
          </cell>
          <cell r="AF37">
            <v>0.10144852941176472</v>
          </cell>
          <cell r="AH37">
            <v>0.10550647058823528</v>
          </cell>
          <cell r="AJ37">
            <v>2.0289705882352937E-5</v>
          </cell>
        </row>
        <row r="38">
          <cell r="A38" t="str">
            <v>EU8</v>
          </cell>
          <cell r="Y38">
            <v>0.4472016806722689</v>
          </cell>
          <cell r="AB38">
            <v>1.5128289473684213</v>
          </cell>
          <cell r="AD38">
            <v>0.10144852941176472</v>
          </cell>
          <cell r="AF38">
            <v>0.10144852941176472</v>
          </cell>
          <cell r="AH38">
            <v>0.10550647058823528</v>
          </cell>
          <cell r="AJ38">
            <v>2.0289705882352937E-5</v>
          </cell>
        </row>
        <row r="39">
          <cell r="A39" t="str">
            <v>EU8</v>
          </cell>
          <cell r="Y39">
            <v>0.43463744297719092</v>
          </cell>
          <cell r="AB39">
            <v>1.4703256578947368</v>
          </cell>
          <cell r="AD39">
            <v>9.8598308823529421E-2</v>
          </cell>
          <cell r="AF39">
            <v>9.8598308823529421E-2</v>
          </cell>
          <cell r="AH39">
            <v>0.10254224117647058</v>
          </cell>
          <cell r="AJ39">
            <v>1.9719661764705882E-5</v>
          </cell>
        </row>
        <row r="40">
          <cell r="A40" t="str">
            <v>CIA</v>
          </cell>
          <cell r="Y40">
            <v>9.275294117647058E-2</v>
          </cell>
          <cell r="AB40">
            <v>7.7912470588235277E-2</v>
          </cell>
          <cell r="AD40">
            <v>2.3188235294117647E-3</v>
          </cell>
          <cell r="AF40">
            <v>2.3188235294117647E-3</v>
          </cell>
          <cell r="AH40">
            <v>2.4115764705882354E-3</v>
          </cell>
          <cell r="AJ40">
            <v>4.6376470588235294E-7</v>
          </cell>
        </row>
        <row r="41">
          <cell r="A41" t="str">
            <v>CIA</v>
          </cell>
          <cell r="Y41">
            <v>0.1288235294117647</v>
          </cell>
          <cell r="AB41">
            <v>0.10821176470588234</v>
          </cell>
          <cell r="AD41">
            <v>3.2205882352941174E-3</v>
          </cell>
          <cell r="AF41">
            <v>3.2205882352941174E-3</v>
          </cell>
          <cell r="AH41">
            <v>3.3494117647058824E-3</v>
          </cell>
          <cell r="AJ41">
            <v>6.4411764705882343E-7</v>
          </cell>
        </row>
        <row r="42">
          <cell r="A42" t="str">
            <v>EU10</v>
          </cell>
          <cell r="Y42">
            <v>0.45589017046818725</v>
          </cell>
          <cell r="AB42">
            <v>1.5422210526315787</v>
          </cell>
          <cell r="AD42">
            <v>0.10341952941176472</v>
          </cell>
          <cell r="AF42">
            <v>0.10341952941176472</v>
          </cell>
          <cell r="AH42">
            <v>0.1075563105882353</v>
          </cell>
          <cell r="AJ42">
            <v>2.0683905882352948E-5</v>
          </cell>
        </row>
        <row r="43">
          <cell r="A43" t="str">
            <v>EU10</v>
          </cell>
          <cell r="Y43">
            <v>0.45589017046818725</v>
          </cell>
          <cell r="AB43">
            <v>1.5422210526315787</v>
          </cell>
          <cell r="AD43">
            <v>0.10341952941176472</v>
          </cell>
          <cell r="AF43">
            <v>0.10341952941176472</v>
          </cell>
          <cell r="AH43">
            <v>0.1075563105882353</v>
          </cell>
          <cell r="AJ43">
            <v>2.0683905882352948E-5</v>
          </cell>
        </row>
        <row r="44">
          <cell r="A44" t="str">
            <v>EU10</v>
          </cell>
          <cell r="Y44">
            <v>0.45589017046818725</v>
          </cell>
          <cell r="AB44">
            <v>1.5422210526315787</v>
          </cell>
          <cell r="AD44">
            <v>0.10341952941176472</v>
          </cell>
          <cell r="AF44">
            <v>0.10341952941176472</v>
          </cell>
          <cell r="AH44">
            <v>0.1075563105882353</v>
          </cell>
          <cell r="AJ44">
            <v>2.0683905882352948E-5</v>
          </cell>
        </row>
        <row r="45">
          <cell r="A45" t="str">
            <v>EU11a</v>
          </cell>
          <cell r="Y45">
            <v>0.46364876470588234</v>
          </cell>
          <cell r="AB45">
            <v>1.5684674342105263</v>
          </cell>
          <cell r="AD45">
            <v>0.10517958088235294</v>
          </cell>
          <cell r="AF45">
            <v>0.10517958088235294</v>
          </cell>
          <cell r="AH45">
            <v>0.10938676411764706</v>
          </cell>
          <cell r="AJ45">
            <v>2.103591617647059E-5</v>
          </cell>
        </row>
        <row r="46">
          <cell r="A46" t="str">
            <v>EU11</v>
          </cell>
          <cell r="Y46">
            <v>0.41727466026410565</v>
          </cell>
          <cell r="AB46">
            <v>1.4115894736842107</v>
          </cell>
          <cell r="AD46">
            <v>9.4659529411764712E-2</v>
          </cell>
          <cell r="AF46">
            <v>9.4659529411764712E-2</v>
          </cell>
          <cell r="AH46">
            <v>9.8445910588235291E-2</v>
          </cell>
          <cell r="AJ46">
            <v>1.8931905882352942E-5</v>
          </cell>
        </row>
        <row r="47">
          <cell r="A47" t="str">
            <v>CIA</v>
          </cell>
          <cell r="Y47">
            <v>6.4411764705882349E-2</v>
          </cell>
          <cell r="AB47">
            <v>5.410588235294117E-2</v>
          </cell>
          <cell r="AD47">
            <v>1.6102941176470587E-3</v>
          </cell>
          <cell r="AF47">
            <v>1.6102941176470587E-3</v>
          </cell>
          <cell r="AH47">
            <v>1.6747058823529412E-3</v>
          </cell>
          <cell r="AJ47">
            <v>3.2205882352941172E-7</v>
          </cell>
        </row>
        <row r="48">
          <cell r="A48" t="str">
            <v>CIA</v>
          </cell>
          <cell r="Y48">
            <v>6.4411764705882349E-2</v>
          </cell>
          <cell r="AB48">
            <v>5.410588235294117E-2</v>
          </cell>
          <cell r="AD48">
            <v>1.6102941176470587E-3</v>
          </cell>
          <cell r="AF48">
            <v>1.6102941176470587E-3</v>
          </cell>
          <cell r="AH48">
            <v>1.6747058823529412E-3</v>
          </cell>
          <cell r="AJ48">
            <v>3.2205882352941172E-7</v>
          </cell>
        </row>
        <row r="49">
          <cell r="A49" t="str">
            <v>CIA</v>
          </cell>
          <cell r="Y49">
            <v>0.2575182352941176</v>
          </cell>
          <cell r="AB49">
            <v>0.2163153176470588</v>
          </cell>
          <cell r="AD49">
            <v>6.4379558823529411E-3</v>
          </cell>
          <cell r="AF49">
            <v>6.4379558823529411E-3</v>
          </cell>
          <cell r="AH49">
            <v>6.6954741176470595E-3</v>
          </cell>
          <cell r="AJ49">
            <v>1.2875911764705884E-6</v>
          </cell>
        </row>
        <row r="50">
          <cell r="A50" t="str">
            <v>CIA</v>
          </cell>
          <cell r="Y50">
            <v>0.2575182352941176</v>
          </cell>
          <cell r="AB50">
            <v>0.2163153176470588</v>
          </cell>
          <cell r="AD50">
            <v>6.4379558823529411E-3</v>
          </cell>
          <cell r="AF50">
            <v>6.4379558823529411E-3</v>
          </cell>
          <cell r="AH50">
            <v>6.6954741176470595E-3</v>
          </cell>
          <cell r="AJ50">
            <v>1.2875911764705884E-6</v>
          </cell>
        </row>
        <row r="51">
          <cell r="A51" t="str">
            <v>EU14</v>
          </cell>
          <cell r="Y51">
            <v>0.64398619447779093</v>
          </cell>
          <cell r="AB51">
            <v>0.39213486842105261</v>
          </cell>
          <cell r="AD51">
            <v>2.6296102941176472E-2</v>
          </cell>
          <cell r="AF51">
            <v>2.6296102941176472E-2</v>
          </cell>
          <cell r="AH51">
            <v>2.734794705882353E-2</v>
          </cell>
          <cell r="AJ51">
            <v>5.2592205882352949E-6</v>
          </cell>
        </row>
        <row r="52">
          <cell r="A52" t="str">
            <v>EU15</v>
          </cell>
          <cell r="Y52">
            <v>0.46365586314525814</v>
          </cell>
          <cell r="AB52">
            <v>1.5684914473684211</v>
          </cell>
          <cell r="AD52">
            <v>0.1051811911764706</v>
          </cell>
          <cell r="AF52">
            <v>0.1051811911764706</v>
          </cell>
          <cell r="AH52">
            <v>0.10938843882352943</v>
          </cell>
          <cell r="AJ52">
            <v>2.1036238235294115E-5</v>
          </cell>
        </row>
        <row r="53">
          <cell r="A53" t="str">
            <v>EU15</v>
          </cell>
          <cell r="Y53">
            <v>0.46365586314525814</v>
          </cell>
          <cell r="AB53">
            <v>1.5684914473684211</v>
          </cell>
          <cell r="AD53">
            <v>0.1051811911764706</v>
          </cell>
          <cell r="AF53">
            <v>0.1051811911764706</v>
          </cell>
          <cell r="AH53">
            <v>0.10938843882352943</v>
          </cell>
          <cell r="AJ53">
            <v>2.1036238235294115E-5</v>
          </cell>
        </row>
        <row r="54">
          <cell r="A54" t="str">
            <v>EU16</v>
          </cell>
          <cell r="Y54">
            <v>0.46365586314525814</v>
          </cell>
          <cell r="AB54">
            <v>1.5684914473684211</v>
          </cell>
          <cell r="AD54">
            <v>0.1051811911764706</v>
          </cell>
          <cell r="AF54">
            <v>0.1051811911764706</v>
          </cell>
          <cell r="AH54">
            <v>0.10938843882352943</v>
          </cell>
          <cell r="AJ54">
            <v>2.1036238235294115E-5</v>
          </cell>
        </row>
        <row r="55">
          <cell r="A55" t="str">
            <v>EU17</v>
          </cell>
          <cell r="Y55">
            <v>0.67615001200480174</v>
          </cell>
          <cell r="AB55">
            <v>0.68619999999999992</v>
          </cell>
          <cell r="AD55">
            <v>4.6015764705882346E-2</v>
          </cell>
          <cell r="AF55">
            <v>4.6015764705882346E-2</v>
          </cell>
          <cell r="AH55">
            <v>4.785639529411765E-2</v>
          </cell>
          <cell r="AJ55">
            <v>9.2031529411764705E-6</v>
          </cell>
        </row>
        <row r="56">
          <cell r="A56" t="str">
            <v>EU19</v>
          </cell>
          <cell r="Y56">
            <v>0.67615001200480174</v>
          </cell>
          <cell r="AB56">
            <v>0.68619999999999992</v>
          </cell>
          <cell r="AD56">
            <v>4.6015764705882346E-2</v>
          </cell>
          <cell r="AF56">
            <v>4.6015764705882346E-2</v>
          </cell>
          <cell r="AH56">
            <v>4.785639529411765E-2</v>
          </cell>
          <cell r="AJ56">
            <v>9.2031529411764705E-6</v>
          </cell>
        </row>
        <row r="57">
          <cell r="A57" t="str">
            <v>EU12</v>
          </cell>
          <cell r="Y57">
            <v>0.32999855942376943</v>
          </cell>
          <cell r="AB57">
            <v>0.20094210526315789</v>
          </cell>
          <cell r="AD57">
            <v>1.3474941176470587E-2</v>
          </cell>
          <cell r="AF57">
            <v>1.3474941176470587E-2</v>
          </cell>
          <cell r="AH57">
            <v>1.4013938823529411E-2</v>
          </cell>
          <cell r="AJ57">
            <v>2.6949882352941176E-6</v>
          </cell>
        </row>
        <row r="58">
          <cell r="A58" t="str">
            <v>EU13</v>
          </cell>
          <cell r="Y58">
            <v>0.96593985594237686</v>
          </cell>
          <cell r="AB58">
            <v>0.58817828947368422</v>
          </cell>
          <cell r="AD58">
            <v>3.9442544117647055E-2</v>
          </cell>
          <cell r="AF58">
            <v>3.9442544117647055E-2</v>
          </cell>
          <cell r="AH58">
            <v>4.1020245882352944E-2</v>
          </cell>
          <cell r="AJ58">
            <v>7.888508823529412E-6</v>
          </cell>
        </row>
        <row r="59">
          <cell r="A59" t="str">
            <v>EU13</v>
          </cell>
          <cell r="Y59">
            <v>0.96593985594237686</v>
          </cell>
          <cell r="AB59">
            <v>0.58817828947368422</v>
          </cell>
          <cell r="AD59">
            <v>3.9442544117647055E-2</v>
          </cell>
          <cell r="AF59">
            <v>3.9442544117647055E-2</v>
          </cell>
          <cell r="AH59">
            <v>4.1020245882352944E-2</v>
          </cell>
          <cell r="AJ59">
            <v>7.888508823529412E-6</v>
          </cell>
        </row>
        <row r="60">
          <cell r="A60" t="str">
            <v>EU13</v>
          </cell>
          <cell r="Y60">
            <v>0.16631643457382952</v>
          </cell>
          <cell r="AB60">
            <v>0.56262828947368426</v>
          </cell>
          <cell r="AD60">
            <v>3.7729191176470583E-2</v>
          </cell>
          <cell r="AF60">
            <v>3.7729191176470583E-2</v>
          </cell>
          <cell r="AH60">
            <v>3.9238358823529412E-2</v>
          </cell>
          <cell r="AJ60">
            <v>7.5458382352941167E-6</v>
          </cell>
        </row>
        <row r="61">
          <cell r="A61" t="str">
            <v>EU18</v>
          </cell>
          <cell r="Y61">
            <v>0.43463744297719092</v>
          </cell>
          <cell r="AB61">
            <v>1.4703256578947368</v>
          </cell>
          <cell r="AD61">
            <v>9.8598308823529421E-2</v>
          </cell>
          <cell r="AF61">
            <v>9.8598308823529421E-2</v>
          </cell>
          <cell r="AH61">
            <v>0.10254224117647058</v>
          </cell>
          <cell r="AJ61">
            <v>1.9719661764705882E-5</v>
          </cell>
        </row>
        <row r="62">
          <cell r="A62" t="str">
            <v>EU19</v>
          </cell>
          <cell r="Y62">
            <v>0.43463744297719092</v>
          </cell>
          <cell r="AB62">
            <v>1.4703256578947368</v>
          </cell>
          <cell r="AD62">
            <v>9.8598308823529421E-2</v>
          </cell>
          <cell r="AF62">
            <v>9.8598308823529421E-2</v>
          </cell>
          <cell r="AH62">
            <v>0.10254224117647058</v>
          </cell>
          <cell r="AJ62">
            <v>1.9719661764705882E-5</v>
          </cell>
        </row>
        <row r="63">
          <cell r="A63" t="str">
            <v>EU19</v>
          </cell>
          <cell r="Y63">
            <v>0.43463744297719092</v>
          </cell>
          <cell r="AB63">
            <v>1.4703256578947368</v>
          </cell>
          <cell r="AD63">
            <v>9.8598308823529421E-2</v>
          </cell>
          <cell r="AF63">
            <v>9.8598308823529421E-2</v>
          </cell>
          <cell r="AH63">
            <v>0.10254224117647058</v>
          </cell>
          <cell r="AJ63">
            <v>1.9719661764705882E-5</v>
          </cell>
        </row>
        <row r="64">
          <cell r="A64" t="str">
            <v>EU19</v>
          </cell>
          <cell r="Y64">
            <v>0.43463744297719092</v>
          </cell>
          <cell r="AB64">
            <v>1.4703256578947368</v>
          </cell>
          <cell r="AD64">
            <v>9.8598308823529421E-2</v>
          </cell>
          <cell r="AF64">
            <v>9.8598308823529421E-2</v>
          </cell>
          <cell r="AH64">
            <v>0.10254224117647058</v>
          </cell>
          <cell r="AJ64">
            <v>1.9719661764705882E-5</v>
          </cell>
        </row>
        <row r="65">
          <cell r="A65" t="str">
            <v>EU18a</v>
          </cell>
          <cell r="Y65">
            <v>0.20283080672268908</v>
          </cell>
          <cell r="AB65">
            <v>0.68615197368421055</v>
          </cell>
          <cell r="AD65">
            <v>4.6012544117647061E-2</v>
          </cell>
          <cell r="AF65">
            <v>4.6012544117647061E-2</v>
          </cell>
          <cell r="AH65">
            <v>4.7853045882352951E-2</v>
          </cell>
          <cell r="AJ65">
            <v>9.2025088235294133E-6</v>
          </cell>
        </row>
        <row r="66">
          <cell r="A66" t="str">
            <v>EU19a</v>
          </cell>
          <cell r="Y66">
            <v>0.43463744297719092</v>
          </cell>
          <cell r="AB66">
            <v>1.4703256578947368</v>
          </cell>
          <cell r="AD66">
            <v>9.8598308823529421E-2</v>
          </cell>
          <cell r="AF66">
            <v>9.8598308823529421E-2</v>
          </cell>
          <cell r="AH66">
            <v>0.10254224117647058</v>
          </cell>
          <cell r="AJ66">
            <v>1.9719661764705882E-5</v>
          </cell>
        </row>
        <row r="67">
          <cell r="A67" t="str">
            <v>EU19a</v>
          </cell>
          <cell r="Y67">
            <v>0.16631643457382952</v>
          </cell>
          <cell r="AB67">
            <v>0.56262828947368426</v>
          </cell>
          <cell r="AD67">
            <v>3.7729191176470583E-2</v>
          </cell>
          <cell r="AF67">
            <v>3.7729191176470583E-2</v>
          </cell>
          <cell r="AH67">
            <v>3.9238358823529412E-2</v>
          </cell>
          <cell r="AJ67">
            <v>7.5458382352941167E-6</v>
          </cell>
        </row>
        <row r="68">
          <cell r="A68" t="str">
            <v>EU19a</v>
          </cell>
          <cell r="Y68">
            <v>0.43463744297719092</v>
          </cell>
          <cell r="AB68">
            <v>1.4703256578947368</v>
          </cell>
          <cell r="AD68">
            <v>9.8598308823529421E-2</v>
          </cell>
          <cell r="AF68">
            <v>9.8598308823529421E-2</v>
          </cell>
          <cell r="AH68">
            <v>0.10254224117647058</v>
          </cell>
          <cell r="AJ68">
            <v>1.9719661764705882E-5</v>
          </cell>
        </row>
        <row r="69">
          <cell r="A69" t="str">
            <v>EU19a</v>
          </cell>
          <cell r="Y69">
            <v>0.43463744297719092</v>
          </cell>
          <cell r="AB69">
            <v>1.4703256578947368</v>
          </cell>
          <cell r="AD69">
            <v>9.8598308823529421E-2</v>
          </cell>
          <cell r="AF69">
            <v>9.8598308823529421E-2</v>
          </cell>
          <cell r="AH69">
            <v>0.10254224117647058</v>
          </cell>
          <cell r="AJ69">
            <v>1.9719661764705882E-5</v>
          </cell>
        </row>
        <row r="70">
          <cell r="A70" t="str">
            <v>EU19a</v>
          </cell>
          <cell r="Y70">
            <v>0.43463744297719092</v>
          </cell>
          <cell r="AB70">
            <v>1.4703256578947368</v>
          </cell>
          <cell r="AD70">
            <v>9.8598308823529421E-2</v>
          </cell>
          <cell r="AF70">
            <v>9.8598308823529421E-2</v>
          </cell>
          <cell r="AH70">
            <v>0.10254224117647058</v>
          </cell>
          <cell r="AJ70">
            <v>1.9719661764705882E-5</v>
          </cell>
        </row>
        <row r="71">
          <cell r="A71" t="str">
            <v>EU9</v>
          </cell>
          <cell r="Y71">
            <v>0.19875630252100834</v>
          </cell>
          <cell r="AB71">
            <v>0.20171052631578945</v>
          </cell>
          <cell r="AD71">
            <v>1.3526470588235293E-2</v>
          </cell>
          <cell r="AF71">
            <v>1.3526470588235293E-2</v>
          </cell>
          <cell r="AH71">
            <v>1.4067529411764704E-2</v>
          </cell>
          <cell r="AJ71">
            <v>2.7052941176470594E-6</v>
          </cell>
        </row>
        <row r="72">
          <cell r="A72" t="str">
            <v>EU9</v>
          </cell>
          <cell r="Y72">
            <v>0.19875630252100834</v>
          </cell>
          <cell r="AB72">
            <v>0.20171052631578945</v>
          </cell>
          <cell r="AD72">
            <v>1.3526470588235293E-2</v>
          </cell>
          <cell r="AF72">
            <v>1.3526470588235293E-2</v>
          </cell>
          <cell r="AH72">
            <v>1.4067529411764704E-2</v>
          </cell>
          <cell r="AJ72">
            <v>2.7052941176470594E-6</v>
          </cell>
        </row>
        <row r="73">
          <cell r="A73" t="str">
            <v>EU22</v>
          </cell>
          <cell r="Y73">
            <v>9.5033906362545009E-2</v>
          </cell>
          <cell r="AB73">
            <v>0.32148815789473689</v>
          </cell>
          <cell r="AD73">
            <v>2.1558617647058822E-2</v>
          </cell>
          <cell r="AF73">
            <v>2.1558617647058822E-2</v>
          </cell>
          <cell r="AH73">
            <v>2.2420962352941179E-2</v>
          </cell>
          <cell r="AJ73">
            <v>4.3117235294117646E-6</v>
          </cell>
        </row>
        <row r="74">
          <cell r="A74" t="str">
            <v>EU22</v>
          </cell>
          <cell r="Y74">
            <v>9.5033906362545009E-2</v>
          </cell>
          <cell r="AB74">
            <v>0.32148815789473689</v>
          </cell>
          <cell r="AD74">
            <v>2.1558617647058822E-2</v>
          </cell>
          <cell r="AF74">
            <v>2.1558617647058822E-2</v>
          </cell>
          <cell r="AH74">
            <v>2.2420962352941179E-2</v>
          </cell>
          <cell r="AJ74">
            <v>4.3117235294117646E-6</v>
          </cell>
        </row>
        <row r="75">
          <cell r="A75" t="str">
            <v>EU22</v>
          </cell>
          <cell r="Y75">
            <v>9.5033906362545009E-2</v>
          </cell>
          <cell r="AB75">
            <v>0.32148815789473689</v>
          </cell>
          <cell r="AD75">
            <v>2.1558617647058822E-2</v>
          </cell>
          <cell r="AF75">
            <v>2.1558617647058822E-2</v>
          </cell>
          <cell r="AH75">
            <v>2.2420962352941179E-2</v>
          </cell>
          <cell r="AJ75">
            <v>4.3117235294117646E-6</v>
          </cell>
        </row>
        <row r="76">
          <cell r="A76" t="str">
            <v>EU22</v>
          </cell>
          <cell r="Y76">
            <v>9.5033906362545009E-2</v>
          </cell>
          <cell r="AB76">
            <v>0.32148815789473689</v>
          </cell>
          <cell r="AD76">
            <v>2.1558617647058822E-2</v>
          </cell>
          <cell r="AF76">
            <v>2.1558617647058822E-2</v>
          </cell>
          <cell r="AH76">
            <v>2.2420962352941179E-2</v>
          </cell>
          <cell r="AJ76">
            <v>4.3117235294117646E-6</v>
          </cell>
        </row>
        <row r="77">
          <cell r="A77" t="str">
            <v>CIA</v>
          </cell>
          <cell r="Y77">
            <v>9.4645858343337302E-2</v>
          </cell>
          <cell r="AB77">
            <v>9.6052631578947389E-2</v>
          </cell>
          <cell r="AD77">
            <v>6.4411764705882349E-3</v>
          </cell>
          <cell r="AF77">
            <v>6.4411764705882349E-3</v>
          </cell>
          <cell r="AH77">
            <v>6.6988235294117649E-3</v>
          </cell>
          <cell r="AJ77">
            <v>1.2882352941176469E-6</v>
          </cell>
        </row>
        <row r="78">
          <cell r="A78" t="str">
            <v>CIA</v>
          </cell>
          <cell r="Y78">
            <v>9.4645858343337302E-2</v>
          </cell>
          <cell r="AB78">
            <v>9.6052631578947389E-2</v>
          </cell>
          <cell r="AD78">
            <v>6.4411764705882349E-3</v>
          </cell>
          <cell r="AF78">
            <v>6.4411764705882349E-3</v>
          </cell>
          <cell r="AH78">
            <v>6.6988235294117649E-3</v>
          </cell>
          <cell r="AJ78">
            <v>1.2882352941176469E-6</v>
          </cell>
        </row>
        <row r="79">
          <cell r="A79" t="str">
            <v>CIA</v>
          </cell>
          <cell r="Y79">
            <v>2.3661464585834326E-2</v>
          </cell>
          <cell r="AB79">
            <v>2.4013157894736847E-2</v>
          </cell>
          <cell r="AD79">
            <v>1.6102941176470587E-3</v>
          </cell>
          <cell r="AF79">
            <v>1.6102941176470587E-3</v>
          </cell>
          <cell r="AH79">
            <v>1.6747058823529412E-3</v>
          </cell>
          <cell r="AJ79">
            <v>3.2205882352941172E-7</v>
          </cell>
        </row>
        <row r="80">
          <cell r="A80" t="str">
            <v>CIA</v>
          </cell>
          <cell r="Y80">
            <v>9.4645858343337302E-2</v>
          </cell>
          <cell r="AB80">
            <v>9.6052631578947389E-2</v>
          </cell>
          <cell r="AD80">
            <v>6.4411764705882349E-3</v>
          </cell>
          <cell r="AF80">
            <v>6.4411764705882349E-3</v>
          </cell>
          <cell r="AH80">
            <v>6.6988235294117649E-3</v>
          </cell>
          <cell r="AJ80">
            <v>1.2882352941176469E-6</v>
          </cell>
        </row>
        <row r="81">
          <cell r="A81" t="str">
            <v>CIA</v>
          </cell>
          <cell r="Y81">
            <v>9.4645858343337302E-2</v>
          </cell>
          <cell r="AB81">
            <v>9.6052631578947389E-2</v>
          </cell>
          <cell r="AD81">
            <v>6.4411764705882349E-3</v>
          </cell>
          <cell r="AF81">
            <v>6.4411764705882349E-3</v>
          </cell>
          <cell r="AH81">
            <v>6.6988235294117649E-3</v>
          </cell>
          <cell r="AJ81">
            <v>1.2882352941176469E-6</v>
          </cell>
        </row>
        <row r="82">
          <cell r="A82" t="str">
            <v>CIA</v>
          </cell>
          <cell r="Y82">
            <v>2.3661464585834326E-2</v>
          </cell>
          <cell r="AB82">
            <v>2.4013157894736847E-2</v>
          </cell>
          <cell r="AD82">
            <v>1.6102941176470587E-3</v>
          </cell>
          <cell r="AF82">
            <v>1.6102941176470587E-3</v>
          </cell>
          <cell r="AH82">
            <v>1.6747058823529412E-3</v>
          </cell>
          <cell r="AJ82">
            <v>3.2205882352941172E-7</v>
          </cell>
        </row>
        <row r="83">
          <cell r="A83" t="str">
            <v>EU11</v>
          </cell>
          <cell r="Y83">
            <v>0.41727466026410565</v>
          </cell>
          <cell r="AB83">
            <v>1.4115894736842107</v>
          </cell>
          <cell r="AD83">
            <v>9.4659529411764712E-2</v>
          </cell>
          <cell r="AF83">
            <v>9.4659529411764712E-2</v>
          </cell>
          <cell r="AH83">
            <v>9.8445910588235291E-2</v>
          </cell>
          <cell r="AJ83">
            <v>1.8931905882352942E-5</v>
          </cell>
        </row>
        <row r="84">
          <cell r="A84" t="str">
            <v>CIA</v>
          </cell>
          <cell r="Y84">
            <v>0.2575182352941176</v>
          </cell>
          <cell r="AB84">
            <v>0.2163153176470588</v>
          </cell>
          <cell r="AD84">
            <v>6.4379558823529411E-3</v>
          </cell>
          <cell r="AF84">
            <v>6.4379558823529411E-3</v>
          </cell>
          <cell r="AH84">
            <v>6.6954741176470595E-3</v>
          </cell>
          <cell r="AJ84">
            <v>1.2875911764705884E-6</v>
          </cell>
        </row>
        <row r="85">
          <cell r="A85" t="str">
            <v>CIA</v>
          </cell>
          <cell r="Y85">
            <v>0.2575182352941176</v>
          </cell>
          <cell r="AB85">
            <v>0.2163153176470588</v>
          </cell>
          <cell r="AD85">
            <v>6.4379558823529411E-3</v>
          </cell>
          <cell r="AF85">
            <v>6.4379558823529411E-3</v>
          </cell>
          <cell r="AH85">
            <v>6.6954741176470595E-3</v>
          </cell>
          <cell r="AJ85">
            <v>1.2875911764705884E-6</v>
          </cell>
        </row>
        <row r="86">
          <cell r="A86" t="str">
            <v>CIA</v>
          </cell>
          <cell r="Y86">
            <v>0.2575182352941176</v>
          </cell>
          <cell r="AB86">
            <v>0.2163153176470588</v>
          </cell>
          <cell r="AD86">
            <v>6.4379558823529411E-3</v>
          </cell>
          <cell r="AF86">
            <v>6.4379558823529411E-3</v>
          </cell>
          <cell r="AH86">
            <v>6.6954741176470595E-3</v>
          </cell>
          <cell r="AJ86">
            <v>1.2875911764705884E-6</v>
          </cell>
        </row>
        <row r="87">
          <cell r="A87" t="str">
            <v>CIA</v>
          </cell>
          <cell r="Y87">
            <v>0.2575182352941176</v>
          </cell>
          <cell r="AB87">
            <v>0.2163153176470588</v>
          </cell>
          <cell r="AD87">
            <v>6.4379558823529411E-3</v>
          </cell>
          <cell r="AF87">
            <v>6.4379558823529411E-3</v>
          </cell>
          <cell r="AH87">
            <v>6.6954741176470595E-3</v>
          </cell>
          <cell r="AJ87">
            <v>1.2875911764705884E-6</v>
          </cell>
        </row>
        <row r="88">
          <cell r="A88" t="str">
            <v>EU21</v>
          </cell>
          <cell r="Y88">
            <v>0.83735294117647052</v>
          </cell>
          <cell r="AB88">
            <v>0.3121710526315789</v>
          </cell>
          <cell r="AD88">
            <v>2.0933823529411765E-2</v>
          </cell>
          <cell r="AF88">
            <v>2.0933823529411765E-2</v>
          </cell>
          <cell r="AH88">
            <v>2.1771176470588235E-2</v>
          </cell>
          <cell r="AJ88">
            <v>4.186764705882353E-6</v>
          </cell>
        </row>
        <row r="89">
          <cell r="A89" t="str">
            <v>EU21</v>
          </cell>
          <cell r="Y89">
            <v>0.83735294117647052</v>
          </cell>
          <cell r="AB89">
            <v>0.3121710526315789</v>
          </cell>
          <cell r="AD89">
            <v>2.0933823529411765E-2</v>
          </cell>
          <cell r="AF89">
            <v>2.0933823529411765E-2</v>
          </cell>
          <cell r="AH89">
            <v>2.1771176470588235E-2</v>
          </cell>
          <cell r="AJ89">
            <v>4.186764705882353E-6</v>
          </cell>
        </row>
        <row r="90">
          <cell r="A90" t="str">
            <v>EU21</v>
          </cell>
          <cell r="Y90">
            <v>0.86234470588235301</v>
          </cell>
          <cell r="AB90">
            <v>0.32148815789473689</v>
          </cell>
          <cell r="AD90">
            <v>2.1558617647058822E-2</v>
          </cell>
          <cell r="AF90">
            <v>2.1558617647058822E-2</v>
          </cell>
          <cell r="AH90">
            <v>2.2420962352941179E-2</v>
          </cell>
          <cell r="AJ90">
            <v>4.3117235294117646E-6</v>
          </cell>
        </row>
        <row r="91">
          <cell r="A91" t="str">
            <v>EU21</v>
          </cell>
          <cell r="Y91">
            <v>0.86234470588235301</v>
          </cell>
          <cell r="AB91">
            <v>0.32148815789473689</v>
          </cell>
          <cell r="AD91">
            <v>2.1558617647058822E-2</v>
          </cell>
          <cell r="AF91">
            <v>2.1558617647058822E-2</v>
          </cell>
          <cell r="AH91">
            <v>2.2420962352941179E-2</v>
          </cell>
          <cell r="AJ91">
            <v>4.3117235294117646E-6</v>
          </cell>
        </row>
        <row r="92">
          <cell r="A92" t="str">
            <v>EU20</v>
          </cell>
          <cell r="Y92">
            <v>0.29702709723889559</v>
          </cell>
          <cell r="AB92">
            <v>1.0048065789473686</v>
          </cell>
          <cell r="AD92">
            <v>6.7381147058823532E-2</v>
          </cell>
          <cell r="AF92">
            <v>6.7381147058823532E-2</v>
          </cell>
          <cell r="AH92">
            <v>7.0076392941176471E-2</v>
          </cell>
          <cell r="AJ92">
            <v>1.3476229411764707E-5</v>
          </cell>
        </row>
        <row r="93">
          <cell r="A93" t="str">
            <v>EU20</v>
          </cell>
          <cell r="Y93">
            <v>0.29702709723889559</v>
          </cell>
          <cell r="AB93">
            <v>1.0048065789473686</v>
          </cell>
          <cell r="AD93">
            <v>6.7381147058823532E-2</v>
          </cell>
          <cell r="AF93">
            <v>6.7381147058823532E-2</v>
          </cell>
          <cell r="AH93">
            <v>7.0076392941176471E-2</v>
          </cell>
          <cell r="AJ93">
            <v>1.3476229411764707E-5</v>
          </cell>
        </row>
        <row r="94">
          <cell r="A94" t="str">
            <v>EU20</v>
          </cell>
          <cell r="Y94">
            <v>0.29702709723889559</v>
          </cell>
          <cell r="AB94">
            <v>1.0048065789473686</v>
          </cell>
          <cell r="AD94">
            <v>6.7381147058823532E-2</v>
          </cell>
          <cell r="AF94">
            <v>6.7381147058823532E-2</v>
          </cell>
          <cell r="AH94">
            <v>7.0076392941176471E-2</v>
          </cell>
          <cell r="AJ94">
            <v>1.3476229411764707E-5</v>
          </cell>
        </row>
        <row r="95">
          <cell r="A95" t="str">
            <v>CIA</v>
          </cell>
          <cell r="Y95">
            <v>0.1288235294117647</v>
          </cell>
          <cell r="AB95">
            <v>0.10821176470588234</v>
          </cell>
          <cell r="AD95">
            <v>3.2205882352941174E-3</v>
          </cell>
          <cell r="AF95">
            <v>3.2205882352941174E-3</v>
          </cell>
          <cell r="AH95">
            <v>3.3494117647058824E-3</v>
          </cell>
          <cell r="AJ95">
            <v>6.4411764705882343E-7</v>
          </cell>
        </row>
        <row r="96">
          <cell r="A96" t="str">
            <v>CIA</v>
          </cell>
          <cell r="Y96">
            <v>0.1288235294117647</v>
          </cell>
          <cell r="AB96">
            <v>0.10821176470588234</v>
          </cell>
          <cell r="AD96">
            <v>3.2205882352941174E-3</v>
          </cell>
          <cell r="AF96">
            <v>3.2205882352941174E-3</v>
          </cell>
          <cell r="AH96">
            <v>3.3494117647058824E-3</v>
          </cell>
          <cell r="AJ96">
            <v>6.4411764705882343E-7</v>
          </cell>
        </row>
        <row r="97">
          <cell r="A97" t="str">
            <v>CIA</v>
          </cell>
          <cell r="Y97">
            <v>0.25635882352941175</v>
          </cell>
          <cell r="AB97">
            <v>0.21534141176470589</v>
          </cell>
          <cell r="AD97">
            <v>6.4089705882352946E-3</v>
          </cell>
          <cell r="AF97">
            <v>6.4089705882352946E-3</v>
          </cell>
          <cell r="AH97">
            <v>6.6653294117647059E-3</v>
          </cell>
          <cell r="AJ97">
            <v>1.2817941176470587E-6</v>
          </cell>
        </row>
        <row r="98">
          <cell r="A98" t="str">
            <v>CIA</v>
          </cell>
          <cell r="Y98">
            <v>0.25635882352941175</v>
          </cell>
          <cell r="AB98">
            <v>0.21534141176470589</v>
          </cell>
          <cell r="AD98">
            <v>6.4089705882352946E-3</v>
          </cell>
          <cell r="AF98">
            <v>6.4089705882352946E-3</v>
          </cell>
          <cell r="AH98">
            <v>6.6653294117647059E-3</v>
          </cell>
          <cell r="AJ98">
            <v>1.2817941176470587E-6</v>
          </cell>
        </row>
        <row r="99">
          <cell r="A99" t="str">
            <v>CIA</v>
          </cell>
          <cell r="Y99">
            <v>0.25635882352941175</v>
          </cell>
          <cell r="AB99">
            <v>0.21534141176470589</v>
          </cell>
          <cell r="AD99">
            <v>6.4089705882352946E-3</v>
          </cell>
          <cell r="AF99">
            <v>6.4089705882352946E-3</v>
          </cell>
          <cell r="AH99">
            <v>6.6653294117647059E-3</v>
          </cell>
          <cell r="AJ99">
            <v>1.2817941176470587E-6</v>
          </cell>
        </row>
        <row r="100">
          <cell r="A100" t="str">
            <v>CIA</v>
          </cell>
          <cell r="Y100">
            <v>0.25635882352941175</v>
          </cell>
          <cell r="AB100">
            <v>0.21534141176470589</v>
          </cell>
          <cell r="AD100">
            <v>6.4089705882352946E-3</v>
          </cell>
          <cell r="AF100">
            <v>6.4089705882352946E-3</v>
          </cell>
          <cell r="AH100">
            <v>6.6653294117647059E-3</v>
          </cell>
          <cell r="AJ100">
            <v>1.2817941176470587E-6</v>
          </cell>
        </row>
        <row r="101">
          <cell r="A101" t="str">
            <v>CIA</v>
          </cell>
          <cell r="Y101">
            <v>0.25635882352941175</v>
          </cell>
          <cell r="AB101">
            <v>0.21534141176470589</v>
          </cell>
          <cell r="AD101">
            <v>6.4089705882352946E-3</v>
          </cell>
          <cell r="AF101">
            <v>6.4089705882352946E-3</v>
          </cell>
          <cell r="AH101">
            <v>6.6653294117647059E-3</v>
          </cell>
          <cell r="AJ101">
            <v>1.2817941176470587E-6</v>
          </cell>
        </row>
        <row r="102">
          <cell r="A102" t="str">
            <v>CIA</v>
          </cell>
          <cell r="Y102">
            <v>0.25635882352941175</v>
          </cell>
          <cell r="AB102">
            <v>0.21534141176470589</v>
          </cell>
          <cell r="AD102">
            <v>6.4089705882352946E-3</v>
          </cell>
          <cell r="AF102">
            <v>6.4089705882352946E-3</v>
          </cell>
          <cell r="AH102">
            <v>6.6653294117647059E-3</v>
          </cell>
          <cell r="AJ102">
            <v>1.2817941176470587E-6</v>
          </cell>
        </row>
      </sheetData>
      <sheetData sheetId="1">
        <row r="32">
          <cell r="A32" t="str">
            <v>Emissions Unit</v>
          </cell>
          <cell r="U32" t="str">
            <v>Annual Emissions tons/yr</v>
          </cell>
          <cell r="X32" t="str">
            <v>Annual Emissions tons/yr</v>
          </cell>
          <cell r="AD32" t="str">
            <v>Annual Emissions tons/yr</v>
          </cell>
          <cell r="AK32" t="str">
            <v>Annual Emissions tons/yr</v>
          </cell>
          <cell r="AM32" t="str">
            <v>Annual Emissions tons/yr</v>
          </cell>
          <cell r="AO32" t="str">
            <v>Annual Emissions tons/yr</v>
          </cell>
        </row>
        <row r="33">
          <cell r="A33" t="str">
            <v>EU1</v>
          </cell>
          <cell r="U33">
            <v>0.85882352941176465</v>
          </cell>
          <cell r="X33">
            <v>0.42941176470588233</v>
          </cell>
          <cell r="AD33">
            <v>2.2329411764705886E-2</v>
          </cell>
          <cell r="AK33">
            <v>5.2148991596638652</v>
          </cell>
          <cell r="AM33">
            <v>5.2148991596638652</v>
          </cell>
          <cell r="AO33">
            <v>4.2941176470588233E-6</v>
          </cell>
        </row>
        <row r="34">
          <cell r="A34" t="str">
            <v>EU1</v>
          </cell>
          <cell r="U34">
            <v>0.85882352941176465</v>
          </cell>
          <cell r="X34">
            <v>0.42941176470588233</v>
          </cell>
          <cell r="AD34">
            <v>2.2329411764705886E-2</v>
          </cell>
          <cell r="AK34">
            <v>2.1470588235294116E-2</v>
          </cell>
          <cell r="AM34">
            <v>2.1470588235294116E-2</v>
          </cell>
          <cell r="AO34">
            <v>4.2941176470588233E-6</v>
          </cell>
        </row>
        <row r="35">
          <cell r="A35" t="str">
            <v>EU1</v>
          </cell>
          <cell r="U35">
            <v>0.85882352941176465</v>
          </cell>
          <cell r="X35">
            <v>0.42941176470588233</v>
          </cell>
          <cell r="AD35">
            <v>2.2329411764705886E-2</v>
          </cell>
          <cell r="AK35">
            <v>2.1470588235294116E-2</v>
          </cell>
          <cell r="AM35">
            <v>2.1470588235294116E-2</v>
          </cell>
          <cell r="AO35">
            <v>4.2941176470588233E-6</v>
          </cell>
        </row>
        <row r="36">
          <cell r="A36" t="str">
            <v>EU1</v>
          </cell>
          <cell r="U36">
            <v>0.85882352941176465</v>
          </cell>
          <cell r="X36">
            <v>0.42941176470588233</v>
          </cell>
          <cell r="AD36">
            <v>2.2329411764705886E-2</v>
          </cell>
          <cell r="AK36">
            <v>2.1470588235294116E-2</v>
          </cell>
          <cell r="AM36">
            <v>2.1470588235294116E-2</v>
          </cell>
          <cell r="AO36">
            <v>4.2941176470588233E-6</v>
          </cell>
        </row>
        <row r="37">
          <cell r="A37" t="str">
            <v>EU1</v>
          </cell>
          <cell r="U37">
            <v>0.85882352941176465</v>
          </cell>
          <cell r="X37">
            <v>6.6352705882352936</v>
          </cell>
          <cell r="AD37">
            <v>2.2329411764705886E-2</v>
          </cell>
          <cell r="AK37">
            <v>5.2148991596638652</v>
          </cell>
          <cell r="AM37">
            <v>5.2148991596638652</v>
          </cell>
          <cell r="AO37">
            <v>4.2941176470588233E-6</v>
          </cell>
        </row>
        <row r="38">
          <cell r="A38" t="str">
            <v>EU1</v>
          </cell>
          <cell r="U38">
            <v>0.85882352941176465</v>
          </cell>
          <cell r="X38">
            <v>6.6352705882352936</v>
          </cell>
          <cell r="AD38">
            <v>2.2329411764705886E-2</v>
          </cell>
          <cell r="AK38">
            <v>2.1470588235294116E-2</v>
          </cell>
          <cell r="AM38">
            <v>2.1470588235294116E-2</v>
          </cell>
          <cell r="AO38">
            <v>4.2941176470588233E-6</v>
          </cell>
        </row>
        <row r="39">
          <cell r="A39" t="str">
            <v>EU1</v>
          </cell>
          <cell r="U39">
            <v>0.85882352941176465</v>
          </cell>
          <cell r="X39">
            <v>6.6352705882352936</v>
          </cell>
          <cell r="AD39">
            <v>2.2329411764705886E-2</v>
          </cell>
          <cell r="AK39">
            <v>2.1470588235294116E-2</v>
          </cell>
          <cell r="AM39">
            <v>2.1470588235294116E-2</v>
          </cell>
          <cell r="AO39">
            <v>4.2941176470588233E-6</v>
          </cell>
        </row>
        <row r="40">
          <cell r="A40" t="str">
            <v>EU1</v>
          </cell>
          <cell r="U40">
            <v>0.85882352941176465</v>
          </cell>
          <cell r="X40">
            <v>0.42941176470588233</v>
          </cell>
          <cell r="AD40">
            <v>2.2329411764705886E-2</v>
          </cell>
          <cell r="AK40">
            <v>2.1470588235294116E-2</v>
          </cell>
          <cell r="AM40">
            <v>2.1470588235294116E-2</v>
          </cell>
          <cell r="AO40">
            <v>4.2941176470588233E-6</v>
          </cell>
        </row>
        <row r="41">
          <cell r="A41" t="str">
            <v>EU1</v>
          </cell>
          <cell r="U41">
            <v>0.85882352941176465</v>
          </cell>
          <cell r="X41">
            <v>0.42941176470588233</v>
          </cell>
          <cell r="AD41">
            <v>2.2329411764705886E-2</v>
          </cell>
          <cell r="AK41">
            <v>2.1470588235294116E-2</v>
          </cell>
          <cell r="AM41">
            <v>2.1470588235294116E-2</v>
          </cell>
          <cell r="AO41">
            <v>4.2941176470588233E-6</v>
          </cell>
        </row>
        <row r="42">
          <cell r="A42" t="str">
            <v>EU3</v>
          </cell>
          <cell r="U42">
            <v>0.6011764705882352</v>
          </cell>
          <cell r="X42">
            <v>3.4429376470588235</v>
          </cell>
          <cell r="AD42">
            <v>1.5630588235294118E-2</v>
          </cell>
          <cell r="AK42">
            <v>2.6955651260504205</v>
          </cell>
          <cell r="AM42">
            <v>2.6955651260504205</v>
          </cell>
          <cell r="AO42">
            <v>3.0058823529411758E-6</v>
          </cell>
        </row>
        <row r="43">
          <cell r="A43" t="str">
            <v>EU3</v>
          </cell>
          <cell r="U43">
            <v>0.6011764705882352</v>
          </cell>
          <cell r="X43">
            <v>3.4429376470588235</v>
          </cell>
          <cell r="AD43">
            <v>1.5630588235294118E-2</v>
          </cell>
          <cell r="AK43">
            <v>1.502941176470588E-2</v>
          </cell>
          <cell r="AM43">
            <v>1.502941176470588E-2</v>
          </cell>
          <cell r="AO43">
            <v>3.0058823529411758E-6</v>
          </cell>
        </row>
        <row r="44">
          <cell r="A44" t="str">
            <v>EU3</v>
          </cell>
          <cell r="U44">
            <v>0.6011764705882352</v>
          </cell>
          <cell r="X44">
            <v>3.4429376470588235</v>
          </cell>
          <cell r="AD44">
            <v>1.5630588235294118E-2</v>
          </cell>
          <cell r="AK44">
            <v>1.502941176470588E-2</v>
          </cell>
          <cell r="AM44">
            <v>1.502941176470588E-2</v>
          </cell>
          <cell r="AO44">
            <v>3.0058823529411758E-6</v>
          </cell>
        </row>
        <row r="45">
          <cell r="A45" t="str">
            <v>EU3</v>
          </cell>
          <cell r="U45">
            <v>0.6011764705882352</v>
          </cell>
          <cell r="X45">
            <v>3.4429376470588235</v>
          </cell>
          <cell r="AD45">
            <v>1.5630588235294118E-2</v>
          </cell>
          <cell r="AK45">
            <v>1.502941176470588E-2</v>
          </cell>
          <cell r="AM45">
            <v>1.502941176470588E-2</v>
          </cell>
          <cell r="AO45">
            <v>3.0058823529411758E-6</v>
          </cell>
        </row>
        <row r="46">
          <cell r="A46" t="str">
            <v>EU3</v>
          </cell>
          <cell r="U46">
            <v>0.6011764705882352</v>
          </cell>
          <cell r="X46">
            <v>3.4429376470588235</v>
          </cell>
          <cell r="AD46">
            <v>1.5630588235294118E-2</v>
          </cell>
          <cell r="AK46">
            <v>1.502941176470588E-2</v>
          </cell>
          <cell r="AM46">
            <v>1.502941176470588E-2</v>
          </cell>
          <cell r="AO46">
            <v>3.0058823529411758E-6</v>
          </cell>
        </row>
        <row r="47">
          <cell r="A47" t="str">
            <v>EU4</v>
          </cell>
          <cell r="U47">
            <v>1.0520588235294117</v>
          </cell>
          <cell r="X47">
            <v>0.52602941176470586</v>
          </cell>
          <cell r="AD47">
            <v>2.73535294117647E-2</v>
          </cell>
          <cell r="AK47">
            <v>2.7068371848739496</v>
          </cell>
          <cell r="AM47">
            <v>2.7068371848739496</v>
          </cell>
          <cell r="AO47">
            <v>5.2602941176470595E-6</v>
          </cell>
        </row>
        <row r="48">
          <cell r="A48" t="str">
            <v>EU4</v>
          </cell>
          <cell r="U48">
            <v>1.0520588235294117</v>
          </cell>
          <cell r="X48">
            <v>0.52602941176470586</v>
          </cell>
          <cell r="AD48">
            <v>2.73535294117647E-2</v>
          </cell>
          <cell r="AK48">
            <v>2.6301470588235298E-2</v>
          </cell>
          <cell r="AM48">
            <v>2.6301470588235298E-2</v>
          </cell>
          <cell r="AO48">
            <v>5.2602941176470595E-6</v>
          </cell>
        </row>
        <row r="49">
          <cell r="A49" t="str">
            <v>EU4</v>
          </cell>
          <cell r="U49">
            <v>1.0520588235294117</v>
          </cell>
          <cell r="X49">
            <v>0.52602941176470586</v>
          </cell>
          <cell r="AD49">
            <v>2.73535294117647E-2</v>
          </cell>
          <cell r="AK49">
            <v>2.6301470588235298E-2</v>
          </cell>
          <cell r="AM49">
            <v>2.6301470588235298E-2</v>
          </cell>
          <cell r="AO49">
            <v>5.2602941176470595E-6</v>
          </cell>
        </row>
        <row r="50">
          <cell r="A50" t="str">
            <v>EU4</v>
          </cell>
          <cell r="U50">
            <v>0</v>
          </cell>
          <cell r="X50">
            <v>0</v>
          </cell>
          <cell r="AD50">
            <v>0</v>
          </cell>
          <cell r="AK50">
            <v>0</v>
          </cell>
          <cell r="AM50">
            <v>0</v>
          </cell>
          <cell r="AO50">
            <v>0</v>
          </cell>
        </row>
        <row r="51">
          <cell r="A51" t="str">
            <v>EU4</v>
          </cell>
          <cell r="U51">
            <v>1.0520588235294117</v>
          </cell>
          <cell r="X51">
            <v>0.52602941176470586</v>
          </cell>
          <cell r="AD51">
            <v>2.73535294117647E-2</v>
          </cell>
          <cell r="AK51">
            <v>2.7068371848739496</v>
          </cell>
          <cell r="AM51">
            <v>2.7068371848739496</v>
          </cell>
          <cell r="AO51">
            <v>5.2602941176470595E-6</v>
          </cell>
        </row>
        <row r="52">
          <cell r="A52" t="str">
            <v>EU4</v>
          </cell>
          <cell r="U52">
            <v>1.0520588235294117</v>
          </cell>
          <cell r="X52">
            <v>0.52602941176470586</v>
          </cell>
          <cell r="AD52">
            <v>2.73535294117647E-2</v>
          </cell>
          <cell r="AK52">
            <v>2.6301470588235298E-2</v>
          </cell>
          <cell r="AM52">
            <v>2.6301470588235298E-2</v>
          </cell>
          <cell r="AO52">
            <v>5.2602941176470595E-6</v>
          </cell>
        </row>
        <row r="53">
          <cell r="A53" t="str">
            <v>EU4</v>
          </cell>
          <cell r="U53">
            <v>1.0520588235294117</v>
          </cell>
          <cell r="X53">
            <v>0.52602941176470586</v>
          </cell>
          <cell r="AD53">
            <v>2.73535294117647E-2</v>
          </cell>
          <cell r="AK53">
            <v>2.6301470588235298E-2</v>
          </cell>
          <cell r="AM53">
            <v>2.6301470588235298E-2</v>
          </cell>
          <cell r="AO53">
            <v>5.2602941176470595E-6</v>
          </cell>
        </row>
        <row r="54">
          <cell r="A54" t="str">
            <v>EU4</v>
          </cell>
          <cell r="U54">
            <v>1.0520588235294117</v>
          </cell>
          <cell r="X54">
            <v>0.52602941176470586</v>
          </cell>
          <cell r="AD54">
            <v>2.73535294117647E-2</v>
          </cell>
          <cell r="AK54">
            <v>2.6301470588235298E-2</v>
          </cell>
          <cell r="AM54">
            <v>2.6301470588235298E-2</v>
          </cell>
          <cell r="AO54">
            <v>5.2602941176470595E-6</v>
          </cell>
        </row>
        <row r="55">
          <cell r="A55" t="str">
            <v>EU4</v>
          </cell>
          <cell r="U55">
            <v>2.4047058823529408</v>
          </cell>
          <cell r="X55">
            <v>1.2023529411764704</v>
          </cell>
          <cell r="AD55">
            <v>6.2522352941176473E-2</v>
          </cell>
          <cell r="AK55">
            <v>6.0117647058823519E-2</v>
          </cell>
          <cell r="AM55">
            <v>6.0117647058823519E-2</v>
          </cell>
          <cell r="AO55">
            <v>1.2023529411764703E-5</v>
          </cell>
        </row>
        <row r="56">
          <cell r="A56" t="str">
            <v>EU4</v>
          </cell>
          <cell r="U56">
            <v>2.4047058823529408</v>
          </cell>
          <cell r="X56">
            <v>1.2023529411764704</v>
          </cell>
          <cell r="AD56">
            <v>6.2522352941176473E-2</v>
          </cell>
          <cell r="AK56">
            <v>6.0117647058823519E-2</v>
          </cell>
          <cell r="AM56">
            <v>6.0117647058823519E-2</v>
          </cell>
          <cell r="AO56">
            <v>1.2023529411764703E-5</v>
          </cell>
        </row>
        <row r="57">
          <cell r="A57" t="str">
            <v>EU4</v>
          </cell>
          <cell r="U57">
            <v>2.4047058823529408</v>
          </cell>
          <cell r="X57">
            <v>1.2023529411764704</v>
          </cell>
          <cell r="AD57">
            <v>6.2522352941176473E-2</v>
          </cell>
          <cell r="AK57">
            <v>6.0117647058823519E-2</v>
          </cell>
          <cell r="AM57">
            <v>6.0117647058823519E-2</v>
          </cell>
          <cell r="AO57">
            <v>1.2023529411764703E-5</v>
          </cell>
        </row>
        <row r="58">
          <cell r="A58" t="str">
            <v>EU4</v>
          </cell>
          <cell r="U58">
            <v>0</v>
          </cell>
          <cell r="X58">
            <v>0</v>
          </cell>
          <cell r="AD58">
            <v>0</v>
          </cell>
          <cell r="AK58">
            <v>0</v>
          </cell>
          <cell r="AM58">
            <v>0</v>
          </cell>
          <cell r="AO58">
            <v>0</v>
          </cell>
        </row>
        <row r="59">
          <cell r="A59" t="str">
            <v>EU4</v>
          </cell>
          <cell r="U59">
            <v>2.4047058823529408</v>
          </cell>
          <cell r="X59">
            <v>1.2023529411764704</v>
          </cell>
          <cell r="AD59">
            <v>6.2522352941176473E-2</v>
          </cell>
          <cell r="AK59">
            <v>6.0117647058823519E-2</v>
          </cell>
          <cell r="AM59">
            <v>6.0117647058823519E-2</v>
          </cell>
          <cell r="AO59">
            <v>1.2023529411764703E-5</v>
          </cell>
        </row>
        <row r="60">
          <cell r="A60" t="str">
            <v>EU4</v>
          </cell>
          <cell r="U60">
            <v>2.4047058823529408</v>
          </cell>
          <cell r="X60">
            <v>1.2023529411764704</v>
          </cell>
          <cell r="AD60">
            <v>6.2522352941176473E-2</v>
          </cell>
          <cell r="AK60">
            <v>6.0117647058823519E-2</v>
          </cell>
          <cell r="AM60">
            <v>6.0117647058823519E-2</v>
          </cell>
          <cell r="AO60">
            <v>1.2023529411764703E-5</v>
          </cell>
        </row>
        <row r="61">
          <cell r="A61" t="str">
            <v>EU4</v>
          </cell>
          <cell r="U61">
            <v>2.4047058823529408</v>
          </cell>
          <cell r="X61">
            <v>1.2023529411764704</v>
          </cell>
          <cell r="AD61">
            <v>6.2522352941176473E-2</v>
          </cell>
          <cell r="AK61">
            <v>6.0117647058823519E-2</v>
          </cell>
          <cell r="AM61">
            <v>6.0117647058823519E-2</v>
          </cell>
          <cell r="AO61">
            <v>1.2023529411764703E-5</v>
          </cell>
        </row>
        <row r="62">
          <cell r="A62" t="str">
            <v>EU4</v>
          </cell>
          <cell r="U62">
            <v>2.4047058823529408</v>
          </cell>
          <cell r="X62">
            <v>1.2023529411764704</v>
          </cell>
          <cell r="AD62">
            <v>6.2522352941176473E-2</v>
          </cell>
          <cell r="AK62">
            <v>6.0117647058823519E-2</v>
          </cell>
          <cell r="AM62">
            <v>6.0117647058823519E-2</v>
          </cell>
          <cell r="AO62">
            <v>1.2023529411764703E-5</v>
          </cell>
        </row>
        <row r="63">
          <cell r="A63" t="str">
            <v>EU4</v>
          </cell>
          <cell r="U63">
            <v>2.4047058823529408</v>
          </cell>
          <cell r="X63">
            <v>1.2023529411764704</v>
          </cell>
          <cell r="AD63">
            <v>6.2522352941176473E-2</v>
          </cell>
          <cell r="AK63">
            <v>6.0117647058823519E-2</v>
          </cell>
          <cell r="AM63">
            <v>6.0117647058823519E-2</v>
          </cell>
          <cell r="AO63">
            <v>1.2023529411764703E-5</v>
          </cell>
        </row>
        <row r="64">
          <cell r="A64" t="str">
            <v>EU4</v>
          </cell>
          <cell r="U64">
            <v>2.4047058823529408</v>
          </cell>
          <cell r="X64">
            <v>1.2023529411764704</v>
          </cell>
          <cell r="AD64">
            <v>6.2522352941176473E-2</v>
          </cell>
          <cell r="AK64">
            <v>2.7406533613445379</v>
          </cell>
          <cell r="AM64">
            <v>2.7406533613445379</v>
          </cell>
          <cell r="AO64">
            <v>1.2023529411764703E-5</v>
          </cell>
        </row>
        <row r="65">
          <cell r="A65" t="str">
            <v>EU4</v>
          </cell>
          <cell r="U65">
            <v>2.4047058823529408</v>
          </cell>
          <cell r="X65">
            <v>1.2023529411764704</v>
          </cell>
          <cell r="AD65">
            <v>6.2522352941176473E-2</v>
          </cell>
          <cell r="AK65">
            <v>6.0117647058823519E-2</v>
          </cell>
          <cell r="AM65">
            <v>6.0117647058823519E-2</v>
          </cell>
          <cell r="AO65">
            <v>1.2023529411764703E-5</v>
          </cell>
        </row>
        <row r="66">
          <cell r="A66" t="str">
            <v>EU4</v>
          </cell>
          <cell r="U66">
            <v>2.4047058823529408</v>
          </cell>
          <cell r="X66">
            <v>1.2023529411764704</v>
          </cell>
          <cell r="AD66">
            <v>6.2522352941176473E-2</v>
          </cell>
          <cell r="AK66">
            <v>6.0117647058823519E-2</v>
          </cell>
          <cell r="AM66">
            <v>6.0117647058823519E-2</v>
          </cell>
          <cell r="AO66">
            <v>1.2023529411764703E-5</v>
          </cell>
        </row>
        <row r="67">
          <cell r="A67" t="str">
            <v>EU4</v>
          </cell>
          <cell r="U67">
            <v>2.4047058823529408</v>
          </cell>
          <cell r="X67">
            <v>1.2023529411764704</v>
          </cell>
          <cell r="AD67">
            <v>6.2522352941176473E-2</v>
          </cell>
          <cell r="AK67">
            <v>6.0117647058823519E-2</v>
          </cell>
          <cell r="AM67">
            <v>6.0117647058823519E-2</v>
          </cell>
          <cell r="AO67">
            <v>1.2023529411764703E-5</v>
          </cell>
        </row>
        <row r="68">
          <cell r="A68" t="str">
            <v>EU4</v>
          </cell>
          <cell r="U68">
            <v>2.4047058823529408</v>
          </cell>
          <cell r="X68">
            <v>1.2023529411764704</v>
          </cell>
          <cell r="AD68">
            <v>6.2522352941176473E-2</v>
          </cell>
          <cell r="AK68">
            <v>6.0117647058823519E-2</v>
          </cell>
          <cell r="AM68">
            <v>6.0117647058823519E-2</v>
          </cell>
          <cell r="AO68">
            <v>1.2023529411764703E-5</v>
          </cell>
        </row>
        <row r="69">
          <cell r="A69" t="str">
            <v>EU5</v>
          </cell>
          <cell r="U69">
            <v>0.6011764705882352</v>
          </cell>
          <cell r="X69">
            <v>5.7141823529411759</v>
          </cell>
          <cell r="AD69">
            <v>1.5630588235294118E-2</v>
          </cell>
          <cell r="AK69">
            <v>4.7959579831932775</v>
          </cell>
          <cell r="AM69">
            <v>4.7959579831932775</v>
          </cell>
          <cell r="AO69">
            <v>3.0058823529411758E-6</v>
          </cell>
        </row>
        <row r="70">
          <cell r="A70" t="str">
            <v>EU5</v>
          </cell>
          <cell r="U70">
            <v>0.6011764705882352</v>
          </cell>
          <cell r="X70">
            <v>5.7141823529411759</v>
          </cell>
          <cell r="AD70">
            <v>1.5630588235294118E-2</v>
          </cell>
          <cell r="AK70">
            <v>1.502941176470588E-2</v>
          </cell>
          <cell r="AM70">
            <v>1.502941176470588E-2</v>
          </cell>
          <cell r="AO70">
            <v>3.0058823529411758E-6</v>
          </cell>
        </row>
        <row r="71">
          <cell r="A71" t="str">
            <v>EU5</v>
          </cell>
          <cell r="U71">
            <v>0.6011764705882352</v>
          </cell>
          <cell r="X71">
            <v>0.3005882352941176</v>
          </cell>
          <cell r="AD71">
            <v>1.5630588235294118E-2</v>
          </cell>
          <cell r="AK71">
            <v>1.502941176470588E-2</v>
          </cell>
          <cell r="AM71">
            <v>1.502941176470588E-2</v>
          </cell>
          <cell r="AO71">
            <v>3.0058823529411758E-6</v>
          </cell>
        </row>
        <row r="72">
          <cell r="A72" t="str">
            <v>EU5</v>
          </cell>
          <cell r="U72">
            <v>0.6011764705882352</v>
          </cell>
          <cell r="X72">
            <v>5.7141823529411759</v>
          </cell>
          <cell r="AD72">
            <v>1.5630588235294118E-2</v>
          </cell>
          <cell r="AK72">
            <v>1.502941176470588E-2</v>
          </cell>
          <cell r="AM72">
            <v>1.502941176470588E-2</v>
          </cell>
          <cell r="AO72">
            <v>3.0058823529411758E-6</v>
          </cell>
        </row>
      </sheetData>
      <sheetData sheetId="2">
        <row r="20">
          <cell r="A20" t="str">
            <v>Emissions Unit</v>
          </cell>
          <cell r="R20" t="str">
            <v>Annual Emissions tons/yr</v>
          </cell>
          <cell r="T20" t="str">
            <v>Annual Emissions tons/yr</v>
          </cell>
          <cell r="V20" t="str">
            <v>Annual Emissions tons/yr</v>
          </cell>
          <cell r="X20" t="str">
            <v>Annual Emissions tons/yr</v>
          </cell>
          <cell r="Z20" t="str">
            <v>Annual Emissions tons/yr</v>
          </cell>
          <cell r="AB20" t="str">
            <v>Annual Emissions tons/yr</v>
          </cell>
        </row>
        <row r="21">
          <cell r="A21" t="str">
            <v>EU1</v>
          </cell>
          <cell r="R21">
            <v>6.1320000000000006E-2</v>
          </cell>
          <cell r="T21">
            <v>7.2999999999999995E-2</v>
          </cell>
          <cell r="V21">
            <v>1.8250000000000002E-3</v>
          </cell>
          <cell r="X21">
            <v>1.8250000000000002E-3</v>
          </cell>
          <cell r="Z21">
            <v>1.8980000000000004E-3</v>
          </cell>
          <cell r="AB21">
            <v>3.6500000000000005E-7</v>
          </cell>
        </row>
        <row r="22">
          <cell r="A22" t="str">
            <v>EU1</v>
          </cell>
          <cell r="R22">
            <v>6.1320000000000006E-2</v>
          </cell>
          <cell r="T22">
            <v>7.2999999999999995E-2</v>
          </cell>
          <cell r="V22">
            <v>1.8250000000000002E-3</v>
          </cell>
          <cell r="X22">
            <v>1.8250000000000002E-3</v>
          </cell>
          <cell r="Z22">
            <v>1.8980000000000004E-3</v>
          </cell>
          <cell r="AB22">
            <v>3.6500000000000005E-7</v>
          </cell>
        </row>
        <row r="23">
          <cell r="A23" t="str">
            <v>EU1</v>
          </cell>
          <cell r="R23">
            <v>6.1320000000000006E-2</v>
          </cell>
          <cell r="T23">
            <v>7.2999999999999995E-2</v>
          </cell>
          <cell r="V23">
            <v>1.8250000000000002E-3</v>
          </cell>
          <cell r="X23">
            <v>1.8250000000000002E-3</v>
          </cell>
          <cell r="Z23">
            <v>1.8980000000000004E-3</v>
          </cell>
          <cell r="AB23">
            <v>3.6500000000000005E-7</v>
          </cell>
        </row>
      </sheetData>
      <sheetData sheetId="3">
        <row r="21">
          <cell r="A21" t="str">
            <v>Emissions Unit</v>
          </cell>
          <cell r="AA21" t="str">
            <v>Annual Emissions (tpy)</v>
          </cell>
          <cell r="AH21" t="str">
            <v>Annual Emissions (tpy)</v>
          </cell>
          <cell r="AM21" t="str">
            <v>Annual Emissions (tpy)</v>
          </cell>
          <cell r="AR21" t="str">
            <v>Annual Emissions (tpy)</v>
          </cell>
          <cell r="AV21" t="str">
            <v>Annual Emissions (tpy)</v>
          </cell>
        </row>
        <row r="22">
          <cell r="A22" t="str">
            <v>CIA</v>
          </cell>
          <cell r="AA22">
            <v>0.4224</v>
          </cell>
          <cell r="AH22">
            <v>0.19394999999999998</v>
          </cell>
          <cell r="AM22">
            <v>1.9199999999999998E-2</v>
          </cell>
          <cell r="AR22">
            <v>1.9199999999999998E-2</v>
          </cell>
          <cell r="AV22">
            <v>3.9226387499999998E-4</v>
          </cell>
        </row>
        <row r="23">
          <cell r="A23" t="str">
            <v>CIA</v>
          </cell>
          <cell r="AA23">
            <v>0.4224</v>
          </cell>
          <cell r="AH23">
            <v>0.19394999999999998</v>
          </cell>
          <cell r="AM23">
            <v>1.9199999999999998E-2</v>
          </cell>
          <cell r="AR23">
            <v>1.9199999999999998E-2</v>
          </cell>
          <cell r="AV23">
            <v>3.9226387499999998E-4</v>
          </cell>
        </row>
        <row r="24">
          <cell r="A24" t="str">
            <v>CIA</v>
          </cell>
          <cell r="AA24">
            <v>0.4224</v>
          </cell>
          <cell r="AH24">
            <v>0.19394999999999998</v>
          </cell>
          <cell r="AM24">
            <v>1.9199999999999998E-2</v>
          </cell>
          <cell r="AR24">
            <v>1.9199999999999998E-2</v>
          </cell>
          <cell r="AV24">
            <v>3.9226387499999998E-4</v>
          </cell>
        </row>
        <row r="25">
          <cell r="A25" t="str">
            <v>CIA</v>
          </cell>
          <cell r="AA25">
            <v>0.4224</v>
          </cell>
          <cell r="AH25">
            <v>0.19394999999999998</v>
          </cell>
          <cell r="AM25">
            <v>1.9199999999999998E-2</v>
          </cell>
          <cell r="AR25">
            <v>1.9199999999999998E-2</v>
          </cell>
          <cell r="AV25">
            <v>3.9226387499999998E-4</v>
          </cell>
        </row>
        <row r="26">
          <cell r="A26" t="str">
            <v>CIA</v>
          </cell>
          <cell r="AA26">
            <v>0.5915999999999999</v>
          </cell>
          <cell r="AH26">
            <v>0.16259999999999999</v>
          </cell>
          <cell r="AM26">
            <v>2.4E-2</v>
          </cell>
          <cell r="AR26">
            <v>2.4E-2</v>
          </cell>
          <cell r="AV26">
            <v>3.2109210000000002E-4</v>
          </cell>
        </row>
        <row r="27">
          <cell r="A27" t="str">
            <v>CIA</v>
          </cell>
          <cell r="AA27">
            <v>0.5915999999999999</v>
          </cell>
          <cell r="AH27">
            <v>0.16259999999999999</v>
          </cell>
          <cell r="AM27">
            <v>2.4E-2</v>
          </cell>
          <cell r="AR27">
            <v>2.4E-2</v>
          </cell>
          <cell r="AV27">
            <v>3.2109210000000002E-4</v>
          </cell>
        </row>
        <row r="28">
          <cell r="A28" t="str">
            <v>CIA</v>
          </cell>
          <cell r="AA28">
            <v>0.5915999999999999</v>
          </cell>
          <cell r="AH28">
            <v>0.16259999999999999</v>
          </cell>
          <cell r="AM28">
            <v>2.4E-2</v>
          </cell>
          <cell r="AR28">
            <v>2.4E-2</v>
          </cell>
          <cell r="AV28">
            <v>3.2109210000000002E-4</v>
          </cell>
        </row>
        <row r="29">
          <cell r="A29" t="str">
            <v>CIA</v>
          </cell>
          <cell r="AA29">
            <v>0.35064440016925325</v>
          </cell>
          <cell r="AH29">
            <v>4.9279753537300457E-2</v>
          </cell>
          <cell r="AM29">
            <v>1.2004042528316779E-2</v>
          </cell>
          <cell r="AR29">
            <v>1.2004042528316779E-2</v>
          </cell>
          <cell r="AV29">
            <v>4.6616602499999996E-4</v>
          </cell>
        </row>
        <row r="30">
          <cell r="A30" t="str">
            <v>CIA</v>
          </cell>
          <cell r="AA30">
            <v>0.35064440016925325</v>
          </cell>
          <cell r="AH30">
            <v>4.9279753537300457E-2</v>
          </cell>
          <cell r="AM30">
            <v>1.2004042528316779E-2</v>
          </cell>
          <cell r="AR30">
            <v>1.2004042528316779E-2</v>
          </cell>
          <cell r="AV30">
            <v>4.6616602499999996E-4</v>
          </cell>
        </row>
        <row r="31">
          <cell r="A31" t="str">
            <v>CIA</v>
          </cell>
          <cell r="AA31">
            <v>1.0652031029534292</v>
          </cell>
          <cell r="AH31">
            <v>7.323271332804826E-2</v>
          </cell>
          <cell r="AM31">
            <v>9.4050000000000002E-3</v>
          </cell>
          <cell r="AR31">
            <v>9.4050000000000002E-3</v>
          </cell>
          <cell r="AV31">
            <v>5.2350390000000001E-4</v>
          </cell>
        </row>
        <row r="32">
          <cell r="A32" t="str">
            <v>CIA</v>
          </cell>
          <cell r="AA32">
            <v>0.58244999999999991</v>
          </cell>
          <cell r="AH32">
            <v>0.10410000000000001</v>
          </cell>
          <cell r="AM32">
            <v>1.6500000000000001E-2</v>
          </cell>
          <cell r="AR32">
            <v>1.6500000000000001E-2</v>
          </cell>
          <cell r="AV32">
            <v>5.1840719999999999E-4</v>
          </cell>
        </row>
        <row r="33">
          <cell r="A33" t="str">
            <v>CIA</v>
          </cell>
          <cell r="AA33">
            <v>0.55535999999999996</v>
          </cell>
          <cell r="AH33">
            <v>0.23496</v>
          </cell>
          <cell r="AM33">
            <v>6.0000000000000001E-3</v>
          </cell>
          <cell r="AR33">
            <v>6.0000000000000001E-3</v>
          </cell>
          <cell r="AV33">
            <v>5.1840719999999999E-4</v>
          </cell>
        </row>
        <row r="34">
          <cell r="A34" t="str">
            <v>CIA</v>
          </cell>
          <cell r="AA34">
            <v>0.53625</v>
          </cell>
          <cell r="AH34">
            <v>7.9649999999999985E-2</v>
          </cell>
          <cell r="AM34">
            <v>1.6500000000000001E-2</v>
          </cell>
          <cell r="AR34">
            <v>1.6500000000000001E-2</v>
          </cell>
          <cell r="AV34">
            <v>5.2514212499999997E-4</v>
          </cell>
        </row>
        <row r="35">
          <cell r="A35" t="str">
            <v>CIA</v>
          </cell>
          <cell r="AA35">
            <v>0.53625</v>
          </cell>
          <cell r="AH35">
            <v>7.9649999999999985E-2</v>
          </cell>
          <cell r="AM35">
            <v>1.6500000000000001E-2</v>
          </cell>
          <cell r="AR35">
            <v>1.6500000000000001E-2</v>
          </cell>
          <cell r="AV35">
            <v>5.2514212499999997E-4</v>
          </cell>
        </row>
        <row r="36">
          <cell r="A36" t="str">
            <v>CIA</v>
          </cell>
          <cell r="AA36">
            <v>0.53625</v>
          </cell>
          <cell r="AH36">
            <v>7.9649999999999985E-2</v>
          </cell>
          <cell r="AM36">
            <v>1.6500000000000001E-2</v>
          </cell>
          <cell r="AR36">
            <v>1.6500000000000001E-2</v>
          </cell>
          <cell r="AV36">
            <v>5.2514212499999997E-4</v>
          </cell>
        </row>
        <row r="37">
          <cell r="A37" t="str">
            <v>CIA</v>
          </cell>
          <cell r="AA37">
            <v>0.53625</v>
          </cell>
          <cell r="AH37">
            <v>7.9649999999999985E-2</v>
          </cell>
          <cell r="AM37">
            <v>1.6500000000000001E-2</v>
          </cell>
          <cell r="AR37">
            <v>1.6500000000000001E-2</v>
          </cell>
          <cell r="AV37">
            <v>5.2514212499999997E-4</v>
          </cell>
        </row>
        <row r="38">
          <cell r="A38" t="str">
            <v>CIA</v>
          </cell>
          <cell r="AA38">
            <v>0.53625</v>
          </cell>
          <cell r="AH38">
            <v>7.9649999999999985E-2</v>
          </cell>
          <cell r="AM38">
            <v>1.6500000000000001E-2</v>
          </cell>
          <cell r="AR38">
            <v>1.6500000000000001E-2</v>
          </cell>
          <cell r="AV38">
            <v>5.2514212499999997E-4</v>
          </cell>
        </row>
        <row r="39">
          <cell r="A39" t="str">
            <v>CIA</v>
          </cell>
          <cell r="AA39">
            <v>0.53625</v>
          </cell>
          <cell r="AH39">
            <v>7.9649999999999985E-2</v>
          </cell>
          <cell r="AM39">
            <v>1.6500000000000001E-2</v>
          </cell>
          <cell r="AR39">
            <v>1.6500000000000001E-2</v>
          </cell>
          <cell r="AV39">
            <v>5.2514212499999997E-4</v>
          </cell>
        </row>
        <row r="40">
          <cell r="A40" t="str">
            <v>CIA</v>
          </cell>
          <cell r="AA40">
            <v>0.53625</v>
          </cell>
          <cell r="AH40">
            <v>7.9649999999999985E-2</v>
          </cell>
          <cell r="AM40">
            <v>1.6500000000000001E-2</v>
          </cell>
          <cell r="AR40">
            <v>1.6500000000000001E-2</v>
          </cell>
          <cell r="AV40">
            <v>5.2514212499999997E-4</v>
          </cell>
        </row>
        <row r="41">
          <cell r="A41" t="str">
            <v>CIA</v>
          </cell>
          <cell r="AA41">
            <v>0.133187756222619</v>
          </cell>
          <cell r="AH41">
            <v>3.8456665397612395E-2</v>
          </cell>
          <cell r="AM41">
            <v>1.126678277739809E-2</v>
          </cell>
          <cell r="AR41">
            <v>1.126678277739809E-2</v>
          </cell>
          <cell r="AV41">
            <v>8.1729224999999985E-5</v>
          </cell>
        </row>
        <row r="42">
          <cell r="A42" t="str">
            <v>CIA</v>
          </cell>
          <cell r="AA42">
            <v>0.133187756222619</v>
          </cell>
          <cell r="AH42">
            <v>3.8456665397612395E-2</v>
          </cell>
          <cell r="AM42">
            <v>1.126678277739809E-2</v>
          </cell>
          <cell r="AR42">
            <v>1.126678277739809E-2</v>
          </cell>
          <cell r="AV42">
            <v>8.1729224999999985E-5</v>
          </cell>
        </row>
        <row r="43">
          <cell r="A43" t="str">
            <v>CIA</v>
          </cell>
          <cell r="AA43">
            <v>0.53625</v>
          </cell>
          <cell r="AH43">
            <v>7.9649999999999985E-2</v>
          </cell>
          <cell r="AM43">
            <v>1.6500000000000001E-2</v>
          </cell>
          <cell r="AR43">
            <v>1.6500000000000001E-2</v>
          </cell>
          <cell r="AV43">
            <v>5.2514212499999997E-4</v>
          </cell>
        </row>
        <row r="44">
          <cell r="A44" t="str">
            <v>CIA</v>
          </cell>
          <cell r="AA44">
            <v>0.69609636511301987</v>
          </cell>
          <cell r="AH44">
            <v>2.3122082057949959E-2</v>
          </cell>
          <cell r="AM44">
            <v>1.0952622412310677E-2</v>
          </cell>
          <cell r="AR44">
            <v>1.0952622412310677E-2</v>
          </cell>
          <cell r="AV44">
            <v>6.6985199999999986E-4</v>
          </cell>
        </row>
        <row r="45">
          <cell r="A45" t="str">
            <v>CIA</v>
          </cell>
          <cell r="AA45">
            <v>0.69609636511301987</v>
          </cell>
          <cell r="AH45">
            <v>2.3122082057949959E-2</v>
          </cell>
          <cell r="AM45">
            <v>1.0952622412310677E-2</v>
          </cell>
          <cell r="AR45">
            <v>1.0952622412310677E-2</v>
          </cell>
          <cell r="AV45">
            <v>6.6985199999999986E-4</v>
          </cell>
        </row>
        <row r="46">
          <cell r="A46" t="str">
            <v>CIA</v>
          </cell>
          <cell r="AA46">
            <v>0.69609636511301987</v>
          </cell>
          <cell r="AH46">
            <v>2.3122082057949959E-2</v>
          </cell>
          <cell r="AM46">
            <v>1.0952622412310677E-2</v>
          </cell>
          <cell r="AR46">
            <v>1.0952622412310677E-2</v>
          </cell>
          <cell r="AV46">
            <v>6.6985199999999986E-4</v>
          </cell>
        </row>
        <row r="47">
          <cell r="A47" t="str">
            <v>CIA</v>
          </cell>
          <cell r="AA47">
            <v>0.69609636511301987</v>
          </cell>
          <cell r="AH47">
            <v>2.3122082057949959E-2</v>
          </cell>
          <cell r="AM47">
            <v>1.0952622412310677E-2</v>
          </cell>
          <cell r="AR47">
            <v>1.0952622412310677E-2</v>
          </cell>
          <cell r="AV47">
            <v>6.6985199999999986E-4</v>
          </cell>
        </row>
        <row r="48">
          <cell r="A48" t="str">
            <v>CIA</v>
          </cell>
          <cell r="AA48">
            <v>0.69609636511301987</v>
          </cell>
          <cell r="AH48">
            <v>2.3122082057949959E-2</v>
          </cell>
          <cell r="AM48">
            <v>1.0952622412310677E-2</v>
          </cell>
          <cell r="AR48">
            <v>1.0952622412310677E-2</v>
          </cell>
          <cell r="AV48">
            <v>6.6985199999999986E-4</v>
          </cell>
        </row>
        <row r="49">
          <cell r="A49" t="str">
            <v>CIA</v>
          </cell>
          <cell r="AA49">
            <v>0.69609636511301987</v>
          </cell>
          <cell r="AH49">
            <v>2.3122082057949959E-2</v>
          </cell>
          <cell r="AM49">
            <v>1.0952622412310677E-2</v>
          </cell>
          <cell r="AR49">
            <v>1.0952622412310677E-2</v>
          </cell>
          <cell r="AV49">
            <v>6.6985199999999986E-4</v>
          </cell>
        </row>
        <row r="50">
          <cell r="A50" t="str">
            <v>CIA</v>
          </cell>
          <cell r="AA50">
            <v>0.69609636511301987</v>
          </cell>
          <cell r="AH50">
            <v>2.3122082057949959E-2</v>
          </cell>
          <cell r="AM50">
            <v>1.0952622412310677E-2</v>
          </cell>
          <cell r="AR50">
            <v>1.0952622412310677E-2</v>
          </cell>
          <cell r="AV50">
            <v>6.6985199999999986E-4</v>
          </cell>
        </row>
        <row r="51">
          <cell r="A51" t="str">
            <v>CIA</v>
          </cell>
          <cell r="AA51">
            <v>0.69609636511301987</v>
          </cell>
          <cell r="AH51">
            <v>2.3122082057949959E-2</v>
          </cell>
          <cell r="AM51">
            <v>1.0952622412310677E-2</v>
          </cell>
          <cell r="AR51">
            <v>1.0952622412310677E-2</v>
          </cell>
          <cell r="AV51">
            <v>6.6985199999999986E-4</v>
          </cell>
        </row>
        <row r="52">
          <cell r="A52" t="str">
            <v>CIA</v>
          </cell>
          <cell r="AA52">
            <v>0.69609636511301987</v>
          </cell>
          <cell r="AH52">
            <v>2.3122082057949959E-2</v>
          </cell>
          <cell r="AM52">
            <v>1.0952622412310677E-2</v>
          </cell>
          <cell r="AR52">
            <v>1.0952622412310677E-2</v>
          </cell>
          <cell r="AV52">
            <v>6.6985199999999986E-4</v>
          </cell>
        </row>
        <row r="53">
          <cell r="A53" t="str">
            <v>CIA</v>
          </cell>
          <cell r="AA53">
            <v>0.69609636511301987</v>
          </cell>
          <cell r="AH53">
            <v>2.3122082057949959E-2</v>
          </cell>
          <cell r="AM53">
            <v>1.0952622412310677E-2</v>
          </cell>
          <cell r="AR53">
            <v>1.0952622412310677E-2</v>
          </cell>
          <cell r="AV53">
            <v>6.6985199999999986E-4</v>
          </cell>
        </row>
        <row r="54">
          <cell r="A54" t="str">
            <v>CIA</v>
          </cell>
          <cell r="AA54">
            <v>0.69609636511301987</v>
          </cell>
          <cell r="AH54">
            <v>2.3122082057949959E-2</v>
          </cell>
          <cell r="AM54">
            <v>1.0952622412310677E-2</v>
          </cell>
          <cell r="AR54">
            <v>1.0952622412310677E-2</v>
          </cell>
          <cell r="AV54">
            <v>6.6985199999999986E-4</v>
          </cell>
        </row>
        <row r="55">
          <cell r="A55" t="str">
            <v>CIA</v>
          </cell>
          <cell r="AA55">
            <v>0.69609636511301987</v>
          </cell>
          <cell r="AH55">
            <v>2.3122082057949959E-2</v>
          </cell>
          <cell r="AM55">
            <v>1.0952622412310677E-2</v>
          </cell>
          <cell r="AR55">
            <v>1.0952622412310677E-2</v>
          </cell>
          <cell r="AV55">
            <v>6.6985199999999986E-4</v>
          </cell>
        </row>
        <row r="56">
          <cell r="A56" t="str">
            <v>CIA</v>
          </cell>
          <cell r="AA56">
            <v>0.69609636511301987</v>
          </cell>
          <cell r="AH56">
            <v>2.3122082057949959E-2</v>
          </cell>
          <cell r="AM56">
            <v>1.0952622412310677E-2</v>
          </cell>
          <cell r="AR56">
            <v>1.0952622412310677E-2</v>
          </cell>
          <cell r="AV56">
            <v>6.6985199999999986E-4</v>
          </cell>
        </row>
        <row r="57">
          <cell r="A57" t="str">
            <v>CIA</v>
          </cell>
          <cell r="AA57">
            <v>0.69609636511301987</v>
          </cell>
          <cell r="AH57">
            <v>2.3122082057949959E-2</v>
          </cell>
          <cell r="AM57">
            <v>1.0952622412310677E-2</v>
          </cell>
          <cell r="AR57">
            <v>1.0952622412310677E-2</v>
          </cell>
          <cell r="AV57">
            <v>6.6985199999999986E-4</v>
          </cell>
        </row>
        <row r="58">
          <cell r="A58" t="str">
            <v>CIA</v>
          </cell>
          <cell r="AA58">
            <v>0.69609636511301987</v>
          </cell>
          <cell r="AH58">
            <v>2.3122082057949959E-2</v>
          </cell>
          <cell r="AM58">
            <v>1.0952622412310677E-2</v>
          </cell>
          <cell r="AR58">
            <v>1.0952622412310677E-2</v>
          </cell>
          <cell r="AV58">
            <v>6.6985199999999986E-4</v>
          </cell>
        </row>
        <row r="59">
          <cell r="A59" t="str">
            <v>CIA</v>
          </cell>
          <cell r="AA59">
            <v>0.69609636511301987</v>
          </cell>
          <cell r="AH59">
            <v>2.3122082057949959E-2</v>
          </cell>
          <cell r="AM59">
            <v>1.0952622412310677E-2</v>
          </cell>
          <cell r="AR59">
            <v>1.0952622412310677E-2</v>
          </cell>
          <cell r="AV59">
            <v>6.6985199999999986E-4</v>
          </cell>
        </row>
        <row r="60">
          <cell r="A60" t="str">
            <v>CIA</v>
          </cell>
          <cell r="AA60">
            <v>0.69609636511301987</v>
          </cell>
          <cell r="AH60">
            <v>2.3122082057949959E-2</v>
          </cell>
          <cell r="AM60">
            <v>1.0952622412310677E-2</v>
          </cell>
          <cell r="AR60">
            <v>1.0952622412310677E-2</v>
          </cell>
          <cell r="AV60">
            <v>6.6985199999999986E-4</v>
          </cell>
        </row>
        <row r="61">
          <cell r="A61" t="str">
            <v>CIA</v>
          </cell>
          <cell r="AA61">
            <v>0.69609636511301987</v>
          </cell>
          <cell r="AH61">
            <v>2.3122082057949959E-2</v>
          </cell>
          <cell r="AM61">
            <v>1.0952622412310677E-2</v>
          </cell>
          <cell r="AR61">
            <v>1.0952622412310677E-2</v>
          </cell>
          <cell r="AV61">
            <v>6.6985199999999986E-4</v>
          </cell>
        </row>
        <row r="62">
          <cell r="A62" t="str">
            <v>CIA</v>
          </cell>
          <cell r="AA62">
            <v>0.69609636511301987</v>
          </cell>
          <cell r="AH62">
            <v>2.3122082057949959E-2</v>
          </cell>
          <cell r="AM62">
            <v>1.0952622412310677E-2</v>
          </cell>
          <cell r="AR62">
            <v>1.0952622412310677E-2</v>
          </cell>
          <cell r="AV62">
            <v>6.6985199999999986E-4</v>
          </cell>
        </row>
        <row r="63">
          <cell r="A63" t="str">
            <v>CIA</v>
          </cell>
          <cell r="AA63">
            <v>0.69609636511301987</v>
          </cell>
          <cell r="AH63">
            <v>2.3122082057949959E-2</v>
          </cell>
          <cell r="AM63">
            <v>1.0952622412310677E-2</v>
          </cell>
          <cell r="AR63">
            <v>1.0952622412310677E-2</v>
          </cell>
          <cell r="AV63">
            <v>6.6985199999999986E-4</v>
          </cell>
        </row>
        <row r="64">
          <cell r="A64" t="str">
            <v>CIA</v>
          </cell>
          <cell r="AA64">
            <v>0.69609636511301987</v>
          </cell>
          <cell r="AH64">
            <v>2.3122082057949959E-2</v>
          </cell>
          <cell r="AM64">
            <v>1.0952622412310677E-2</v>
          </cell>
          <cell r="AR64">
            <v>1.0952622412310677E-2</v>
          </cell>
          <cell r="AV64">
            <v>6.6985199999999986E-4</v>
          </cell>
        </row>
        <row r="65">
          <cell r="A65" t="str">
            <v>CIA</v>
          </cell>
          <cell r="AA65">
            <v>0.72863999999999995</v>
          </cell>
          <cell r="AH65">
            <v>0.30359999999999998</v>
          </cell>
          <cell r="AM65">
            <v>1.0952622412310677E-2</v>
          </cell>
          <cell r="AR65">
            <v>1.0952622412310677E-2</v>
          </cell>
          <cell r="AV65">
            <v>6.6985199999999986E-4</v>
          </cell>
        </row>
        <row r="66">
          <cell r="A66" t="str">
            <v>CIA</v>
          </cell>
          <cell r="AA66">
            <v>0.72863999999999995</v>
          </cell>
          <cell r="AH66">
            <v>0.30359999999999998</v>
          </cell>
          <cell r="AM66">
            <v>1.0952622412310677E-2</v>
          </cell>
          <cell r="AR66">
            <v>1.0952622412310677E-2</v>
          </cell>
          <cell r="AV66">
            <v>6.6985199999999986E-4</v>
          </cell>
        </row>
        <row r="67">
          <cell r="A67" t="str">
            <v>CIA</v>
          </cell>
          <cell r="AA67">
            <v>0.72863999999999995</v>
          </cell>
          <cell r="AH67">
            <v>0.30359999999999998</v>
          </cell>
          <cell r="AM67">
            <v>1.0952622412310677E-2</v>
          </cell>
          <cell r="AR67">
            <v>1.0952622412310677E-2</v>
          </cell>
          <cell r="AV67">
            <v>6.6985199999999986E-4</v>
          </cell>
        </row>
        <row r="68">
          <cell r="A68" t="str">
            <v>CIA</v>
          </cell>
          <cell r="AA68">
            <v>0.72863999999999995</v>
          </cell>
          <cell r="AH68">
            <v>0.30359999999999998</v>
          </cell>
          <cell r="AM68">
            <v>1.0952622412310677E-2</v>
          </cell>
          <cell r="AR68">
            <v>1.0952622412310677E-2</v>
          </cell>
          <cell r="AV68">
            <v>6.6985199999999986E-4</v>
          </cell>
        </row>
        <row r="69">
          <cell r="A69" t="str">
            <v>CIA</v>
          </cell>
          <cell r="AA69">
            <v>0.72863999999999995</v>
          </cell>
          <cell r="AH69">
            <v>0.30359999999999998</v>
          </cell>
          <cell r="AM69">
            <v>1.0952622412310677E-2</v>
          </cell>
          <cell r="AR69">
            <v>1.0952622412310677E-2</v>
          </cell>
          <cell r="AV69">
            <v>6.6985199999999986E-4</v>
          </cell>
        </row>
        <row r="70">
          <cell r="A70" t="str">
            <v>CIA</v>
          </cell>
          <cell r="AA70">
            <v>0.72863999999999995</v>
          </cell>
          <cell r="AH70">
            <v>0.30359999999999998</v>
          </cell>
          <cell r="AM70">
            <v>1.0952622412310677E-2</v>
          </cell>
          <cell r="AR70">
            <v>1.0952622412310677E-2</v>
          </cell>
          <cell r="AV70">
            <v>6.6985199999999986E-4</v>
          </cell>
        </row>
        <row r="71">
          <cell r="A71" t="str">
            <v>CIA</v>
          </cell>
          <cell r="AA71">
            <v>0.72863999999999995</v>
          </cell>
          <cell r="AH71">
            <v>0.30359999999999998</v>
          </cell>
          <cell r="AM71">
            <v>1.0952622412310677E-2</v>
          </cell>
          <cell r="AR71">
            <v>1.0952622412310677E-2</v>
          </cell>
          <cell r="AV71">
            <v>6.6985199999999986E-4</v>
          </cell>
        </row>
        <row r="72">
          <cell r="A72" t="str">
            <v>CIA</v>
          </cell>
          <cell r="AA72">
            <v>0.72863999999999995</v>
          </cell>
          <cell r="AH72">
            <v>0.30359999999999998</v>
          </cell>
          <cell r="AM72">
            <v>1.0952622412310677E-2</v>
          </cell>
          <cell r="AR72">
            <v>1.0952622412310677E-2</v>
          </cell>
          <cell r="AV72">
            <v>6.6985199999999986E-4</v>
          </cell>
        </row>
        <row r="73">
          <cell r="A73" t="str">
            <v>CIA</v>
          </cell>
          <cell r="AA73">
            <v>0.72863999999999995</v>
          </cell>
          <cell r="AH73">
            <v>0.30359999999999998</v>
          </cell>
          <cell r="AM73">
            <v>1.0952622412310677E-2</v>
          </cell>
          <cell r="AR73">
            <v>1.0952622412310677E-2</v>
          </cell>
          <cell r="AV73">
            <v>6.6985199999999986E-4</v>
          </cell>
        </row>
        <row r="74">
          <cell r="A74" t="str">
            <v>CIA</v>
          </cell>
          <cell r="AA74">
            <v>0.72863999999999995</v>
          </cell>
          <cell r="AH74">
            <v>0.30359999999999998</v>
          </cell>
          <cell r="AM74">
            <v>1.0952622412310677E-2</v>
          </cell>
          <cell r="AR74">
            <v>1.0952622412310677E-2</v>
          </cell>
          <cell r="AV74">
            <v>6.6985199999999986E-4</v>
          </cell>
        </row>
        <row r="75">
          <cell r="A75" t="str">
            <v>CIA</v>
          </cell>
          <cell r="AA75">
            <v>0.72863999999999995</v>
          </cell>
          <cell r="AH75">
            <v>0.30359999999999998</v>
          </cell>
          <cell r="AM75">
            <v>1.0952622412310677E-2</v>
          </cell>
          <cell r="AR75">
            <v>1.0952622412310677E-2</v>
          </cell>
          <cell r="AV75">
            <v>6.6985199999999986E-4</v>
          </cell>
        </row>
        <row r="76">
          <cell r="A76" t="str">
            <v>CIA</v>
          </cell>
          <cell r="AA76">
            <v>0.72863999999999995</v>
          </cell>
          <cell r="AH76">
            <v>0.30359999999999998</v>
          </cell>
          <cell r="AM76">
            <v>1.0952622412310677E-2</v>
          </cell>
          <cell r="AR76">
            <v>1.0952622412310677E-2</v>
          </cell>
          <cell r="AV76">
            <v>6.6985199999999986E-4</v>
          </cell>
        </row>
        <row r="77">
          <cell r="A77" t="str">
            <v>CIA</v>
          </cell>
          <cell r="AA77">
            <v>0.96551999999999993</v>
          </cell>
          <cell r="AH77">
            <v>0.22126499999999999</v>
          </cell>
          <cell r="AM77">
            <v>1.01004914004914E-2</v>
          </cell>
          <cell r="AR77">
            <v>1.01004914004914E-2</v>
          </cell>
          <cell r="AV77">
            <v>4.8819104999999998E-4</v>
          </cell>
        </row>
        <row r="78">
          <cell r="A78" t="str">
            <v>CIA</v>
          </cell>
          <cell r="AA78">
            <v>0.52298999999999995</v>
          </cell>
          <cell r="AH78">
            <v>0.22126499999999999</v>
          </cell>
          <cell r="AM78">
            <v>2.6465683274169712E-2</v>
          </cell>
          <cell r="AR78">
            <v>2.6465683274169712E-2</v>
          </cell>
          <cell r="AV78">
            <v>4.8819104999999998E-4</v>
          </cell>
        </row>
        <row r="79">
          <cell r="A79" t="str">
            <v>CIA</v>
          </cell>
          <cell r="AA79">
            <v>0.72432000000000007</v>
          </cell>
          <cell r="AH79">
            <v>0.16598999999999997</v>
          </cell>
          <cell r="AM79">
            <v>1.01004914004914E-2</v>
          </cell>
          <cell r="AR79">
            <v>1.01004914004914E-2</v>
          </cell>
          <cell r="AV79">
            <v>3.662343E-4</v>
          </cell>
        </row>
        <row r="80">
          <cell r="A80" t="str">
            <v>CIA</v>
          </cell>
          <cell r="AA80">
            <v>0.72386058981233248</v>
          </cell>
          <cell r="AH80">
            <v>0.16588471849865952</v>
          </cell>
          <cell r="AM80">
            <v>7.5753685503685501E-3</v>
          </cell>
          <cell r="AR80">
            <v>7.5753685503685501E-3</v>
          </cell>
          <cell r="AV80">
            <v>3.6600201072386064E-4</v>
          </cell>
        </row>
        <row r="81">
          <cell r="A81" t="str">
            <v>CIA</v>
          </cell>
          <cell r="AA81">
            <v>0.39233999999999997</v>
          </cell>
          <cell r="AH81">
            <v>0.16598999999999997</v>
          </cell>
          <cell r="AM81">
            <v>7.5753685503685501E-3</v>
          </cell>
          <cell r="AR81">
            <v>7.5753685503685501E-3</v>
          </cell>
          <cell r="AV81">
            <v>3.662343E-4</v>
          </cell>
        </row>
        <row r="82">
          <cell r="A82" t="str">
            <v>CIA</v>
          </cell>
          <cell r="AA82">
            <v>0.39233999999999997</v>
          </cell>
          <cell r="AH82">
            <v>0.16598999999999997</v>
          </cell>
          <cell r="AM82">
            <v>7.5753685503685501E-3</v>
          </cell>
          <cell r="AR82">
            <v>7.5753685503685501E-3</v>
          </cell>
          <cell r="AV82">
            <v>3.662343E-4</v>
          </cell>
        </row>
        <row r="83">
          <cell r="A83" t="str">
            <v>CIA</v>
          </cell>
          <cell r="AA83">
            <v>0.39233999999999997</v>
          </cell>
          <cell r="AH83">
            <v>0.16598999999999997</v>
          </cell>
          <cell r="AM83">
            <v>7.5753685503685501E-3</v>
          </cell>
          <cell r="AR83">
            <v>7.5753685503685501E-3</v>
          </cell>
          <cell r="AV83">
            <v>3.662343E-4</v>
          </cell>
        </row>
        <row r="84">
          <cell r="A84" t="str">
            <v>CIA</v>
          </cell>
          <cell r="AA84">
            <v>0.82409999999999994</v>
          </cell>
          <cell r="AH84">
            <v>0.20730000000000001</v>
          </cell>
          <cell r="AM84">
            <v>8.6999999999999994E-3</v>
          </cell>
          <cell r="AR84">
            <v>8.6999999999999994E-3</v>
          </cell>
          <cell r="AV84">
            <v>3.9189982499999998E-4</v>
          </cell>
        </row>
        <row r="85">
          <cell r="A85" t="str">
            <v>CIA</v>
          </cell>
          <cell r="AA85">
            <v>1.05345</v>
          </cell>
          <cell r="AH85">
            <v>0.15240000000000001</v>
          </cell>
          <cell r="AM85">
            <v>8.1000000000000013E-3</v>
          </cell>
          <cell r="AR85">
            <v>8.1000000000000013E-3</v>
          </cell>
          <cell r="AV85">
            <v>3.9262792499999998E-4</v>
          </cell>
        </row>
        <row r="86">
          <cell r="A86" t="str">
            <v>CIA</v>
          </cell>
          <cell r="AA86">
            <v>4.4344330571521734E-2</v>
          </cell>
          <cell r="AH86">
            <v>9.6154615651934359E-3</v>
          </cell>
          <cell r="AM86">
            <v>8.1645638820638817E-4</v>
          </cell>
          <cell r="AR86">
            <v>8.1645638820638817E-4</v>
          </cell>
          <cell r="AV86">
            <v>3.9438750000000003E-5</v>
          </cell>
        </row>
        <row r="87">
          <cell r="A87" t="str">
            <v>CIA</v>
          </cell>
          <cell r="AA87">
            <v>3.1816838100693801E-2</v>
          </cell>
          <cell r="AH87">
            <v>1.4136866984777544E-2</v>
          </cell>
          <cell r="AM87">
            <v>3.7249999999999996E-3</v>
          </cell>
          <cell r="AR87">
            <v>3.7249999999999996E-3</v>
          </cell>
          <cell r="AV87">
            <v>6.5225624999999996E-5</v>
          </cell>
        </row>
        <row r="88">
          <cell r="A88" t="str">
            <v>CIA</v>
          </cell>
          <cell r="AA88">
            <v>5.2505292361950451E-2</v>
          </cell>
          <cell r="AH88">
            <v>2.9806497847395447E-2</v>
          </cell>
          <cell r="AM88">
            <v>2.8660243832535994E-3</v>
          </cell>
          <cell r="AR88">
            <v>2.8660243832535994E-3</v>
          </cell>
          <cell r="AV88">
            <v>6.3102000000000007E-5</v>
          </cell>
        </row>
        <row r="89">
          <cell r="A89" t="str">
            <v>CIA</v>
          </cell>
          <cell r="AA89">
            <v>0.72863999999999995</v>
          </cell>
          <cell r="AH89">
            <v>0.30359999999999998</v>
          </cell>
          <cell r="AM89">
            <v>1.0952622412310677E-2</v>
          </cell>
          <cell r="AR89">
            <v>1.0952622412310677E-2</v>
          </cell>
          <cell r="AV89">
            <v>6.6985199999999986E-4</v>
          </cell>
        </row>
        <row r="90">
          <cell r="A90" t="str">
            <v>CIA</v>
          </cell>
          <cell r="AA90">
            <v>0.72863999999999995</v>
          </cell>
          <cell r="AH90">
            <v>0.30359999999999998</v>
          </cell>
          <cell r="AM90">
            <v>1.0952622412310677E-2</v>
          </cell>
          <cell r="AR90">
            <v>1.0952622412310677E-2</v>
          </cell>
          <cell r="AV90">
            <v>6.6985199999999986E-4</v>
          </cell>
        </row>
      </sheetData>
      <sheetData sheetId="4">
        <row r="27">
          <cell r="A27" t="str">
            <v>Emissions Unit</v>
          </cell>
          <cell r="AA27" t="str">
            <v>Annual Emissions tons/yr</v>
          </cell>
          <cell r="AC27" t="str">
            <v>Annual Emissions tons/yr</v>
          </cell>
          <cell r="AE27" t="str">
            <v>Annual Emissions tons/yr</v>
          </cell>
          <cell r="AG27" t="str">
            <v>Annual Emissions tons/yr</v>
          </cell>
          <cell r="AI27" t="str">
            <v>Annual Emissions tons/yr</v>
          </cell>
          <cell r="AK27" t="str">
            <v>Annual Emissions tons/yr</v>
          </cell>
        </row>
        <row r="28">
          <cell r="A28" t="str">
            <v>CIA</v>
          </cell>
          <cell r="AA28">
            <v>0.35890235294117651</v>
          </cell>
          <cell r="AC28">
            <v>0.42726470588235294</v>
          </cell>
          <cell r="AE28">
            <v>1.0681617647058824E-2</v>
          </cell>
          <cell r="AG28">
            <v>1.0681617647058824E-2</v>
          </cell>
          <cell r="AI28">
            <v>1.1108882352941177E-2</v>
          </cell>
          <cell r="AK28">
            <v>2.1363235294117646E-6</v>
          </cell>
        </row>
        <row r="29">
          <cell r="A29" t="str">
            <v>CIA</v>
          </cell>
          <cell r="AA29">
            <v>0.35890235294117651</v>
          </cell>
          <cell r="AC29">
            <v>0.42726470588235294</v>
          </cell>
          <cell r="AE29">
            <v>1.0681617647058824E-2</v>
          </cell>
          <cell r="AG29">
            <v>1.0681617647058824E-2</v>
          </cell>
          <cell r="AI29">
            <v>1.1108882352941177E-2</v>
          </cell>
          <cell r="AK29">
            <v>2.1363235294117646E-6</v>
          </cell>
        </row>
        <row r="30">
          <cell r="A30" t="str">
            <v>CIA</v>
          </cell>
          <cell r="AA30">
            <v>0.35890235294117651</v>
          </cell>
          <cell r="AC30">
            <v>0.42726470588235294</v>
          </cell>
          <cell r="AE30">
            <v>1.0681617647058824E-2</v>
          </cell>
          <cell r="AG30">
            <v>1.0681617647058824E-2</v>
          </cell>
          <cell r="AI30">
            <v>1.1108882352941177E-2</v>
          </cell>
          <cell r="AK30">
            <v>2.1363235294117646E-6</v>
          </cell>
        </row>
        <row r="31">
          <cell r="A31" t="str">
            <v>CIA</v>
          </cell>
          <cell r="AA31">
            <v>0.35890235294117651</v>
          </cell>
          <cell r="AC31">
            <v>0.42726470588235294</v>
          </cell>
          <cell r="AE31">
            <v>1.0681617647058824E-2</v>
          </cell>
          <cell r="AG31">
            <v>1.0681617647058824E-2</v>
          </cell>
          <cell r="AI31">
            <v>1.1108882352941177E-2</v>
          </cell>
          <cell r="AK31">
            <v>2.1363235294117646E-6</v>
          </cell>
        </row>
        <row r="32">
          <cell r="A32" t="str">
            <v>CIA</v>
          </cell>
          <cell r="AA32">
            <v>0.35890235294117651</v>
          </cell>
          <cell r="AC32">
            <v>0.42726470588235294</v>
          </cell>
          <cell r="AE32">
            <v>1.0681617647058824E-2</v>
          </cell>
          <cell r="AG32">
            <v>1.0681617647058824E-2</v>
          </cell>
          <cell r="AI32">
            <v>1.1108882352941177E-2</v>
          </cell>
          <cell r="AK32">
            <v>2.1363235294117646E-6</v>
          </cell>
        </row>
        <row r="33">
          <cell r="A33" t="str">
            <v>CIA</v>
          </cell>
          <cell r="AA33">
            <v>0.35890235294117651</v>
          </cell>
          <cell r="AC33">
            <v>0.42726470588235294</v>
          </cell>
          <cell r="AE33">
            <v>1.0681617647058824E-2</v>
          </cell>
          <cell r="AG33">
            <v>1.0681617647058824E-2</v>
          </cell>
          <cell r="AI33">
            <v>1.1108882352941177E-2</v>
          </cell>
          <cell r="AK33">
            <v>2.1363235294117646E-6</v>
          </cell>
        </row>
        <row r="34">
          <cell r="A34" t="str">
            <v>CIA</v>
          </cell>
          <cell r="AA34">
            <v>0.35890235294117651</v>
          </cell>
          <cell r="AC34">
            <v>0.42726470588235294</v>
          </cell>
          <cell r="AE34">
            <v>1.0681617647058824E-2</v>
          </cell>
          <cell r="AG34">
            <v>1.0681617647058824E-2</v>
          </cell>
          <cell r="AI34">
            <v>1.1108882352941177E-2</v>
          </cell>
          <cell r="AK34">
            <v>2.1363235294117646E-6</v>
          </cell>
        </row>
        <row r="35">
          <cell r="A35" t="str">
            <v>CIA</v>
          </cell>
          <cell r="AA35">
            <v>0.35890235294117651</v>
          </cell>
          <cell r="AC35">
            <v>0.42726470588235294</v>
          </cell>
          <cell r="AE35">
            <v>1.0681617647058824E-2</v>
          </cell>
          <cell r="AG35">
            <v>1.0681617647058824E-2</v>
          </cell>
          <cell r="AI35">
            <v>1.1108882352941177E-2</v>
          </cell>
          <cell r="AK35">
            <v>2.1363235294117646E-6</v>
          </cell>
        </row>
        <row r="36">
          <cell r="A36" t="str">
            <v>CIA</v>
          </cell>
          <cell r="AA36">
            <v>0.15330000000000002</v>
          </cell>
          <cell r="AC36">
            <v>0.1825</v>
          </cell>
          <cell r="AE36">
            <v>4.5624999999999997E-3</v>
          </cell>
          <cell r="AG36">
            <v>4.5624999999999997E-3</v>
          </cell>
          <cell r="AI36">
            <v>4.7450000000000001E-3</v>
          </cell>
          <cell r="AK36">
            <v>9.1250000000000005E-7</v>
          </cell>
        </row>
        <row r="37">
          <cell r="A37" t="str">
            <v>CIA</v>
          </cell>
          <cell r="AA37">
            <v>0.15330000000000002</v>
          </cell>
          <cell r="AC37">
            <v>0.1825</v>
          </cell>
          <cell r="AE37">
            <v>4.5624999999999997E-3</v>
          </cell>
          <cell r="AG37">
            <v>4.5624999999999997E-3</v>
          </cell>
          <cell r="AI37">
            <v>4.7450000000000001E-3</v>
          </cell>
          <cell r="AK37">
            <v>9.1250000000000005E-7</v>
          </cell>
        </row>
        <row r="38">
          <cell r="A38" t="str">
            <v>CIA</v>
          </cell>
          <cell r="AA38">
            <v>6.3123529411764703E-2</v>
          </cell>
          <cell r="AC38">
            <v>7.5147058823529414E-2</v>
          </cell>
          <cell r="AE38">
            <v>1.8786764705882352E-3</v>
          </cell>
          <cell r="AG38">
            <v>1.8786764705882352E-3</v>
          </cell>
          <cell r="AI38">
            <v>1.9538235294117648E-3</v>
          </cell>
          <cell r="AK38">
            <v>3.7573529411764708E-7</v>
          </cell>
        </row>
        <row r="39">
          <cell r="A39" t="str">
            <v>CIA</v>
          </cell>
          <cell r="AA39">
            <v>6.3123529411764703E-2</v>
          </cell>
          <cell r="AC39">
            <v>7.5147058823529414E-2</v>
          </cell>
          <cell r="AE39">
            <v>1.8786764705882352E-3</v>
          </cell>
          <cell r="AG39">
            <v>1.8786764705882352E-3</v>
          </cell>
          <cell r="AI39">
            <v>1.9538235294117648E-3</v>
          </cell>
          <cell r="AK39">
            <v>3.7573529411764708E-7</v>
          </cell>
        </row>
        <row r="40">
          <cell r="A40" t="str">
            <v>CIA</v>
          </cell>
          <cell r="AA40">
            <v>2.7052941176470585E-2</v>
          </cell>
          <cell r="AC40">
            <v>3.2205882352941174E-2</v>
          </cell>
          <cell r="AE40">
            <v>8.0514705882352947E-4</v>
          </cell>
          <cell r="AG40">
            <v>8.0514705882352947E-4</v>
          </cell>
          <cell r="AI40">
            <v>8.3735294117647061E-4</v>
          </cell>
          <cell r="AK40">
            <v>1.6102941176470586E-7</v>
          </cell>
        </row>
        <row r="41">
          <cell r="A41" t="str">
            <v>CIA</v>
          </cell>
          <cell r="AA41">
            <v>1.4428235294117648E-2</v>
          </cell>
          <cell r="AC41">
            <v>1.7176470588235293E-2</v>
          </cell>
          <cell r="AE41">
            <v>4.2941176470588232E-4</v>
          </cell>
          <cell r="AG41">
            <v>4.2941176470588232E-4</v>
          </cell>
          <cell r="AI41">
            <v>4.4658823529411767E-4</v>
          </cell>
          <cell r="AK41">
            <v>8.5882352941176458E-8</v>
          </cell>
        </row>
        <row r="42">
          <cell r="A42" t="str">
            <v>CIA</v>
          </cell>
          <cell r="AA42">
            <v>1.2985411764705884E-2</v>
          </cell>
          <cell r="AC42">
            <v>1.5458823529411764E-2</v>
          </cell>
          <cell r="AE42">
            <v>3.8647058823529411E-4</v>
          </cell>
          <cell r="AG42">
            <v>3.8647058823529411E-4</v>
          </cell>
          <cell r="AI42">
            <v>4.0192941176470592E-4</v>
          </cell>
          <cell r="AK42">
            <v>7.7294117647058836E-8</v>
          </cell>
        </row>
        <row r="43">
          <cell r="A43" t="str">
            <v>CIA</v>
          </cell>
          <cell r="AA43">
            <v>1.2985411764705884E-2</v>
          </cell>
          <cell r="AC43">
            <v>1.5458823529411764E-2</v>
          </cell>
          <cell r="AE43">
            <v>3.8647058823529411E-4</v>
          </cell>
          <cell r="AG43">
            <v>3.8647058823529411E-4</v>
          </cell>
          <cell r="AI43">
            <v>4.0192941176470592E-4</v>
          </cell>
          <cell r="AK43">
            <v>7.7294117647058836E-8</v>
          </cell>
        </row>
        <row r="44">
          <cell r="A44" t="str">
            <v>CIA</v>
          </cell>
          <cell r="AA44">
            <v>1.2985411764705884E-2</v>
          </cell>
          <cell r="AC44">
            <v>1.5458823529411764E-2</v>
          </cell>
          <cell r="AE44">
            <v>3.8647058823529411E-4</v>
          </cell>
          <cell r="AG44">
            <v>3.8647058823529411E-4</v>
          </cell>
          <cell r="AI44">
            <v>4.0192941176470592E-4</v>
          </cell>
          <cell r="AK44">
            <v>7.7294117647058836E-8</v>
          </cell>
        </row>
        <row r="45">
          <cell r="A45" t="str">
            <v>CIA</v>
          </cell>
          <cell r="AA45">
            <v>1.2985411764705884E-2</v>
          </cell>
          <cell r="AC45">
            <v>1.5458823529411764E-2</v>
          </cell>
          <cell r="AE45">
            <v>3.8647058823529411E-4</v>
          </cell>
          <cell r="AG45">
            <v>3.8647058823529411E-4</v>
          </cell>
          <cell r="AI45">
            <v>4.0192941176470592E-4</v>
          </cell>
          <cell r="AK45">
            <v>7.7294117647058836E-8</v>
          </cell>
        </row>
        <row r="46">
          <cell r="A46" t="str">
            <v>CIA</v>
          </cell>
          <cell r="AA46">
            <v>1.2985411764705884E-2</v>
          </cell>
          <cell r="AC46">
            <v>1.5458823529411764E-2</v>
          </cell>
          <cell r="AE46">
            <v>3.8647058823529411E-4</v>
          </cell>
          <cell r="AG46">
            <v>3.8647058823529411E-4</v>
          </cell>
          <cell r="AI46">
            <v>4.0192941176470592E-4</v>
          </cell>
          <cell r="AK46">
            <v>7.7294117647058836E-8</v>
          </cell>
        </row>
        <row r="47">
          <cell r="A47" t="str">
            <v>CIA</v>
          </cell>
          <cell r="AA47">
            <v>8.6569411764705881E-2</v>
          </cell>
          <cell r="AC47">
            <v>0.10305882352941177</v>
          </cell>
          <cell r="AE47">
            <v>2.5764705882352938E-3</v>
          </cell>
          <cell r="AG47">
            <v>2.5764705882352938E-3</v>
          </cell>
          <cell r="AI47">
            <v>2.6795294117647056E-3</v>
          </cell>
          <cell r="AK47">
            <v>5.1529411764705875E-7</v>
          </cell>
        </row>
        <row r="48">
          <cell r="A48" t="str">
            <v>CIA</v>
          </cell>
          <cell r="AA48">
            <v>0.15330000000000002</v>
          </cell>
          <cell r="AC48">
            <v>0.1825</v>
          </cell>
          <cell r="AE48">
            <v>4.5624999999999997E-3</v>
          </cell>
          <cell r="AG48">
            <v>4.5624999999999997E-3</v>
          </cell>
          <cell r="AI48">
            <v>4.7450000000000001E-3</v>
          </cell>
          <cell r="AK48">
            <v>9.1250000000000005E-7</v>
          </cell>
        </row>
        <row r="49">
          <cell r="A49" t="str">
            <v>CIA</v>
          </cell>
          <cell r="AA49">
            <v>0.15330000000000002</v>
          </cell>
          <cell r="AC49">
            <v>0.1825</v>
          </cell>
          <cell r="AE49">
            <v>4.5624999999999997E-3</v>
          </cell>
          <cell r="AG49">
            <v>4.5624999999999997E-3</v>
          </cell>
          <cell r="AI49">
            <v>4.7450000000000001E-3</v>
          </cell>
          <cell r="AK49">
            <v>9.1250000000000005E-7</v>
          </cell>
        </row>
        <row r="50">
          <cell r="A50" t="str">
            <v>CIA</v>
          </cell>
          <cell r="AA50">
            <v>0.15330000000000002</v>
          </cell>
          <cell r="AC50">
            <v>0.1825</v>
          </cell>
          <cell r="AE50">
            <v>4.5624999999999997E-3</v>
          </cell>
          <cell r="AG50">
            <v>4.5624999999999997E-3</v>
          </cell>
          <cell r="AI50">
            <v>4.7450000000000001E-3</v>
          </cell>
          <cell r="AK50">
            <v>9.1250000000000005E-7</v>
          </cell>
        </row>
        <row r="51">
          <cell r="A51" t="str">
            <v>CIA</v>
          </cell>
          <cell r="AA51">
            <v>0.15330000000000002</v>
          </cell>
          <cell r="AC51">
            <v>0.1825</v>
          </cell>
          <cell r="AE51">
            <v>4.5624999999999997E-3</v>
          </cell>
          <cell r="AG51">
            <v>4.5624999999999997E-3</v>
          </cell>
          <cell r="AI51">
            <v>4.7450000000000001E-3</v>
          </cell>
          <cell r="AK51">
            <v>9.1250000000000005E-7</v>
          </cell>
        </row>
        <row r="52">
          <cell r="A52" t="str">
            <v>CIA</v>
          </cell>
          <cell r="AA52">
            <v>9.0176470588235288E-2</v>
          </cell>
          <cell r="AC52">
            <v>0.10735294117647058</v>
          </cell>
          <cell r="AE52">
            <v>2.6838235294117645E-3</v>
          </cell>
          <cell r="AG52">
            <v>2.6838235294117645E-3</v>
          </cell>
          <cell r="AI52">
            <v>2.7911764705882357E-3</v>
          </cell>
          <cell r="AK52">
            <v>5.3676470588235292E-7</v>
          </cell>
        </row>
        <row r="53">
          <cell r="A53" t="str">
            <v>CIA</v>
          </cell>
          <cell r="AA53">
            <v>9.0176470588235288E-2</v>
          </cell>
          <cell r="AC53">
            <v>0.10735294117647058</v>
          </cell>
          <cell r="AE53">
            <v>2.6838235294117645E-3</v>
          </cell>
          <cell r="AG53">
            <v>2.6838235294117645E-3</v>
          </cell>
          <cell r="AI53">
            <v>2.7911764705882357E-3</v>
          </cell>
          <cell r="AK53">
            <v>5.3676470588235292E-7</v>
          </cell>
        </row>
        <row r="54">
          <cell r="A54" t="str">
            <v>CIA</v>
          </cell>
          <cell r="AA54">
            <v>9.0176470588235288E-2</v>
          </cell>
          <cell r="AC54">
            <v>0.10735294117647058</v>
          </cell>
          <cell r="AE54">
            <v>2.6838235294117645E-3</v>
          </cell>
          <cell r="AG54">
            <v>2.6838235294117645E-3</v>
          </cell>
          <cell r="AI54">
            <v>2.7911764705882357E-3</v>
          </cell>
          <cell r="AK54">
            <v>5.3676470588235292E-7</v>
          </cell>
        </row>
        <row r="55">
          <cell r="A55" t="str">
            <v>CIA</v>
          </cell>
          <cell r="AA55">
            <v>9.0176470588235288E-2</v>
          </cell>
          <cell r="AC55">
            <v>0.10735294117647058</v>
          </cell>
          <cell r="AE55">
            <v>2.6838235294117645E-3</v>
          </cell>
          <cell r="AG55">
            <v>2.6838235294117645E-3</v>
          </cell>
          <cell r="AI55">
            <v>2.7911764705882357E-3</v>
          </cell>
          <cell r="AK55">
            <v>5.3676470588235292E-7</v>
          </cell>
        </row>
        <row r="56">
          <cell r="A56" t="str">
            <v>CIA</v>
          </cell>
          <cell r="AA56">
            <v>7.2141176470588236E-2</v>
          </cell>
          <cell r="AC56">
            <v>8.5882352941176465E-2</v>
          </cell>
          <cell r="AE56">
            <v>2.1470588235294116E-3</v>
          </cell>
          <cell r="AG56">
            <v>2.1470588235294116E-3</v>
          </cell>
          <cell r="AI56">
            <v>2.2329411764705881E-3</v>
          </cell>
          <cell r="AK56">
            <v>4.294117647058824E-7</v>
          </cell>
        </row>
        <row r="57">
          <cell r="A57" t="str">
            <v>CIA</v>
          </cell>
          <cell r="AA57">
            <v>7.2141176470588236E-2</v>
          </cell>
          <cell r="AC57">
            <v>8.5882352941176465E-2</v>
          </cell>
          <cell r="AE57">
            <v>2.1470588235294116E-3</v>
          </cell>
          <cell r="AG57">
            <v>2.1470588235294116E-3</v>
          </cell>
          <cell r="AI57">
            <v>2.2329411764705881E-3</v>
          </cell>
          <cell r="AK57">
            <v>4.294117647058824E-7</v>
          </cell>
        </row>
        <row r="58">
          <cell r="A58" t="str">
            <v>CIA</v>
          </cell>
          <cell r="AA58">
            <v>6.3123529411764703E-2</v>
          </cell>
          <cell r="AC58">
            <v>7.5147058823529414E-2</v>
          </cell>
          <cell r="AE58">
            <v>1.8786764705882352E-3</v>
          </cell>
          <cell r="AG58">
            <v>1.8786764705882352E-3</v>
          </cell>
          <cell r="AI58">
            <v>1.9538235294117648E-3</v>
          </cell>
          <cell r="AK58">
            <v>3.7573529411764708E-7</v>
          </cell>
        </row>
        <row r="59">
          <cell r="A59" t="str">
            <v>CIA</v>
          </cell>
          <cell r="AA59">
            <v>2.164235294117647E-2</v>
          </cell>
          <cell r="AC59">
            <v>2.5764705882352943E-2</v>
          </cell>
          <cell r="AE59">
            <v>6.4411764705882345E-4</v>
          </cell>
          <cell r="AG59">
            <v>6.4411764705882345E-4</v>
          </cell>
          <cell r="AI59">
            <v>6.698823529411764E-4</v>
          </cell>
          <cell r="AK59">
            <v>1.2882352941176469E-7</v>
          </cell>
        </row>
        <row r="60">
          <cell r="A60" t="str">
            <v>CIA</v>
          </cell>
          <cell r="AA60">
            <v>7.2141176470588236E-2</v>
          </cell>
          <cell r="AC60">
            <v>8.5882352941176465E-2</v>
          </cell>
          <cell r="AE60">
            <v>2.1470588235294116E-3</v>
          </cell>
          <cell r="AG60">
            <v>2.1470588235294116E-3</v>
          </cell>
          <cell r="AI60">
            <v>2.2329411764705881E-3</v>
          </cell>
          <cell r="AK60">
            <v>4.294117647058824E-7</v>
          </cell>
        </row>
        <row r="61">
          <cell r="A61" t="str">
            <v>CIA</v>
          </cell>
          <cell r="AA61">
            <v>1.2985411764705884E-2</v>
          </cell>
          <cell r="AC61">
            <v>1.5458823529411764E-2</v>
          </cell>
          <cell r="AE61">
            <v>3.8647058823529411E-4</v>
          </cell>
          <cell r="AG61">
            <v>3.8647058823529411E-4</v>
          </cell>
          <cell r="AI61">
            <v>4.0192941176470592E-4</v>
          </cell>
          <cell r="AK61">
            <v>7.7294117647058836E-8</v>
          </cell>
        </row>
        <row r="62">
          <cell r="A62" t="str">
            <v>CIA</v>
          </cell>
          <cell r="AA62">
            <v>1.2985411764705884E-2</v>
          </cell>
          <cell r="AC62">
            <v>1.5458823529411764E-2</v>
          </cell>
          <cell r="AE62">
            <v>3.8647058823529411E-4</v>
          </cell>
          <cell r="AG62">
            <v>3.8647058823529411E-4</v>
          </cell>
          <cell r="AI62">
            <v>4.0192941176470592E-4</v>
          </cell>
          <cell r="AK62">
            <v>7.7294117647058836E-8</v>
          </cell>
        </row>
        <row r="63">
          <cell r="A63" t="str">
            <v>CIA</v>
          </cell>
          <cell r="AA63">
            <v>1.2985411764705884E-2</v>
          </cell>
          <cell r="AC63">
            <v>1.5458823529411764E-2</v>
          </cell>
          <cell r="AE63">
            <v>3.8647058823529411E-4</v>
          </cell>
          <cell r="AG63">
            <v>3.8647058823529411E-4</v>
          </cell>
          <cell r="AI63">
            <v>4.0192941176470592E-4</v>
          </cell>
          <cell r="AK63">
            <v>7.7294117647058836E-8</v>
          </cell>
        </row>
        <row r="64">
          <cell r="A64" t="str">
            <v>CIA</v>
          </cell>
          <cell r="AA64">
            <v>1.2985411764705884E-2</v>
          </cell>
          <cell r="AC64">
            <v>1.5458823529411764E-2</v>
          </cell>
          <cell r="AE64">
            <v>3.8647058823529411E-4</v>
          </cell>
          <cell r="AG64">
            <v>3.8647058823529411E-4</v>
          </cell>
          <cell r="AI64">
            <v>4.0192941176470592E-4</v>
          </cell>
          <cell r="AK64">
            <v>7.7294117647058836E-8</v>
          </cell>
        </row>
        <row r="65">
          <cell r="A65" t="str">
            <v>CIA</v>
          </cell>
          <cell r="AA65">
            <v>1.2985411764705884E-2</v>
          </cell>
          <cell r="AC65">
            <v>1.5458823529411764E-2</v>
          </cell>
          <cell r="AE65">
            <v>3.8647058823529411E-4</v>
          </cell>
          <cell r="AG65">
            <v>3.8647058823529411E-4</v>
          </cell>
          <cell r="AI65">
            <v>4.0192941176470592E-4</v>
          </cell>
          <cell r="AK65">
            <v>7.7294117647058836E-8</v>
          </cell>
        </row>
        <row r="66">
          <cell r="A66" t="str">
            <v>CIA</v>
          </cell>
          <cell r="AA66">
            <v>8.6569411764705881E-2</v>
          </cell>
          <cell r="AC66">
            <v>0.10305882352941177</v>
          </cell>
          <cell r="AE66">
            <v>2.5764705882352938E-3</v>
          </cell>
          <cell r="AG66">
            <v>2.5764705882352938E-3</v>
          </cell>
          <cell r="AI66">
            <v>2.6795294117647056E-3</v>
          </cell>
          <cell r="AK66">
            <v>5.1529411764705875E-7</v>
          </cell>
        </row>
        <row r="67">
          <cell r="A67" t="str">
            <v>CIA</v>
          </cell>
          <cell r="AA67">
            <v>0.21642352941176468</v>
          </cell>
          <cell r="AC67">
            <v>0.2576470588235294</v>
          </cell>
          <cell r="AE67">
            <v>6.4411764705882358E-3</v>
          </cell>
          <cell r="AG67">
            <v>6.4411764705882358E-3</v>
          </cell>
          <cell r="AI67">
            <v>6.6988235294117649E-3</v>
          </cell>
          <cell r="AK67">
            <v>1.2882352941176469E-6</v>
          </cell>
        </row>
        <row r="68">
          <cell r="A68" t="str">
            <v>CIA</v>
          </cell>
          <cell r="AA68">
            <v>0.21642352941176468</v>
          </cell>
          <cell r="AC68">
            <v>0.2576470588235294</v>
          </cell>
          <cell r="AE68">
            <v>6.4411764705882358E-3</v>
          </cell>
          <cell r="AG68">
            <v>6.4411764705882358E-3</v>
          </cell>
          <cell r="AI68">
            <v>6.6988235294117649E-3</v>
          </cell>
          <cell r="AK68">
            <v>1.2882352941176469E-6</v>
          </cell>
        </row>
        <row r="69">
          <cell r="A69" t="str">
            <v>CIA</v>
          </cell>
          <cell r="AA69">
            <v>0.21642352941176468</v>
          </cell>
          <cell r="AC69">
            <v>0.2576470588235294</v>
          </cell>
          <cell r="AE69">
            <v>6.4411764705882358E-3</v>
          </cell>
          <cell r="AG69">
            <v>6.4411764705882358E-3</v>
          </cell>
          <cell r="AI69">
            <v>6.6988235294117649E-3</v>
          </cell>
          <cell r="AK69">
            <v>1.2882352941176469E-6</v>
          </cell>
        </row>
        <row r="70">
          <cell r="A70" t="str">
            <v>CIA</v>
          </cell>
          <cell r="AA70">
            <v>0.21642352941176468</v>
          </cell>
          <cell r="AC70">
            <v>0.2576470588235294</v>
          </cell>
          <cell r="AE70">
            <v>6.4411764705882358E-3</v>
          </cell>
          <cell r="AG70">
            <v>6.4411764705882358E-3</v>
          </cell>
          <cell r="AI70">
            <v>6.6988235294117649E-3</v>
          </cell>
          <cell r="AK70">
            <v>1.2882352941176469E-6</v>
          </cell>
        </row>
        <row r="71">
          <cell r="A71" t="str">
            <v>CIA</v>
          </cell>
          <cell r="AA71">
            <v>2.2544117647058822E-2</v>
          </cell>
          <cell r="AC71">
            <v>2.6838235294117645E-2</v>
          </cell>
          <cell r="AE71">
            <v>6.7095588235294113E-4</v>
          </cell>
          <cell r="AG71">
            <v>6.7095588235294113E-4</v>
          </cell>
          <cell r="AI71">
            <v>6.9779411764705893E-4</v>
          </cell>
          <cell r="AK71">
            <v>1.3419117647058823E-7</v>
          </cell>
        </row>
        <row r="72">
          <cell r="A72" t="str">
            <v>CIA</v>
          </cell>
          <cell r="AA72">
            <v>2.2544117647058822E-2</v>
          </cell>
          <cell r="AC72">
            <v>2.6838235294117645E-2</v>
          </cell>
          <cell r="AE72">
            <v>6.7095588235294113E-4</v>
          </cell>
          <cell r="AG72">
            <v>6.7095588235294113E-4</v>
          </cell>
          <cell r="AI72">
            <v>6.9779411764705893E-4</v>
          </cell>
          <cell r="AK72">
            <v>1.3419117647058823E-7</v>
          </cell>
        </row>
        <row r="73">
          <cell r="A73" t="str">
            <v>CIA</v>
          </cell>
          <cell r="AA73">
            <v>2.2544117647058822E-2</v>
          </cell>
          <cell r="AC73">
            <v>2.6838235294117645E-2</v>
          </cell>
          <cell r="AE73">
            <v>6.7095588235294113E-4</v>
          </cell>
          <cell r="AG73">
            <v>6.7095588235294113E-4</v>
          </cell>
          <cell r="AI73">
            <v>6.9779411764705893E-4</v>
          </cell>
          <cell r="AK73">
            <v>1.3419117647058823E-7</v>
          </cell>
        </row>
        <row r="74">
          <cell r="A74" t="str">
            <v>CIA</v>
          </cell>
          <cell r="AA74">
            <v>2.2544117647058822E-2</v>
          </cell>
          <cell r="AC74">
            <v>2.6838235294117645E-2</v>
          </cell>
          <cell r="AE74">
            <v>6.7095588235294113E-4</v>
          </cell>
          <cell r="AG74">
            <v>6.7095588235294113E-4</v>
          </cell>
          <cell r="AI74">
            <v>6.9779411764705893E-4</v>
          </cell>
          <cell r="AK74">
            <v>1.3419117647058823E-7</v>
          </cell>
        </row>
        <row r="75">
          <cell r="A75" t="str">
            <v>CIA</v>
          </cell>
          <cell r="AA75">
            <v>2.2544117647058822E-2</v>
          </cell>
          <cell r="AC75">
            <v>2.6838235294117645E-2</v>
          </cell>
          <cell r="AE75">
            <v>6.7095588235294113E-4</v>
          </cell>
          <cell r="AG75">
            <v>6.7095588235294113E-4</v>
          </cell>
          <cell r="AI75">
            <v>6.9779411764705893E-4</v>
          </cell>
          <cell r="AK75">
            <v>1.3419117647058823E-7</v>
          </cell>
        </row>
        <row r="76">
          <cell r="A76" t="str">
            <v>CIA</v>
          </cell>
          <cell r="AA76">
            <v>2.2544117647058822E-2</v>
          </cell>
          <cell r="AC76">
            <v>2.6838235294117645E-2</v>
          </cell>
          <cell r="AE76">
            <v>6.7095588235294113E-4</v>
          </cell>
          <cell r="AG76">
            <v>6.7095588235294113E-4</v>
          </cell>
          <cell r="AI76">
            <v>6.9779411764705893E-4</v>
          </cell>
          <cell r="AK76">
            <v>1.3419117647058823E-7</v>
          </cell>
        </row>
        <row r="77">
          <cell r="A77" t="str">
            <v>CIA</v>
          </cell>
          <cell r="AA77">
            <v>2.2544117647058822E-2</v>
          </cell>
          <cell r="AC77">
            <v>2.6838235294117645E-2</v>
          </cell>
          <cell r="AE77">
            <v>6.7095588235294113E-4</v>
          </cell>
          <cell r="AG77">
            <v>6.7095588235294113E-4</v>
          </cell>
          <cell r="AI77">
            <v>6.9779411764705893E-4</v>
          </cell>
          <cell r="AK77">
            <v>1.3419117647058823E-7</v>
          </cell>
        </row>
        <row r="78">
          <cell r="A78" t="str">
            <v>CIA</v>
          </cell>
          <cell r="AA78">
            <v>2.2544117647058822E-2</v>
          </cell>
          <cell r="AC78">
            <v>2.6838235294117645E-2</v>
          </cell>
          <cell r="AE78">
            <v>6.7095588235294113E-4</v>
          </cell>
          <cell r="AG78">
            <v>6.7095588235294113E-4</v>
          </cell>
          <cell r="AI78">
            <v>6.9779411764705893E-4</v>
          </cell>
          <cell r="AK78">
            <v>1.3419117647058823E-7</v>
          </cell>
        </row>
        <row r="79">
          <cell r="A79" t="str">
            <v>CIA</v>
          </cell>
          <cell r="AA79">
            <v>2.2544117647058822E-2</v>
          </cell>
          <cell r="AC79">
            <v>2.6838235294117645E-2</v>
          </cell>
          <cell r="AE79">
            <v>6.7095588235294113E-4</v>
          </cell>
          <cell r="AG79">
            <v>6.7095588235294113E-4</v>
          </cell>
          <cell r="AI79">
            <v>6.9779411764705893E-4</v>
          </cell>
          <cell r="AK79">
            <v>1.3419117647058823E-7</v>
          </cell>
        </row>
        <row r="80">
          <cell r="A80" t="str">
            <v>CIA</v>
          </cell>
          <cell r="AA80">
            <v>2.2544117647058822E-2</v>
          </cell>
          <cell r="AC80">
            <v>2.6838235294117645E-2</v>
          </cell>
          <cell r="AE80">
            <v>6.7095588235294113E-4</v>
          </cell>
          <cell r="AG80">
            <v>6.7095588235294113E-4</v>
          </cell>
          <cell r="AI80">
            <v>6.9779411764705893E-4</v>
          </cell>
          <cell r="AK80">
            <v>1.3419117647058823E-7</v>
          </cell>
        </row>
        <row r="81">
          <cell r="A81" t="str">
            <v>CIA</v>
          </cell>
          <cell r="AA81">
            <v>2.2544117647058822E-2</v>
          </cell>
          <cell r="AC81">
            <v>2.6838235294117645E-2</v>
          </cell>
          <cell r="AE81">
            <v>6.7095588235294113E-4</v>
          </cell>
          <cell r="AG81">
            <v>6.7095588235294113E-4</v>
          </cell>
          <cell r="AI81">
            <v>6.9779411764705893E-4</v>
          </cell>
          <cell r="AK81">
            <v>1.3419117647058823E-7</v>
          </cell>
        </row>
        <row r="82">
          <cell r="A82" t="str">
            <v>CIA</v>
          </cell>
          <cell r="AA82">
            <v>2.2544117647058822E-2</v>
          </cell>
          <cell r="AC82">
            <v>2.6838235294117645E-2</v>
          </cell>
          <cell r="AE82">
            <v>6.7095588235294113E-4</v>
          </cell>
          <cell r="AG82">
            <v>6.7095588235294113E-4</v>
          </cell>
          <cell r="AI82">
            <v>6.9779411764705893E-4</v>
          </cell>
          <cell r="AK82">
            <v>1.3419117647058823E-7</v>
          </cell>
        </row>
        <row r="83">
          <cell r="A83" t="str">
            <v>CIA</v>
          </cell>
          <cell r="AA83">
            <v>2.2544117647058822E-2</v>
          </cell>
          <cell r="AC83">
            <v>2.6838235294117645E-2</v>
          </cell>
          <cell r="AE83">
            <v>6.7095588235294113E-4</v>
          </cell>
          <cell r="AG83">
            <v>6.7095588235294113E-4</v>
          </cell>
          <cell r="AI83">
            <v>6.9779411764705893E-4</v>
          </cell>
          <cell r="AK83">
            <v>1.3419117647058823E-7</v>
          </cell>
        </row>
        <row r="84">
          <cell r="A84" t="str">
            <v>CIA</v>
          </cell>
          <cell r="AA84">
            <v>2.2544117647058822E-2</v>
          </cell>
          <cell r="AC84">
            <v>2.6838235294117645E-2</v>
          </cell>
          <cell r="AE84">
            <v>6.7095588235294113E-4</v>
          </cell>
          <cell r="AG84">
            <v>6.7095588235294113E-4</v>
          </cell>
          <cell r="AI84">
            <v>6.9779411764705893E-4</v>
          </cell>
          <cell r="AK84">
            <v>1.3419117647058823E-7</v>
          </cell>
        </row>
        <row r="85">
          <cell r="A85" t="str">
            <v>CIA</v>
          </cell>
          <cell r="AA85">
            <v>2.2544117647058822E-2</v>
          </cell>
          <cell r="AC85">
            <v>2.6838235294117645E-2</v>
          </cell>
          <cell r="AE85">
            <v>6.7095588235294113E-4</v>
          </cell>
          <cell r="AG85">
            <v>6.7095588235294113E-4</v>
          </cell>
          <cell r="AI85">
            <v>6.9779411764705893E-4</v>
          </cell>
          <cell r="AK85">
            <v>1.3419117647058823E-7</v>
          </cell>
        </row>
        <row r="86">
          <cell r="A86" t="str">
            <v>CIA</v>
          </cell>
          <cell r="AA86">
            <v>2.2544117647058822E-2</v>
          </cell>
          <cell r="AC86">
            <v>2.6838235294117645E-2</v>
          </cell>
          <cell r="AE86">
            <v>6.7095588235294113E-4</v>
          </cell>
          <cell r="AG86">
            <v>6.7095588235294113E-4</v>
          </cell>
          <cell r="AI86">
            <v>6.9779411764705893E-4</v>
          </cell>
          <cell r="AK86">
            <v>1.3419117647058823E-7</v>
          </cell>
        </row>
        <row r="87">
          <cell r="A87" t="str">
            <v>CIA</v>
          </cell>
          <cell r="AA87">
            <v>2.2544117647058822E-2</v>
          </cell>
          <cell r="AC87">
            <v>2.6838235294117645E-2</v>
          </cell>
          <cell r="AE87">
            <v>6.7095588235294113E-4</v>
          </cell>
          <cell r="AG87">
            <v>6.7095588235294113E-4</v>
          </cell>
          <cell r="AI87">
            <v>6.9779411764705893E-4</v>
          </cell>
          <cell r="AK87">
            <v>1.3419117647058823E-7</v>
          </cell>
        </row>
        <row r="88">
          <cell r="A88" t="str">
            <v>CIA</v>
          </cell>
          <cell r="AA88">
            <v>2.2544117647058822E-2</v>
          </cell>
          <cell r="AC88">
            <v>2.6838235294117645E-2</v>
          </cell>
          <cell r="AE88">
            <v>6.7095588235294113E-4</v>
          </cell>
          <cell r="AG88">
            <v>6.7095588235294113E-4</v>
          </cell>
          <cell r="AI88">
            <v>6.9779411764705893E-4</v>
          </cell>
          <cell r="AK88">
            <v>1.3419117647058823E-7</v>
          </cell>
        </row>
        <row r="89">
          <cell r="A89" t="str">
            <v>CIA</v>
          </cell>
          <cell r="AA89">
            <v>2.2544117647058822E-2</v>
          </cell>
          <cell r="AC89">
            <v>2.6838235294117645E-2</v>
          </cell>
          <cell r="AE89">
            <v>6.7095588235294113E-4</v>
          </cell>
          <cell r="AG89">
            <v>6.7095588235294113E-4</v>
          </cell>
          <cell r="AI89">
            <v>6.9779411764705893E-4</v>
          </cell>
          <cell r="AK89">
            <v>1.3419117647058823E-7</v>
          </cell>
        </row>
        <row r="90">
          <cell r="A90" t="str">
            <v>CIA</v>
          </cell>
          <cell r="AA90">
            <v>2.2544117647058822E-2</v>
          </cell>
          <cell r="AC90">
            <v>2.6838235294117645E-2</v>
          </cell>
          <cell r="AE90">
            <v>6.7095588235294113E-4</v>
          </cell>
          <cell r="AG90">
            <v>6.7095588235294113E-4</v>
          </cell>
          <cell r="AI90">
            <v>6.9779411764705893E-4</v>
          </cell>
          <cell r="AK90">
            <v>1.3419117647058823E-7</v>
          </cell>
        </row>
        <row r="91">
          <cell r="A91" t="str">
            <v>CIA</v>
          </cell>
          <cell r="AA91">
            <v>2.2544117647058822E-2</v>
          </cell>
          <cell r="AC91">
            <v>2.6838235294117645E-2</v>
          </cell>
          <cell r="AE91">
            <v>6.7095588235294113E-4</v>
          </cell>
          <cell r="AG91">
            <v>6.7095588235294113E-4</v>
          </cell>
          <cell r="AI91">
            <v>6.9779411764705893E-4</v>
          </cell>
          <cell r="AK91">
            <v>1.3419117647058823E-7</v>
          </cell>
        </row>
        <row r="92">
          <cell r="A92" t="str">
            <v>CIA</v>
          </cell>
          <cell r="AA92">
            <v>1.4428235294117648E-2</v>
          </cell>
          <cell r="AC92">
            <v>1.7176470588235293E-2</v>
          </cell>
          <cell r="AE92">
            <v>4.2941176470588232E-4</v>
          </cell>
          <cell r="AG92">
            <v>4.2941176470588232E-4</v>
          </cell>
          <cell r="AI92">
            <v>4.4658823529411767E-4</v>
          </cell>
          <cell r="AK92">
            <v>8.5882352941176458E-8</v>
          </cell>
        </row>
        <row r="93">
          <cell r="A93" t="str">
            <v>CIA</v>
          </cell>
          <cell r="AA93">
            <v>1.4428235294117648E-2</v>
          </cell>
          <cell r="AC93">
            <v>1.7176470588235293E-2</v>
          </cell>
          <cell r="AE93">
            <v>4.2941176470588232E-4</v>
          </cell>
          <cell r="AG93">
            <v>4.2941176470588232E-4</v>
          </cell>
          <cell r="AI93">
            <v>4.4658823529411767E-4</v>
          </cell>
          <cell r="AK93">
            <v>8.5882352941176458E-8</v>
          </cell>
        </row>
        <row r="94">
          <cell r="A94" t="str">
            <v>CIA</v>
          </cell>
          <cell r="AA94">
            <v>1.4428235294117648E-2</v>
          </cell>
          <cell r="AC94">
            <v>1.7176470588235293E-2</v>
          </cell>
          <cell r="AE94">
            <v>4.2941176470588232E-4</v>
          </cell>
          <cell r="AG94">
            <v>4.2941176470588232E-4</v>
          </cell>
          <cell r="AI94">
            <v>4.4658823529411767E-4</v>
          </cell>
          <cell r="AK94">
            <v>8.5882352941176458E-8</v>
          </cell>
        </row>
        <row r="95">
          <cell r="A95" t="str">
            <v>CIA</v>
          </cell>
          <cell r="AA95">
            <v>3.2463529411764704E-2</v>
          </cell>
          <cell r="AC95">
            <v>3.8647058823529416E-2</v>
          </cell>
          <cell r="AE95">
            <v>9.6617647058823528E-4</v>
          </cell>
          <cell r="AG95">
            <v>9.6617647058823528E-4</v>
          </cell>
          <cell r="AI95">
            <v>1.0048235294117646E-3</v>
          </cell>
          <cell r="AK95">
            <v>1.9323529411764706E-7</v>
          </cell>
        </row>
        <row r="96">
          <cell r="A96" t="str">
            <v>CIA</v>
          </cell>
          <cell r="AA96">
            <v>2.2544117647058822E-2</v>
          </cell>
          <cell r="AC96">
            <v>2.6838235294117645E-2</v>
          </cell>
          <cell r="AE96">
            <v>6.7095588235294113E-4</v>
          </cell>
          <cell r="AG96">
            <v>6.7095588235294113E-4</v>
          </cell>
          <cell r="AI96">
            <v>6.9779411764705893E-4</v>
          </cell>
          <cell r="AK96">
            <v>1.3419117647058823E-7</v>
          </cell>
        </row>
        <row r="97">
          <cell r="A97" t="str">
            <v>CIA</v>
          </cell>
          <cell r="AA97">
            <v>3.2463529411764704E-2</v>
          </cell>
          <cell r="AC97">
            <v>3.8647058823529416E-2</v>
          </cell>
          <cell r="AE97">
            <v>9.6617647058823528E-4</v>
          </cell>
          <cell r="AG97">
            <v>9.6617647058823528E-4</v>
          </cell>
          <cell r="AI97">
            <v>1.0048235294117646E-3</v>
          </cell>
          <cell r="AK97">
            <v>1.9323529411764706E-7</v>
          </cell>
        </row>
        <row r="98">
          <cell r="A98" t="str">
            <v>CIA</v>
          </cell>
          <cell r="AA98">
            <v>3.2463529411764704E-2</v>
          </cell>
          <cell r="AC98">
            <v>3.8647058823529416E-2</v>
          </cell>
          <cell r="AE98">
            <v>9.6617647058823528E-4</v>
          </cell>
          <cell r="AG98">
            <v>9.6617647058823528E-4</v>
          </cell>
          <cell r="AI98">
            <v>1.0048235294117646E-3</v>
          </cell>
          <cell r="AK98">
            <v>1.9323529411764706E-7</v>
          </cell>
        </row>
        <row r="99">
          <cell r="A99" t="str">
            <v>CIA</v>
          </cell>
          <cell r="AA99">
            <v>3.2463529411764704E-2</v>
          </cell>
          <cell r="AC99">
            <v>3.8647058823529416E-2</v>
          </cell>
          <cell r="AE99">
            <v>9.6617647058823528E-4</v>
          </cell>
          <cell r="AG99">
            <v>9.6617647058823528E-4</v>
          </cell>
          <cell r="AI99">
            <v>1.0048235294117646E-3</v>
          </cell>
          <cell r="AK99">
            <v>1.9323529411764706E-7</v>
          </cell>
        </row>
        <row r="100">
          <cell r="A100" t="str">
            <v>CIA</v>
          </cell>
          <cell r="AA100">
            <v>3.2463529411764704E-2</v>
          </cell>
          <cell r="AC100">
            <v>3.8647058823529416E-2</v>
          </cell>
          <cell r="AE100">
            <v>9.6617647058823528E-4</v>
          </cell>
          <cell r="AG100">
            <v>9.6617647058823528E-4</v>
          </cell>
          <cell r="AI100">
            <v>1.0048235294117646E-3</v>
          </cell>
          <cell r="AK100">
            <v>1.9323529411764706E-7</v>
          </cell>
        </row>
      </sheetData>
      <sheetData sheetId="5">
        <row r="31">
          <cell r="A31" t="str">
            <v>Emissions Unit</v>
          </cell>
          <cell r="Z31" t="str">
            <v>Annual Emissions tons/yr</v>
          </cell>
          <cell r="AB31" t="str">
            <v>Annual Emissions tons/yr</v>
          </cell>
          <cell r="AD31" t="str">
            <v>Annual Emissions tons/yr</v>
          </cell>
          <cell r="AF31" t="str">
            <v>Annual Emissions tons/yr</v>
          </cell>
          <cell r="AH31" t="str">
            <v>Annual Emissions tons/yr</v>
          </cell>
          <cell r="AJ31" t="str">
            <v>Annual Emissions tons/yr</v>
          </cell>
        </row>
        <row r="32">
          <cell r="A32" t="str">
            <v>EU3</v>
          </cell>
          <cell r="Z32">
            <v>0.13796999999999998</v>
          </cell>
          <cell r="AB32">
            <v>1.5</v>
          </cell>
          <cell r="AD32">
            <v>1.1272058823529411E-2</v>
          </cell>
          <cell r="AF32">
            <v>1.1272058823529411E-2</v>
          </cell>
          <cell r="AH32">
            <v>1.172294117647059E-2</v>
          </cell>
          <cell r="AJ32">
            <v>2.2544117647058828E-6</v>
          </cell>
        </row>
        <row r="33">
          <cell r="A33" t="str">
            <v>EU3</v>
          </cell>
          <cell r="Z33">
            <v>0.13796999999999998</v>
          </cell>
          <cell r="AB33">
            <v>1.5</v>
          </cell>
          <cell r="AD33">
            <v>1.1272058823529411E-2</v>
          </cell>
          <cell r="AF33">
            <v>1.1272058823529411E-2</v>
          </cell>
          <cell r="AH33">
            <v>1.172294117647059E-2</v>
          </cell>
          <cell r="AJ33">
            <v>2.2544117647058828E-6</v>
          </cell>
        </row>
        <row r="34">
          <cell r="A34" t="str">
            <v>EU3</v>
          </cell>
          <cell r="Z34">
            <v>0.13796999999999998</v>
          </cell>
          <cell r="AB34">
            <v>1.5</v>
          </cell>
          <cell r="AD34">
            <v>1.1272058823529411E-2</v>
          </cell>
          <cell r="AF34">
            <v>1.1272058823529411E-2</v>
          </cell>
          <cell r="AH34">
            <v>1.172294117647059E-2</v>
          </cell>
          <cell r="AJ34">
            <v>2.2544117647058828E-6</v>
          </cell>
        </row>
        <row r="35">
          <cell r="A35" t="str">
            <v>EU3</v>
          </cell>
          <cell r="Z35">
            <v>0.13796999999999998</v>
          </cell>
          <cell r="AB35">
            <v>1.5</v>
          </cell>
          <cell r="AD35">
            <v>1.1272058823529411E-2</v>
          </cell>
          <cell r="AF35">
            <v>1.1272058823529411E-2</v>
          </cell>
          <cell r="AH35">
            <v>1.172294117647059E-2</v>
          </cell>
          <cell r="AJ35">
            <v>2.2544117647058828E-6</v>
          </cell>
        </row>
        <row r="36">
          <cell r="A36" t="str">
            <v>EU3</v>
          </cell>
          <cell r="Z36">
            <v>0.13796999999999998</v>
          </cell>
          <cell r="AB36">
            <v>1.5</v>
          </cell>
          <cell r="AD36">
            <v>1.1272058823529411E-2</v>
          </cell>
          <cell r="AF36">
            <v>1.1272058823529411E-2</v>
          </cell>
          <cell r="AH36">
            <v>1.172294117647059E-2</v>
          </cell>
          <cell r="AJ36">
            <v>2.2544117647058828E-6</v>
          </cell>
        </row>
        <row r="37">
          <cell r="A37" t="str">
            <v>EU3</v>
          </cell>
          <cell r="Z37">
            <v>0.13796999999999998</v>
          </cell>
          <cell r="AB37">
            <v>1.5</v>
          </cell>
          <cell r="AD37">
            <v>1.1272058823529411E-2</v>
          </cell>
          <cell r="AF37">
            <v>1.1272058823529411E-2</v>
          </cell>
          <cell r="AH37">
            <v>1.172294117647059E-2</v>
          </cell>
          <cell r="AJ37">
            <v>2.2544117647058828E-6</v>
          </cell>
        </row>
        <row r="38">
          <cell r="A38" t="str">
            <v>EU3</v>
          </cell>
          <cell r="Z38">
            <v>0.13796999999999998</v>
          </cell>
          <cell r="AB38">
            <v>1.5</v>
          </cell>
          <cell r="AD38">
            <v>1.1272058823529411E-2</v>
          </cell>
          <cell r="AF38">
            <v>1.1272058823529411E-2</v>
          </cell>
          <cell r="AH38">
            <v>1.172294117647059E-2</v>
          </cell>
          <cell r="AJ38">
            <v>2.2544117647058828E-6</v>
          </cell>
        </row>
        <row r="39">
          <cell r="A39" t="str">
            <v>EU3</v>
          </cell>
          <cell r="Z39">
            <v>0.13796999999999998</v>
          </cell>
          <cell r="AB39">
            <v>1.5</v>
          </cell>
          <cell r="AD39">
            <v>1.1272058823529411E-2</v>
          </cell>
          <cell r="AF39">
            <v>1.1272058823529411E-2</v>
          </cell>
          <cell r="AH39">
            <v>1.172294117647059E-2</v>
          </cell>
          <cell r="AJ39">
            <v>2.2544117647058828E-6</v>
          </cell>
        </row>
      </sheetData>
      <sheetData sheetId="6">
        <row r="24">
          <cell r="A24" t="str">
            <v>Emissions Units</v>
          </cell>
          <cell r="AO24" t="str">
            <v>PM10 Annual (tpy)</v>
          </cell>
          <cell r="AQ24" t="str">
            <v>PM2.5 Annual (tpy)</v>
          </cell>
        </row>
        <row r="25">
          <cell r="A25" t="str">
            <v>CIA</v>
          </cell>
          <cell r="AO25">
            <v>5.0684968790854622E-2</v>
          </cell>
          <cell r="AQ25">
            <v>2.2361015643024098E-4</v>
          </cell>
        </row>
        <row r="26">
          <cell r="A26" t="str">
            <v>CIA</v>
          </cell>
          <cell r="AO26">
            <v>5.0684968790854622E-2</v>
          </cell>
          <cell r="AQ26">
            <v>2.2361015643024098E-4</v>
          </cell>
        </row>
        <row r="27">
          <cell r="A27" t="str">
            <v>CIA</v>
          </cell>
          <cell r="AO27">
            <v>5.0684968790854622E-2</v>
          </cell>
          <cell r="AQ27">
            <v>2.2361015643024098E-4</v>
          </cell>
        </row>
        <row r="28">
          <cell r="A28" t="str">
            <v>CIA</v>
          </cell>
          <cell r="AO28">
            <v>5.0684968790854622E-2</v>
          </cell>
          <cell r="AQ28">
            <v>2.2361015643024098E-4</v>
          </cell>
        </row>
        <row r="29">
          <cell r="A29" t="str">
            <v>CIA</v>
          </cell>
          <cell r="AO29">
            <v>5.0684968790854622E-2</v>
          </cell>
          <cell r="AQ29">
            <v>2.2361015643024098E-4</v>
          </cell>
        </row>
        <row r="30">
          <cell r="A30" t="str">
            <v>CIA</v>
          </cell>
          <cell r="AO30">
            <v>5.0684968790854622E-2</v>
          </cell>
          <cell r="AQ30">
            <v>2.2361015643024098E-4</v>
          </cell>
        </row>
        <row r="31">
          <cell r="A31" t="str">
            <v>CIA</v>
          </cell>
          <cell r="AO31">
            <v>5.0684968790854622E-2</v>
          </cell>
          <cell r="AQ31">
            <v>2.2361015643024098E-4</v>
          </cell>
        </row>
        <row r="32">
          <cell r="A32" t="str">
            <v>CIA</v>
          </cell>
          <cell r="AO32">
            <v>5.0684968790854622E-2</v>
          </cell>
          <cell r="AQ32">
            <v>2.2361015643024098E-4</v>
          </cell>
        </row>
        <row r="33">
          <cell r="A33" t="str">
            <v>CIA</v>
          </cell>
          <cell r="AO33">
            <v>5.0684968790854622E-2</v>
          </cell>
          <cell r="AQ33">
            <v>2.2361015643024098E-4</v>
          </cell>
        </row>
        <row r="34">
          <cell r="A34" t="str">
            <v>CIA</v>
          </cell>
          <cell r="AO34">
            <v>5.0684968790854622E-2</v>
          </cell>
          <cell r="AQ34">
            <v>2.2361015643024098E-4</v>
          </cell>
        </row>
        <row r="35">
          <cell r="A35" t="str">
            <v>CIA</v>
          </cell>
          <cell r="AO35">
            <v>5.0684968790854622E-2</v>
          </cell>
          <cell r="AQ35">
            <v>2.2361015643024098E-4</v>
          </cell>
        </row>
        <row r="36">
          <cell r="A36" t="str">
            <v>CIA</v>
          </cell>
          <cell r="AO36">
            <v>5.0684968790854622E-2</v>
          </cell>
          <cell r="AQ36">
            <v>2.2361015643024098E-4</v>
          </cell>
        </row>
        <row r="37">
          <cell r="A37" t="str">
            <v>CIA</v>
          </cell>
          <cell r="AO37">
            <v>0.10136993758170924</v>
          </cell>
          <cell r="AQ37">
            <v>4.4722031286048195E-4</v>
          </cell>
        </row>
        <row r="38">
          <cell r="A38" t="str">
            <v>CIA</v>
          </cell>
          <cell r="AO38">
            <v>0.10136993758170924</v>
          </cell>
          <cell r="AQ38">
            <v>4.4722031286048195E-4</v>
          </cell>
        </row>
        <row r="39">
          <cell r="A39" t="str">
            <v>CIA</v>
          </cell>
          <cell r="AO39">
            <v>0.10136993758170924</v>
          </cell>
          <cell r="AQ39">
            <v>4.4722031286048195E-4</v>
          </cell>
        </row>
        <row r="40">
          <cell r="A40" t="str">
            <v>CIA</v>
          </cell>
          <cell r="AO40">
            <v>0.10136993758170924</v>
          </cell>
          <cell r="AQ40">
            <v>4.4722031286048195E-4</v>
          </cell>
        </row>
        <row r="41">
          <cell r="A41" t="str">
            <v>CIA</v>
          </cell>
          <cell r="AO41">
            <v>0.10136993758170924</v>
          </cell>
          <cell r="AQ41">
            <v>4.4722031286048195E-4</v>
          </cell>
        </row>
        <row r="42">
          <cell r="A42" t="str">
            <v>CIA</v>
          </cell>
          <cell r="AO42">
            <v>0.10136993758170924</v>
          </cell>
          <cell r="AQ42">
            <v>4.4722031286048195E-4</v>
          </cell>
        </row>
        <row r="43">
          <cell r="A43" t="str">
            <v>CIA</v>
          </cell>
          <cell r="AO43">
            <v>0.10136993758170924</v>
          </cell>
          <cell r="AQ43">
            <v>4.4722031286048195E-4</v>
          </cell>
        </row>
        <row r="44">
          <cell r="A44" t="str">
            <v>CIA</v>
          </cell>
          <cell r="AO44">
            <v>0.10136993758170924</v>
          </cell>
          <cell r="AQ44">
            <v>4.4722031286048195E-4</v>
          </cell>
        </row>
        <row r="45">
          <cell r="A45" t="str">
            <v>CIA</v>
          </cell>
          <cell r="AO45">
            <v>0.10136993758170924</v>
          </cell>
          <cell r="AQ45">
            <v>4.4722031286048195E-4</v>
          </cell>
        </row>
        <row r="46">
          <cell r="A46" t="str">
            <v>CIA</v>
          </cell>
          <cell r="AO46">
            <v>0.10136993758170924</v>
          </cell>
          <cell r="AQ46">
            <v>4.4722031286048195E-4</v>
          </cell>
        </row>
        <row r="47">
          <cell r="A47" t="str">
            <v>CIA</v>
          </cell>
          <cell r="AO47">
            <v>0.10136993758170924</v>
          </cell>
          <cell r="AQ47">
            <v>4.4722031286048195E-4</v>
          </cell>
        </row>
        <row r="48">
          <cell r="A48" t="str">
            <v>CIA</v>
          </cell>
          <cell r="AO48">
            <v>0.10136993758170924</v>
          </cell>
          <cell r="AQ48">
            <v>4.4722031286048195E-4</v>
          </cell>
        </row>
        <row r="49">
          <cell r="A49" t="str">
            <v>CIA</v>
          </cell>
          <cell r="AO49">
            <v>0.10136993758170924</v>
          </cell>
          <cell r="AQ49">
            <v>4.4722031286048195E-4</v>
          </cell>
        </row>
        <row r="50">
          <cell r="A50" t="str">
            <v>CIA</v>
          </cell>
          <cell r="AO50">
            <v>0.10136993758170924</v>
          </cell>
          <cell r="AQ50">
            <v>4.4722031286048195E-4</v>
          </cell>
        </row>
        <row r="51">
          <cell r="A51" t="str">
            <v>CIA</v>
          </cell>
          <cell r="AO51">
            <v>0.10136993758170924</v>
          </cell>
          <cell r="AQ51">
            <v>4.4722031286048195E-4</v>
          </cell>
        </row>
        <row r="52">
          <cell r="A52" t="str">
            <v>CIA</v>
          </cell>
          <cell r="AO52">
            <v>0.10136993758170924</v>
          </cell>
          <cell r="AQ52">
            <v>4.4722031286048195E-4</v>
          </cell>
        </row>
        <row r="53">
          <cell r="A53" t="str">
            <v>CIA</v>
          </cell>
          <cell r="AO53">
            <v>0.10136993758170924</v>
          </cell>
          <cell r="AQ53">
            <v>4.4722031286048195E-4</v>
          </cell>
        </row>
        <row r="54">
          <cell r="A54" t="str">
            <v>CIA</v>
          </cell>
          <cell r="AO54">
            <v>7.2798780020440323E-2</v>
          </cell>
          <cell r="AQ54">
            <v>3.2117108832547202E-4</v>
          </cell>
        </row>
        <row r="55">
          <cell r="A55" t="str">
            <v>CIA</v>
          </cell>
          <cell r="AO55">
            <v>7.2798780020440323E-2</v>
          </cell>
          <cell r="AQ55">
            <v>3.2117108832547202E-4</v>
          </cell>
        </row>
        <row r="56">
          <cell r="A56" t="str">
            <v>CIA</v>
          </cell>
          <cell r="AO56">
            <v>7.2798780020440323E-2</v>
          </cell>
          <cell r="AQ56">
            <v>3.2117108832547202E-4</v>
          </cell>
        </row>
        <row r="57">
          <cell r="A57" t="str">
            <v>CIA</v>
          </cell>
          <cell r="AO57">
            <v>7.2798780020440323E-2</v>
          </cell>
          <cell r="AQ57">
            <v>3.2117108832547202E-4</v>
          </cell>
        </row>
        <row r="58">
          <cell r="A58" t="str">
            <v>CIA</v>
          </cell>
          <cell r="AO58">
            <v>7.2798780020440323E-2</v>
          </cell>
          <cell r="AQ58">
            <v>3.2117108832547202E-4</v>
          </cell>
        </row>
        <row r="59">
          <cell r="A59" t="str">
            <v>CIA</v>
          </cell>
          <cell r="AO59">
            <v>3.6342663688126317E-2</v>
          </cell>
          <cell r="AQ59">
            <v>1.6033528097702786E-4</v>
          </cell>
        </row>
        <row r="60">
          <cell r="A60" t="str">
            <v>CIA</v>
          </cell>
          <cell r="AO60">
            <v>3.6342663688126317E-2</v>
          </cell>
          <cell r="AQ60">
            <v>1.6033528097702786E-4</v>
          </cell>
        </row>
        <row r="61">
          <cell r="A61" t="str">
            <v>CIA</v>
          </cell>
          <cell r="AO61">
            <v>5.2944567287592961E-2</v>
          </cell>
          <cell r="AQ61">
            <v>2.3357897332761598E-4</v>
          </cell>
        </row>
        <row r="62">
          <cell r="A62" t="str">
            <v>CIA</v>
          </cell>
          <cell r="AO62">
            <v>5.2944567287592961E-2</v>
          </cell>
          <cell r="AQ62">
            <v>2.3357897332761598E-4</v>
          </cell>
        </row>
        <row r="63">
          <cell r="A63" t="str">
            <v>CIA</v>
          </cell>
          <cell r="AO63">
            <v>5.2944567287592961E-2</v>
          </cell>
          <cell r="AQ63">
            <v>2.3357897332761598E-4</v>
          </cell>
        </row>
        <row r="64">
          <cell r="A64" t="str">
            <v>CIA</v>
          </cell>
          <cell r="AO64">
            <v>0.10136993758170924</v>
          </cell>
          <cell r="AQ64">
            <v>4.4722031286048195E-4</v>
          </cell>
        </row>
        <row r="65">
          <cell r="A65" t="str">
            <v>CIA</v>
          </cell>
          <cell r="AO65">
            <v>0.10136993758170924</v>
          </cell>
          <cell r="AQ65">
            <v>4.4722031286048195E-4</v>
          </cell>
        </row>
        <row r="66">
          <cell r="A66" t="str">
            <v>CIA</v>
          </cell>
          <cell r="AO66">
            <v>7.5635096125132792E-2</v>
          </cell>
          <cell r="AQ66">
            <v>3.3368424761087993E-4</v>
          </cell>
        </row>
        <row r="67">
          <cell r="A67" t="str">
            <v>CIA</v>
          </cell>
          <cell r="AO67">
            <v>7.5635096125132792E-2</v>
          </cell>
          <cell r="AQ67">
            <v>3.3368424761087993E-4</v>
          </cell>
        </row>
        <row r="68">
          <cell r="A68" t="str">
            <v>CIA</v>
          </cell>
          <cell r="AO68">
            <v>7.5635096125132792E-2</v>
          </cell>
          <cell r="AQ68">
            <v>3.3368424761087993E-4</v>
          </cell>
        </row>
        <row r="69">
          <cell r="A69" t="str">
            <v>CIA</v>
          </cell>
          <cell r="AO69">
            <v>7.5635096125132792E-2</v>
          </cell>
          <cell r="AQ69">
            <v>3.3368424761087993E-4</v>
          </cell>
        </row>
        <row r="70">
          <cell r="A70" t="str">
            <v>CIA</v>
          </cell>
          <cell r="AO70">
            <v>7.5635096125132792E-2</v>
          </cell>
          <cell r="AQ70">
            <v>3.3368424761087993E-4</v>
          </cell>
        </row>
        <row r="71">
          <cell r="A71" t="str">
            <v>CIA</v>
          </cell>
          <cell r="AO71">
            <v>7.5635096125132792E-2</v>
          </cell>
          <cell r="AQ71">
            <v>3.3368424761087993E-4</v>
          </cell>
        </row>
        <row r="72">
          <cell r="A72" t="str">
            <v>CIA</v>
          </cell>
          <cell r="AO72">
            <v>7.5635096125132792E-2</v>
          </cell>
          <cell r="AQ72">
            <v>3.3368424761087993E-4</v>
          </cell>
        </row>
        <row r="73">
          <cell r="A73" t="str">
            <v>CIA</v>
          </cell>
          <cell r="AO73">
            <v>7.5635096125132792E-2</v>
          </cell>
          <cell r="AQ73">
            <v>3.3368424761087993E-4</v>
          </cell>
        </row>
        <row r="74">
          <cell r="A74" t="str">
            <v>CIA</v>
          </cell>
          <cell r="AO74">
            <v>7.5635096125132792E-2</v>
          </cell>
          <cell r="AQ74">
            <v>3.3368424761087993E-4</v>
          </cell>
        </row>
        <row r="75">
          <cell r="A75" t="str">
            <v>CIA</v>
          </cell>
          <cell r="AO75">
            <v>7.5635096125132792E-2</v>
          </cell>
          <cell r="AQ75">
            <v>3.3368424761087993E-4</v>
          </cell>
        </row>
        <row r="76">
          <cell r="A76" t="str">
            <v>CIA</v>
          </cell>
          <cell r="AO76">
            <v>7.5635096125132792E-2</v>
          </cell>
          <cell r="AQ76">
            <v>3.3368424761087993E-4</v>
          </cell>
        </row>
        <row r="77">
          <cell r="A77" t="str">
            <v>CIA</v>
          </cell>
          <cell r="AO77">
            <v>7.5635096125132792E-2</v>
          </cell>
          <cell r="AQ77">
            <v>3.3368424761087993E-4</v>
          </cell>
        </row>
        <row r="78">
          <cell r="A78" t="str">
            <v>CIA</v>
          </cell>
          <cell r="AO78">
            <v>7.5635096125132792E-2</v>
          </cell>
          <cell r="AQ78">
            <v>3.3368424761087993E-4</v>
          </cell>
        </row>
        <row r="79">
          <cell r="A79" t="str">
            <v>CIA</v>
          </cell>
          <cell r="AO79">
            <v>7.5635096125132792E-2</v>
          </cell>
          <cell r="AQ79">
            <v>3.3368424761087993E-4</v>
          </cell>
        </row>
        <row r="80">
          <cell r="A80" t="str">
            <v>CIA</v>
          </cell>
          <cell r="AO80">
            <v>7.5635096125132792E-2</v>
          </cell>
          <cell r="AQ80">
            <v>3.3368424761087993E-4</v>
          </cell>
        </row>
        <row r="81">
          <cell r="A81" t="str">
            <v>CIA</v>
          </cell>
          <cell r="AO81">
            <v>7.5635096125132792E-2</v>
          </cell>
          <cell r="AQ81">
            <v>3.3368424761087993E-4</v>
          </cell>
        </row>
        <row r="82">
          <cell r="A82" t="str">
            <v>CIA</v>
          </cell>
          <cell r="AO82">
            <v>7.5635096125132792E-2</v>
          </cell>
          <cell r="AQ82">
            <v>3.3368424761087993E-4</v>
          </cell>
        </row>
        <row r="83">
          <cell r="A83" t="str">
            <v>CIA</v>
          </cell>
          <cell r="AO83">
            <v>7.5635096125132792E-2</v>
          </cell>
          <cell r="AQ83">
            <v>3.3368424761087993E-4</v>
          </cell>
        </row>
        <row r="84">
          <cell r="A84" t="str">
            <v>CIA</v>
          </cell>
          <cell r="AO84">
            <v>7.5635096125132792E-2</v>
          </cell>
          <cell r="AQ84">
            <v>3.3368424761087993E-4</v>
          </cell>
        </row>
        <row r="85">
          <cell r="A85" t="str">
            <v>CIA</v>
          </cell>
          <cell r="AO85">
            <v>7.5635096125132792E-2</v>
          </cell>
          <cell r="AQ85">
            <v>3.3368424761087993E-4</v>
          </cell>
        </row>
        <row r="86">
          <cell r="A86" t="str">
            <v>CIA</v>
          </cell>
          <cell r="AO86">
            <v>7.5635096125132792E-2</v>
          </cell>
          <cell r="AQ86">
            <v>3.3368424761087993E-4</v>
          </cell>
        </row>
        <row r="87">
          <cell r="A87" t="str">
            <v>CIA</v>
          </cell>
          <cell r="AO87">
            <v>7.5635096125132792E-2</v>
          </cell>
          <cell r="AQ87">
            <v>3.3368424761087993E-4</v>
          </cell>
        </row>
        <row r="88">
          <cell r="A88" t="str">
            <v>CIA</v>
          </cell>
          <cell r="AO88">
            <v>7.5635096125132792E-2</v>
          </cell>
          <cell r="AQ88">
            <v>3.3368424761087993E-4</v>
          </cell>
        </row>
        <row r="89">
          <cell r="A89" t="str">
            <v>CIA</v>
          </cell>
          <cell r="AO89">
            <v>7.5635096125132792E-2</v>
          </cell>
          <cell r="AQ89">
            <v>3.3368424761087993E-4</v>
          </cell>
        </row>
        <row r="90">
          <cell r="A90" t="str">
            <v>CIA</v>
          </cell>
          <cell r="AO90">
            <v>0.44246531233202691</v>
          </cell>
          <cell r="AQ90">
            <v>1.9520528485236482E-3</v>
          </cell>
        </row>
        <row r="91">
          <cell r="A91" t="str">
            <v>CIA</v>
          </cell>
          <cell r="AO91">
            <v>0.44246531233202691</v>
          </cell>
          <cell r="AQ91">
            <v>1.9520528485236482E-3</v>
          </cell>
        </row>
        <row r="92">
          <cell r="A92" t="str">
            <v>CIA</v>
          </cell>
          <cell r="AO92">
            <v>0.44246531233202691</v>
          </cell>
          <cell r="AQ92">
            <v>1.9520528485236482E-3</v>
          </cell>
        </row>
        <row r="93">
          <cell r="A93" t="str">
            <v>CIA</v>
          </cell>
          <cell r="AO93">
            <v>0.44246531233202691</v>
          </cell>
          <cell r="AQ93">
            <v>1.9520528485236482E-3</v>
          </cell>
        </row>
        <row r="94">
          <cell r="A94" t="str">
            <v>CIA</v>
          </cell>
          <cell r="AO94">
            <v>0.44246531233202691</v>
          </cell>
          <cell r="AQ94">
            <v>1.9520528485236482E-3</v>
          </cell>
        </row>
        <row r="95">
          <cell r="A95" t="str">
            <v>CIA</v>
          </cell>
          <cell r="AO95">
            <v>7.9416850931389449E-2</v>
          </cell>
          <cell r="AQ95">
            <v>3.5036845999142401E-4</v>
          </cell>
        </row>
        <row r="96">
          <cell r="A96" t="str">
            <v>CIA</v>
          </cell>
          <cell r="AO96">
            <v>7.9416850931389449E-2</v>
          </cell>
          <cell r="AQ96">
            <v>3.5036845999142401E-4</v>
          </cell>
        </row>
        <row r="97">
          <cell r="A97" t="str">
            <v>CIA</v>
          </cell>
          <cell r="AO97">
            <v>7.9416850931389449E-2</v>
          </cell>
          <cell r="AQ97">
            <v>3.5036845999142401E-4</v>
          </cell>
        </row>
        <row r="98">
          <cell r="A98" t="str">
            <v>CIA</v>
          </cell>
          <cell r="AO98">
            <v>0</v>
          </cell>
          <cell r="AQ98">
            <v>0</v>
          </cell>
        </row>
        <row r="99">
          <cell r="A99" t="str">
            <v>CIA</v>
          </cell>
          <cell r="AO99">
            <v>0</v>
          </cell>
          <cell r="AQ99">
            <v>0</v>
          </cell>
        </row>
        <row r="100">
          <cell r="A100" t="str">
            <v>CIA</v>
          </cell>
          <cell r="AO100">
            <v>9.1707554051723511E-2</v>
          </cell>
          <cell r="AQ100">
            <v>4.0459215022819192E-4</v>
          </cell>
        </row>
        <row r="101">
          <cell r="A101" t="str">
            <v>CIA</v>
          </cell>
          <cell r="AO101">
            <v>9.1707554051723511E-2</v>
          </cell>
          <cell r="AQ101">
            <v>4.0459215022819192E-4</v>
          </cell>
        </row>
        <row r="102">
          <cell r="A102" t="str">
            <v>CIA</v>
          </cell>
          <cell r="AO102">
            <v>9.1707554051723511E-2</v>
          </cell>
          <cell r="AQ102">
            <v>4.0459215022819192E-4</v>
          </cell>
        </row>
        <row r="103">
          <cell r="A103" t="str">
            <v>CIA</v>
          </cell>
          <cell r="AO103">
            <v>9.1707554051723511E-2</v>
          </cell>
          <cell r="AQ103">
            <v>4.0459215022819192E-4</v>
          </cell>
        </row>
        <row r="104">
          <cell r="A104" t="str">
            <v>CIA</v>
          </cell>
          <cell r="AO104">
            <v>0.10136993758170924</v>
          </cell>
          <cell r="AQ104">
            <v>4.4722031286048195E-4</v>
          </cell>
        </row>
        <row r="105">
          <cell r="A105" t="str">
            <v>CIA</v>
          </cell>
          <cell r="AO105">
            <v>0.10138884635574051</v>
          </cell>
          <cell r="AQ105">
            <v>4.4730373392238459E-4</v>
          </cell>
        </row>
      </sheetData>
      <sheetData sheetId="7" refreshError="1"/>
      <sheetData sheetId="8" refreshError="1"/>
      <sheetData sheetId="9" refreshError="1"/>
      <sheetData sheetId="10" refreshError="1"/>
      <sheetData sheetId="11" refreshError="1"/>
      <sheetData sheetId="12" refreshError="1"/>
      <sheetData sheetId="13">
        <row r="85">
          <cell r="A85" t="str">
            <v>Emission Unit</v>
          </cell>
          <cell r="AI85" t="str">
            <v>ton/yr</v>
          </cell>
          <cell r="AK85" t="str">
            <v>ton/yr</v>
          </cell>
          <cell r="AS85" t="str">
            <v>ton/yr</v>
          </cell>
          <cell r="AU85" t="str">
            <v>ton/yr</v>
          </cell>
          <cell r="AY85" t="str">
            <v>ton/yr</v>
          </cell>
          <cell r="BA85" t="str">
            <v>ton/yr</v>
          </cell>
          <cell r="BH85" t="str">
            <v>ton/yr</v>
          </cell>
          <cell r="BJ85" t="str">
            <v>ton/yr</v>
          </cell>
          <cell r="BL85" t="str">
            <v>ton/yr</v>
          </cell>
          <cell r="BN85" t="str">
            <v>ton/yr</v>
          </cell>
          <cell r="BO85" t="str">
            <v>ton/yr</v>
          </cell>
          <cell r="BP85" t="str">
            <v>ton/yr</v>
          </cell>
        </row>
        <row r="86">
          <cell r="A86" t="str">
            <v>EU1</v>
          </cell>
          <cell r="AI86">
            <v>7.8104165889885002E-2</v>
          </cell>
          <cell r="AK86">
            <v>0.21063373769959415</v>
          </cell>
          <cell r="AS86">
            <v>8.1833333333333336</v>
          </cell>
          <cell r="AU86">
            <v>5.4870000000000001</v>
          </cell>
          <cell r="AY86">
            <v>3.6626835292822256E-2</v>
          </cell>
          <cell r="BA86">
            <v>3.8091908704535153E-2</v>
          </cell>
          <cell r="BH86">
            <v>7.4985625983903875E-2</v>
          </cell>
          <cell r="BJ86">
            <v>5.1304993256373999E-2</v>
          </cell>
          <cell r="BL86">
            <v>0.23309190870453517</v>
          </cell>
          <cell r="BN86">
            <v>7.3253670585644517E-6</v>
          </cell>
          <cell r="BO86">
            <v>4.0916666666666668</v>
          </cell>
          <cell r="BP86">
            <v>4.3896000000000006</v>
          </cell>
        </row>
        <row r="87">
          <cell r="A87" t="str">
            <v>EU1</v>
          </cell>
          <cell r="BH87">
            <v>2.3758790691081604E-2</v>
          </cell>
          <cell r="BJ87">
            <v>7.815796355172962E-5</v>
          </cell>
          <cell r="BL87">
            <v>0</v>
          </cell>
          <cell r="BO87">
            <v>0</v>
          </cell>
          <cell r="BP87">
            <v>0</v>
          </cell>
        </row>
        <row r="88">
          <cell r="A88" t="str">
            <v>EU1</v>
          </cell>
          <cell r="BH88">
            <v>2.3758790691081604E-2</v>
          </cell>
          <cell r="BJ88">
            <v>7.815796355172962E-5</v>
          </cell>
          <cell r="BL88">
            <v>0</v>
          </cell>
          <cell r="BO88">
            <v>0</v>
          </cell>
          <cell r="BP88">
            <v>0</v>
          </cell>
        </row>
        <row r="89">
          <cell r="A89" t="str">
            <v>EU1</v>
          </cell>
          <cell r="AI89">
            <v>0</v>
          </cell>
          <cell r="AK89">
            <v>0</v>
          </cell>
          <cell r="AS89">
            <v>0</v>
          </cell>
          <cell r="AU89">
            <v>0</v>
          </cell>
          <cell r="AY89">
            <v>0</v>
          </cell>
          <cell r="BA89">
            <v>0</v>
          </cell>
          <cell r="BH89">
            <v>2.3758790691081604E-2</v>
          </cell>
          <cell r="BJ89">
            <v>7.815796355172962E-5</v>
          </cell>
          <cell r="BL89">
            <v>0</v>
          </cell>
          <cell r="BN89">
            <v>0</v>
          </cell>
          <cell r="BO89">
            <v>0</v>
          </cell>
          <cell r="BP89">
            <v>0</v>
          </cell>
        </row>
        <row r="90">
          <cell r="A90" t="str">
            <v>EU1</v>
          </cell>
          <cell r="BH90">
            <v>0</v>
          </cell>
          <cell r="BJ90">
            <v>0</v>
          </cell>
          <cell r="BL90">
            <v>0</v>
          </cell>
          <cell r="BO90">
            <v>0</v>
          </cell>
          <cell r="BP90">
            <v>0</v>
          </cell>
        </row>
        <row r="91">
          <cell r="A91" t="str">
            <v>EU1</v>
          </cell>
          <cell r="AI91">
            <v>1.4043129027001322</v>
          </cell>
          <cell r="AK91">
            <v>1.3898635267905037</v>
          </cell>
          <cell r="AS91">
            <v>8.1833333333333336</v>
          </cell>
          <cell r="AU91">
            <v>5.4870000000000001</v>
          </cell>
          <cell r="AY91">
            <v>3.6626835292822256E-2</v>
          </cell>
          <cell r="BA91">
            <v>3.8091908704535153E-2</v>
          </cell>
          <cell r="BH91">
            <v>0.10202573592107829</v>
          </cell>
          <cell r="BJ91">
            <v>8.0497887986960226E-2</v>
          </cell>
          <cell r="BL91">
            <v>3.3530919087045352</v>
          </cell>
          <cell r="BN91">
            <v>7.3253670585644517E-6</v>
          </cell>
          <cell r="BO91">
            <v>4.0916666666666668</v>
          </cell>
          <cell r="BP91">
            <v>4.3896000000000006</v>
          </cell>
        </row>
        <row r="92">
          <cell r="A92" t="str">
            <v>EU1</v>
          </cell>
          <cell r="BH92">
            <v>2.1598900628256E-2</v>
          </cell>
          <cell r="BJ92">
            <v>7.105269413793601E-5</v>
          </cell>
          <cell r="BL92">
            <v>0</v>
          </cell>
          <cell r="BO92">
            <v>0</v>
          </cell>
          <cell r="BP92">
            <v>0</v>
          </cell>
        </row>
        <row r="93">
          <cell r="A93" t="str">
            <v>EU1</v>
          </cell>
          <cell r="BH93">
            <v>2.1598900628256E-2</v>
          </cell>
          <cell r="BJ93">
            <v>7.105269413793601E-5</v>
          </cell>
          <cell r="BL93">
            <v>0</v>
          </cell>
          <cell r="BO93">
            <v>0</v>
          </cell>
          <cell r="BP93">
            <v>0</v>
          </cell>
        </row>
        <row r="94">
          <cell r="A94" t="str">
            <v>EU1</v>
          </cell>
          <cell r="BH94">
            <v>2.1598900628256E-2</v>
          </cell>
          <cell r="BJ94">
            <v>7.105269413793601E-5</v>
          </cell>
          <cell r="BL94">
            <v>0</v>
          </cell>
          <cell r="BO94">
            <v>0</v>
          </cell>
          <cell r="BP94">
            <v>0</v>
          </cell>
        </row>
        <row r="95">
          <cell r="A95" t="str">
            <v>EU1</v>
          </cell>
          <cell r="AI95">
            <v>1.5620833177976997E-3</v>
          </cell>
          <cell r="AK95">
            <v>0.21063373769959415</v>
          </cell>
          <cell r="AS95">
            <v>0</v>
          </cell>
          <cell r="AU95">
            <v>0.61950000000000005</v>
          </cell>
          <cell r="AY95">
            <v>0</v>
          </cell>
          <cell r="BA95">
            <v>0</v>
          </cell>
          <cell r="BH95">
            <v>5.5000806592896004E-3</v>
          </cell>
          <cell r="BJ95">
            <v>8.8324824705062423E-5</v>
          </cell>
          <cell r="BL95">
            <v>0</v>
          </cell>
          <cell r="BN95">
            <v>0</v>
          </cell>
          <cell r="BO95">
            <v>0</v>
          </cell>
          <cell r="BP95">
            <v>0.49560000000000004</v>
          </cell>
        </row>
        <row r="96">
          <cell r="A96" t="str">
            <v>EU1</v>
          </cell>
          <cell r="BH96">
            <v>5.5000806592896004E-3</v>
          </cell>
          <cell r="BJ96">
            <v>8.8324824705062423E-5</v>
          </cell>
          <cell r="BL96">
            <v>0</v>
          </cell>
          <cell r="BO96">
            <v>0</v>
          </cell>
          <cell r="BP96">
            <v>0</v>
          </cell>
        </row>
        <row r="97">
          <cell r="A97" t="str">
            <v>EU1</v>
          </cell>
          <cell r="BH97">
            <v>5.5000806592896004E-3</v>
          </cell>
          <cell r="BJ97">
            <v>8.8324824705062423E-5</v>
          </cell>
          <cell r="BL97">
            <v>0</v>
          </cell>
          <cell r="BO97">
            <v>0</v>
          </cell>
          <cell r="BP97">
            <v>0</v>
          </cell>
        </row>
        <row r="98">
          <cell r="A98" t="str">
            <v>EU1</v>
          </cell>
          <cell r="AI98">
            <v>0</v>
          </cell>
          <cell r="AK98">
            <v>0</v>
          </cell>
          <cell r="AS98">
            <v>0</v>
          </cell>
          <cell r="AU98">
            <v>0</v>
          </cell>
          <cell r="AY98">
            <v>0</v>
          </cell>
          <cell r="BA98">
            <v>0</v>
          </cell>
          <cell r="BH98">
            <v>1.29593403769536E-2</v>
          </cell>
          <cell r="BJ98">
            <v>4.2631616482761608E-5</v>
          </cell>
          <cell r="BL98">
            <v>0</v>
          </cell>
          <cell r="BN98">
            <v>0</v>
          </cell>
          <cell r="BO98">
            <v>0</v>
          </cell>
          <cell r="BP98">
            <v>0</v>
          </cell>
        </row>
        <row r="99">
          <cell r="A99" t="str">
            <v>EU1</v>
          </cell>
          <cell r="BH99">
            <v>0</v>
          </cell>
          <cell r="BJ99">
            <v>0</v>
          </cell>
          <cell r="BL99">
            <v>0</v>
          </cell>
          <cell r="BO99">
            <v>0</v>
          </cell>
          <cell r="BP99">
            <v>0</v>
          </cell>
        </row>
        <row r="100">
          <cell r="A100" t="str">
            <v>EU1</v>
          </cell>
          <cell r="BH100">
            <v>0</v>
          </cell>
          <cell r="BJ100">
            <v>0</v>
          </cell>
          <cell r="BL100">
            <v>0</v>
          </cell>
          <cell r="BO100">
            <v>0</v>
          </cell>
          <cell r="BP100">
            <v>0</v>
          </cell>
        </row>
        <row r="101">
          <cell r="A101" t="str">
            <v>EU1</v>
          </cell>
          <cell r="BH101">
            <v>0</v>
          </cell>
          <cell r="BJ101">
            <v>0</v>
          </cell>
          <cell r="BL101">
            <v>0</v>
          </cell>
          <cell r="BO101">
            <v>0</v>
          </cell>
          <cell r="BP101">
            <v>0</v>
          </cell>
        </row>
        <row r="102">
          <cell r="A102" t="str">
            <v>EU1</v>
          </cell>
          <cell r="BH102">
            <v>0</v>
          </cell>
          <cell r="BJ102">
            <v>0</v>
          </cell>
          <cell r="BL102">
            <v>0</v>
          </cell>
          <cell r="BO102">
            <v>0</v>
          </cell>
          <cell r="BP102">
            <v>0</v>
          </cell>
        </row>
        <row r="103">
          <cell r="A103" t="str">
            <v>EU1</v>
          </cell>
          <cell r="BH103">
            <v>2.1598900628256E-2</v>
          </cell>
          <cell r="BJ103">
            <v>7.105269413793601E-5</v>
          </cell>
          <cell r="BL103">
            <v>0</v>
          </cell>
          <cell r="BO103">
            <v>0</v>
          </cell>
          <cell r="BP103">
            <v>0</v>
          </cell>
        </row>
        <row r="104">
          <cell r="A104" t="str">
            <v>EU1</v>
          </cell>
          <cell r="BH104">
            <v>0</v>
          </cell>
          <cell r="BJ104">
            <v>0</v>
          </cell>
          <cell r="BL104">
            <v>0</v>
          </cell>
          <cell r="BO104">
            <v>0</v>
          </cell>
          <cell r="BP104">
            <v>0</v>
          </cell>
        </row>
        <row r="105">
          <cell r="A105" t="str">
            <v>EU1</v>
          </cell>
          <cell r="BH105">
            <v>0</v>
          </cell>
          <cell r="BJ105">
            <v>0</v>
          </cell>
          <cell r="BL105">
            <v>0</v>
          </cell>
          <cell r="BO105">
            <v>0</v>
          </cell>
          <cell r="BP105">
            <v>0</v>
          </cell>
        </row>
        <row r="106">
          <cell r="A106" t="str">
            <v>EU1</v>
          </cell>
          <cell r="BH106">
            <v>0</v>
          </cell>
          <cell r="BJ106">
            <v>0</v>
          </cell>
          <cell r="BL106">
            <v>0</v>
          </cell>
          <cell r="BO106">
            <v>0</v>
          </cell>
          <cell r="BP106">
            <v>0</v>
          </cell>
        </row>
        <row r="107">
          <cell r="A107" t="str">
            <v>EU1</v>
          </cell>
          <cell r="BH107">
            <v>0</v>
          </cell>
          <cell r="BJ107">
            <v>0</v>
          </cell>
          <cell r="BL107">
            <v>0</v>
          </cell>
          <cell r="BO107">
            <v>0</v>
          </cell>
          <cell r="BP107">
            <v>0</v>
          </cell>
        </row>
        <row r="108">
          <cell r="A108" t="str">
            <v>EU1</v>
          </cell>
          <cell r="AI108">
            <v>3.7489999627144804E-2</v>
          </cell>
          <cell r="AK108">
            <v>0.20504875223028668</v>
          </cell>
          <cell r="AS108">
            <v>4.0916666666666668</v>
          </cell>
          <cell r="AU108">
            <v>2.7435</v>
          </cell>
          <cell r="AY108">
            <v>1.8313417646411128E-2</v>
          </cell>
          <cell r="BA108">
            <v>1.9045954352267577E-2</v>
          </cell>
          <cell r="BH108">
            <v>3.7752428211841528E-2</v>
          </cell>
          <cell r="BJ108">
            <v>1.8377365071135271E-2</v>
          </cell>
          <cell r="BL108">
            <v>0.26404595435226758</v>
          </cell>
          <cell r="BN108">
            <v>3.6626835292822258E-6</v>
          </cell>
          <cell r="BO108">
            <v>2.0458333333333334</v>
          </cell>
          <cell r="BP108">
            <v>2.1948000000000003</v>
          </cell>
        </row>
        <row r="109">
          <cell r="A109" t="str">
            <v>EU1</v>
          </cell>
          <cell r="BH109">
            <v>1.94390105654304E-2</v>
          </cell>
          <cell r="BJ109">
            <v>6.3947424724142401E-5</v>
          </cell>
          <cell r="BL109">
            <v>0</v>
          </cell>
          <cell r="BO109">
            <v>0</v>
          </cell>
          <cell r="BP109">
            <v>0</v>
          </cell>
        </row>
        <row r="110">
          <cell r="A110" t="str">
            <v>EU1</v>
          </cell>
          <cell r="BH110">
            <v>1.94390105654304E-2</v>
          </cell>
          <cell r="BJ110">
            <v>6.3947424724142401E-5</v>
          </cell>
          <cell r="BL110">
            <v>0</v>
          </cell>
          <cell r="BO110">
            <v>0</v>
          </cell>
          <cell r="BP110">
            <v>0</v>
          </cell>
        </row>
        <row r="111">
          <cell r="A111" t="str">
            <v>EU1</v>
          </cell>
          <cell r="AI111">
            <v>3.7489999627144804E-2</v>
          </cell>
          <cell r="AK111">
            <v>0.20504875223028668</v>
          </cell>
          <cell r="AS111">
            <v>4.0916666666666668</v>
          </cell>
          <cell r="AU111">
            <v>2.7435</v>
          </cell>
          <cell r="AY111">
            <v>1.8313417646411128E-2</v>
          </cell>
          <cell r="BA111">
            <v>1.9045954352267577E-2</v>
          </cell>
          <cell r="BH111">
            <v>3.7752428211841528E-2</v>
          </cell>
          <cell r="BJ111">
            <v>1.8377365071135271E-2</v>
          </cell>
          <cell r="BL111">
            <v>0.26404595435226758</v>
          </cell>
          <cell r="BN111">
            <v>3.6626835292822258E-6</v>
          </cell>
          <cell r="BO111">
            <v>2.0458333333333334</v>
          </cell>
          <cell r="BP111">
            <v>2.1948000000000003</v>
          </cell>
        </row>
        <row r="112">
          <cell r="A112" t="str">
            <v>EU1</v>
          </cell>
          <cell r="BH112">
            <v>1.94390105654304E-2</v>
          </cell>
          <cell r="BJ112">
            <v>6.3947424724142401E-5</v>
          </cell>
          <cell r="BL112">
            <v>0</v>
          </cell>
          <cell r="BO112">
            <v>0</v>
          </cell>
          <cell r="BP112">
            <v>0</v>
          </cell>
        </row>
        <row r="113">
          <cell r="A113" t="str">
            <v>EU1</v>
          </cell>
          <cell r="BH113">
            <v>0.10523658271785927</v>
          </cell>
          <cell r="BJ113">
            <v>3.4619089428059529E-4</v>
          </cell>
          <cell r="BL113">
            <v>0</v>
          </cell>
          <cell r="BO113">
            <v>0</v>
          </cell>
          <cell r="BP113">
            <v>0</v>
          </cell>
        </row>
        <row r="114">
          <cell r="A114" t="str">
            <v>EU1</v>
          </cell>
          <cell r="AI114">
            <v>1.5620833177976997E-3</v>
          </cell>
          <cell r="AK114">
            <v>0.10052973844753357</v>
          </cell>
          <cell r="AS114">
            <v>0</v>
          </cell>
          <cell r="AU114">
            <v>0.41300000000000003</v>
          </cell>
          <cell r="AY114">
            <v>0</v>
          </cell>
          <cell r="BA114">
            <v>0</v>
          </cell>
          <cell r="BH114">
            <v>4.5834005494080005E-3</v>
          </cell>
          <cell r="BJ114">
            <v>7.3604020587552004E-5</v>
          </cell>
          <cell r="BL114">
            <v>0</v>
          </cell>
          <cell r="BN114">
            <v>0</v>
          </cell>
          <cell r="BO114">
            <v>0</v>
          </cell>
          <cell r="BP114">
            <v>0.33040000000000003</v>
          </cell>
        </row>
        <row r="115">
          <cell r="A115" t="str">
            <v>EU1</v>
          </cell>
          <cell r="BH115">
            <v>0</v>
          </cell>
          <cell r="BJ115">
            <v>0</v>
          </cell>
          <cell r="BL115">
            <v>0</v>
          </cell>
          <cell r="BO115">
            <v>0</v>
          </cell>
          <cell r="BP115">
            <v>0</v>
          </cell>
        </row>
        <row r="116">
          <cell r="A116" t="str">
            <v>EU1</v>
          </cell>
          <cell r="BH116">
            <v>0</v>
          </cell>
          <cell r="BJ116">
            <v>0</v>
          </cell>
          <cell r="BL116">
            <v>0</v>
          </cell>
          <cell r="BO116">
            <v>0</v>
          </cell>
          <cell r="BP116">
            <v>0</v>
          </cell>
        </row>
        <row r="117">
          <cell r="A117" t="str">
            <v>EU1</v>
          </cell>
          <cell r="BH117">
            <v>6.9667688351001573E-3</v>
          </cell>
          <cell r="BJ117">
            <v>1.1187811129307902E-4</v>
          </cell>
          <cell r="BL117">
            <v>0</v>
          </cell>
          <cell r="BO117">
            <v>0</v>
          </cell>
          <cell r="BP117">
            <v>0</v>
          </cell>
        </row>
        <row r="118">
          <cell r="A118" t="str">
            <v>EU1</v>
          </cell>
          <cell r="BH118">
            <v>0</v>
          </cell>
          <cell r="BJ118">
            <v>0</v>
          </cell>
          <cell r="BL118">
            <v>0</v>
          </cell>
          <cell r="BO118">
            <v>0</v>
          </cell>
          <cell r="BP118">
            <v>0</v>
          </cell>
        </row>
        <row r="119">
          <cell r="A119" t="str">
            <v>EU1</v>
          </cell>
          <cell r="BH119">
            <v>0</v>
          </cell>
          <cell r="BJ119">
            <v>0</v>
          </cell>
          <cell r="BL119">
            <v>0</v>
          </cell>
          <cell r="BO119">
            <v>0</v>
          </cell>
          <cell r="BP119">
            <v>0</v>
          </cell>
        </row>
        <row r="120">
          <cell r="A120" t="str">
            <v>EU1</v>
          </cell>
          <cell r="BH120">
            <v>6.9667688351001573E-3</v>
          </cell>
          <cell r="BJ120">
            <v>1.1187811129307902E-4</v>
          </cell>
          <cell r="BL120">
            <v>0</v>
          </cell>
          <cell r="BO120">
            <v>0</v>
          </cell>
          <cell r="BP120">
            <v>0</v>
          </cell>
        </row>
        <row r="121">
          <cell r="A121" t="str">
            <v>EU1</v>
          </cell>
          <cell r="BH121">
            <v>0</v>
          </cell>
          <cell r="BJ121">
            <v>0</v>
          </cell>
          <cell r="BL121">
            <v>0</v>
          </cell>
          <cell r="BO121">
            <v>0</v>
          </cell>
          <cell r="BP121">
            <v>0</v>
          </cell>
        </row>
        <row r="122">
          <cell r="A122" t="str">
            <v>EU1</v>
          </cell>
          <cell r="BH122">
            <v>0</v>
          </cell>
          <cell r="BJ122">
            <v>0</v>
          </cell>
          <cell r="BL122">
            <v>0</v>
          </cell>
          <cell r="BO122">
            <v>0</v>
          </cell>
          <cell r="BP122">
            <v>0</v>
          </cell>
        </row>
        <row r="123">
          <cell r="A123" t="str">
            <v>EU1</v>
          </cell>
          <cell r="AI123">
            <v>0</v>
          </cell>
          <cell r="AK123">
            <v>0</v>
          </cell>
          <cell r="AS123">
            <v>0</v>
          </cell>
          <cell r="AU123">
            <v>3.5040000000000002E-2</v>
          </cell>
          <cell r="BH123">
            <v>2.1598900628255996E-3</v>
          </cell>
          <cell r="BJ123">
            <v>7.1052694137935999E-6</v>
          </cell>
          <cell r="BL123">
            <v>0</v>
          </cell>
          <cell r="BO123">
            <v>0</v>
          </cell>
          <cell r="BP123">
            <v>2.8032000000000001E-2</v>
          </cell>
        </row>
        <row r="124">
          <cell r="A124" t="str">
            <v>EU1</v>
          </cell>
          <cell r="BH124">
            <v>0</v>
          </cell>
          <cell r="BJ124">
            <v>0</v>
          </cell>
          <cell r="BL124">
            <v>0</v>
          </cell>
          <cell r="BO124">
            <v>0</v>
          </cell>
          <cell r="BP124">
            <v>0</v>
          </cell>
        </row>
        <row r="125">
          <cell r="A125" t="str">
            <v>EU4</v>
          </cell>
          <cell r="AI125">
            <v>0</v>
          </cell>
          <cell r="AS125">
            <v>0</v>
          </cell>
          <cell r="AU125">
            <v>0</v>
          </cell>
          <cell r="BH125">
            <v>8.6395602513023983E-3</v>
          </cell>
          <cell r="BJ125">
            <v>2.8421077655174399E-5</v>
          </cell>
          <cell r="BL125">
            <v>0</v>
          </cell>
          <cell r="BO125">
            <v>0</v>
          </cell>
          <cell r="BP125">
            <v>0</v>
          </cell>
        </row>
        <row r="126">
          <cell r="A126" t="str">
            <v>EU4</v>
          </cell>
          <cell r="AI126">
            <v>0</v>
          </cell>
          <cell r="AS126">
            <v>0</v>
          </cell>
          <cell r="AU126">
            <v>0</v>
          </cell>
          <cell r="BH126">
            <v>0</v>
          </cell>
          <cell r="BJ126">
            <v>0</v>
          </cell>
          <cell r="BL126">
            <v>0</v>
          </cell>
          <cell r="BO126">
            <v>0</v>
          </cell>
          <cell r="BP126">
            <v>0</v>
          </cell>
        </row>
        <row r="127">
          <cell r="A127" t="str">
            <v>EU2</v>
          </cell>
          <cell r="AI127">
            <v>1.5620833177976997E-3</v>
          </cell>
          <cell r="AK127">
            <v>0.10052973844753357</v>
          </cell>
          <cell r="AS127">
            <v>2.4703199999999996</v>
          </cell>
          <cell r="AU127">
            <v>0.30222000000000004</v>
          </cell>
          <cell r="BH127">
            <v>1.7279120502604797E-2</v>
          </cell>
          <cell r="BJ127">
            <v>5.6842155310348799E-5</v>
          </cell>
          <cell r="BL127">
            <v>0</v>
          </cell>
          <cell r="BO127">
            <v>1.2351599999999998</v>
          </cell>
          <cell r="BP127">
            <v>0.24177600000000005</v>
          </cell>
        </row>
        <row r="128">
          <cell r="A128" t="str">
            <v>EU2</v>
          </cell>
          <cell r="BH128">
            <v>0</v>
          </cell>
          <cell r="BJ128">
            <v>0</v>
          </cell>
          <cell r="BL128">
            <v>0</v>
          </cell>
          <cell r="BO128">
            <v>0</v>
          </cell>
          <cell r="BP128">
            <v>0</v>
          </cell>
        </row>
        <row r="129">
          <cell r="A129" t="str">
            <v>EU2</v>
          </cell>
          <cell r="BH129">
            <v>0</v>
          </cell>
          <cell r="BJ129">
            <v>0</v>
          </cell>
          <cell r="BL129">
            <v>0</v>
          </cell>
          <cell r="BO129">
            <v>0</v>
          </cell>
          <cell r="BP129">
            <v>0</v>
          </cell>
        </row>
        <row r="130">
          <cell r="A130" t="str">
            <v>EU2</v>
          </cell>
          <cell r="BH130">
            <v>1.7279120502604797E-2</v>
          </cell>
          <cell r="BJ130">
            <v>5.6842155310348799E-5</v>
          </cell>
          <cell r="BL130">
            <v>0</v>
          </cell>
          <cell r="BO130">
            <v>0</v>
          </cell>
          <cell r="BP130">
            <v>0</v>
          </cell>
        </row>
        <row r="131">
          <cell r="A131" t="str">
            <v>EU2</v>
          </cell>
          <cell r="BH131">
            <v>0</v>
          </cell>
          <cell r="BJ131">
            <v>0</v>
          </cell>
          <cell r="BL131">
            <v>0</v>
          </cell>
          <cell r="BO131">
            <v>0</v>
          </cell>
          <cell r="BP131">
            <v>0</v>
          </cell>
        </row>
        <row r="132">
          <cell r="A132" t="str">
            <v>EU2</v>
          </cell>
          <cell r="BH132">
            <v>0</v>
          </cell>
          <cell r="BJ132">
            <v>0</v>
          </cell>
          <cell r="BL132">
            <v>0</v>
          </cell>
          <cell r="BO132">
            <v>0</v>
          </cell>
          <cell r="BP132">
            <v>0</v>
          </cell>
        </row>
        <row r="133">
          <cell r="A133" t="str">
            <v>EU2</v>
          </cell>
          <cell r="AI133">
            <v>0</v>
          </cell>
          <cell r="AK133">
            <v>0</v>
          </cell>
          <cell r="AS133">
            <v>0</v>
          </cell>
          <cell r="AU133">
            <v>0</v>
          </cell>
          <cell r="AY133">
            <v>0</v>
          </cell>
          <cell r="BA133">
            <v>0</v>
          </cell>
          <cell r="BH133">
            <v>1.8143076527735037E-2</v>
          </cell>
          <cell r="BJ133">
            <v>5.9684263075866226E-5</v>
          </cell>
          <cell r="BL133">
            <v>0</v>
          </cell>
          <cell r="BN133">
            <v>0</v>
          </cell>
          <cell r="BO133">
            <v>0</v>
          </cell>
          <cell r="BP133">
            <v>0</v>
          </cell>
        </row>
        <row r="134">
          <cell r="A134" t="str">
            <v>EU3</v>
          </cell>
          <cell r="AI134">
            <v>1.106309516735466</v>
          </cell>
          <cell r="AK134">
            <v>0.78362438676223678</v>
          </cell>
          <cell r="AS134">
            <v>9.625</v>
          </cell>
          <cell r="AU134">
            <v>4.9871250000000007</v>
          </cell>
          <cell r="AY134">
            <v>7.795991199198482E-2</v>
          </cell>
          <cell r="BA134">
            <v>8.1078308471664223E-2</v>
          </cell>
          <cell r="BH134">
            <v>0.13180881262024083</v>
          </cell>
          <cell r="BJ134">
            <v>0.11028096468612275</v>
          </cell>
          <cell r="BL134">
            <v>1.9310783084716643</v>
          </cell>
          <cell r="BN134">
            <v>0</v>
          </cell>
          <cell r="BO134">
            <v>4.8125</v>
          </cell>
          <cell r="BP134">
            <v>3.9897000000000009</v>
          </cell>
        </row>
        <row r="135">
          <cell r="A135" t="str">
            <v>EU3</v>
          </cell>
          <cell r="BH135">
            <v>2.1598900628256E-2</v>
          </cell>
          <cell r="BJ135">
            <v>7.105269413793601E-5</v>
          </cell>
          <cell r="BL135">
            <v>0</v>
          </cell>
          <cell r="BO135">
            <v>0</v>
          </cell>
          <cell r="BP135">
            <v>0</v>
          </cell>
        </row>
        <row r="136">
          <cell r="A136" t="str">
            <v>EU3</v>
          </cell>
          <cell r="BH136">
            <v>2.1598900628256E-2</v>
          </cell>
          <cell r="BJ136">
            <v>7.105269413793601E-5</v>
          </cell>
          <cell r="BL136">
            <v>0</v>
          </cell>
          <cell r="BO136">
            <v>0</v>
          </cell>
          <cell r="BP136">
            <v>0</v>
          </cell>
        </row>
        <row r="137">
          <cell r="A137" t="str">
            <v>EU3</v>
          </cell>
          <cell r="BH137">
            <v>2.1598900628256E-2</v>
          </cell>
          <cell r="BJ137">
            <v>7.105269413793601E-5</v>
          </cell>
          <cell r="BL137">
            <v>0</v>
          </cell>
          <cell r="BO137">
            <v>0</v>
          </cell>
          <cell r="BP137">
            <v>0</v>
          </cell>
        </row>
        <row r="138">
          <cell r="A138" t="str">
            <v>EU3</v>
          </cell>
          <cell r="BH138">
            <v>2.1598900628256E-2</v>
          </cell>
          <cell r="BJ138">
            <v>7.105269413793601E-5</v>
          </cell>
          <cell r="BL138">
            <v>0</v>
          </cell>
          <cell r="BO138">
            <v>0</v>
          </cell>
          <cell r="BP138">
            <v>0</v>
          </cell>
        </row>
        <row r="139">
          <cell r="A139" t="str">
            <v>EU3</v>
          </cell>
          <cell r="BH139">
            <v>2.1598900628256E-2</v>
          </cell>
          <cell r="BJ139">
            <v>7.105269413793601E-5</v>
          </cell>
          <cell r="BL139">
            <v>0</v>
          </cell>
          <cell r="BO139">
            <v>0</v>
          </cell>
          <cell r="BP139">
            <v>0</v>
          </cell>
        </row>
        <row r="140">
          <cell r="A140" t="str">
            <v>EU3</v>
          </cell>
          <cell r="AI140">
            <v>2.1900000000000001E-3</v>
          </cell>
          <cell r="AK140">
            <v>4.3534688153457617E-2</v>
          </cell>
          <cell r="AS140">
            <v>0</v>
          </cell>
          <cell r="AU140">
            <v>0.18768750000000006</v>
          </cell>
          <cell r="BH140">
            <v>1.7772809659822079E-2</v>
          </cell>
          <cell r="BJ140">
            <v>5.8466216890644481E-5</v>
          </cell>
          <cell r="BL140">
            <v>0</v>
          </cell>
          <cell r="BO140">
            <v>0</v>
          </cell>
          <cell r="BP140">
            <v>0.15015000000000006</v>
          </cell>
        </row>
        <row r="141">
          <cell r="A141" t="str">
            <v>EU3</v>
          </cell>
          <cell r="BH141">
            <v>0</v>
          </cell>
          <cell r="BJ141">
            <v>0</v>
          </cell>
          <cell r="BL141">
            <v>0</v>
          </cell>
          <cell r="BO141">
            <v>0</v>
          </cell>
          <cell r="BP141">
            <v>0</v>
          </cell>
        </row>
        <row r="142">
          <cell r="A142" t="str">
            <v>EU3</v>
          </cell>
          <cell r="BH142">
            <v>0</v>
          </cell>
          <cell r="BJ142">
            <v>0</v>
          </cell>
          <cell r="BL142">
            <v>0</v>
          </cell>
          <cell r="BO142">
            <v>0</v>
          </cell>
          <cell r="BP142">
            <v>0</v>
          </cell>
        </row>
        <row r="143">
          <cell r="A143" t="str">
            <v>EU3</v>
          </cell>
          <cell r="BH143">
            <v>0</v>
          </cell>
          <cell r="BJ143">
            <v>0</v>
          </cell>
          <cell r="BL143">
            <v>0</v>
          </cell>
          <cell r="BO143">
            <v>0</v>
          </cell>
          <cell r="BP143">
            <v>0</v>
          </cell>
        </row>
        <row r="144">
          <cell r="A144" t="str">
            <v>EU3</v>
          </cell>
          <cell r="BH144">
            <v>1.7772809659822079E-2</v>
          </cell>
          <cell r="BJ144">
            <v>5.8466216890644481E-5</v>
          </cell>
          <cell r="BL144">
            <v>0</v>
          </cell>
          <cell r="BO144">
            <v>0</v>
          </cell>
          <cell r="BP144">
            <v>0</v>
          </cell>
        </row>
        <row r="145">
          <cell r="A145" t="str">
            <v>EU3</v>
          </cell>
          <cell r="BH145">
            <v>0</v>
          </cell>
          <cell r="BJ145">
            <v>0</v>
          </cell>
          <cell r="BL145">
            <v>0</v>
          </cell>
          <cell r="BO145">
            <v>0</v>
          </cell>
          <cell r="BP145">
            <v>0</v>
          </cell>
        </row>
        <row r="146">
          <cell r="A146" t="str">
            <v>EU3</v>
          </cell>
          <cell r="BH146">
            <v>0</v>
          </cell>
          <cell r="BJ146">
            <v>0</v>
          </cell>
          <cell r="BL146">
            <v>0</v>
          </cell>
          <cell r="BO146">
            <v>0</v>
          </cell>
          <cell r="BP146">
            <v>0</v>
          </cell>
        </row>
        <row r="147">
          <cell r="A147" t="str">
            <v>EU3</v>
          </cell>
          <cell r="BH147">
            <v>0</v>
          </cell>
          <cell r="BJ147">
            <v>0</v>
          </cell>
          <cell r="BL147">
            <v>0</v>
          </cell>
          <cell r="BO147">
            <v>0</v>
          </cell>
          <cell r="BP147">
            <v>0</v>
          </cell>
        </row>
        <row r="148">
          <cell r="A148" t="str">
            <v>EU3</v>
          </cell>
          <cell r="BH148">
            <v>1.7772809659822079E-2</v>
          </cell>
          <cell r="BJ148">
            <v>5.8466216890644481E-5</v>
          </cell>
          <cell r="BL148">
            <v>0</v>
          </cell>
          <cell r="BO148">
            <v>0</v>
          </cell>
          <cell r="BP148">
            <v>0</v>
          </cell>
        </row>
        <row r="149">
          <cell r="A149" t="str">
            <v>EU3</v>
          </cell>
          <cell r="BH149">
            <v>0</v>
          </cell>
          <cell r="BJ149">
            <v>0</v>
          </cell>
          <cell r="BL149">
            <v>0</v>
          </cell>
          <cell r="BO149">
            <v>0</v>
          </cell>
          <cell r="BP149">
            <v>0</v>
          </cell>
        </row>
        <row r="150">
          <cell r="A150" t="str">
            <v>EU3</v>
          </cell>
          <cell r="BH150">
            <v>0</v>
          </cell>
          <cell r="BJ150">
            <v>0</v>
          </cell>
          <cell r="BL150">
            <v>0</v>
          </cell>
          <cell r="BO150">
            <v>0</v>
          </cell>
          <cell r="BP150">
            <v>0</v>
          </cell>
        </row>
        <row r="151">
          <cell r="A151" t="str">
            <v>EU3</v>
          </cell>
          <cell r="BH151">
            <v>0</v>
          </cell>
          <cell r="BJ151">
            <v>0</v>
          </cell>
          <cell r="BL151">
            <v>0</v>
          </cell>
          <cell r="BO151">
            <v>0</v>
          </cell>
          <cell r="BP151">
            <v>0</v>
          </cell>
        </row>
        <row r="152">
          <cell r="A152" t="str">
            <v>EU3</v>
          </cell>
          <cell r="BH152">
            <v>1.7772809659822079E-2</v>
          </cell>
          <cell r="BJ152">
            <v>5.8466216890644481E-5</v>
          </cell>
          <cell r="BL152">
            <v>0</v>
          </cell>
          <cell r="BO152">
            <v>0</v>
          </cell>
          <cell r="BP152">
            <v>0</v>
          </cell>
        </row>
        <row r="153">
          <cell r="A153" t="str">
            <v>EU3</v>
          </cell>
          <cell r="BH153">
            <v>0</v>
          </cell>
          <cell r="BJ153">
            <v>0</v>
          </cell>
          <cell r="BL153">
            <v>0</v>
          </cell>
          <cell r="BO153">
            <v>0</v>
          </cell>
          <cell r="BP153">
            <v>0</v>
          </cell>
        </row>
        <row r="154">
          <cell r="A154" t="str">
            <v>EU3</v>
          </cell>
          <cell r="BH154">
            <v>0</v>
          </cell>
          <cell r="BJ154">
            <v>0</v>
          </cell>
          <cell r="BL154">
            <v>0</v>
          </cell>
          <cell r="BO154">
            <v>0</v>
          </cell>
          <cell r="BP154">
            <v>0</v>
          </cell>
        </row>
        <row r="155">
          <cell r="A155" t="str">
            <v>EU3</v>
          </cell>
          <cell r="BH155">
            <v>0</v>
          </cell>
          <cell r="BJ155">
            <v>0</v>
          </cell>
          <cell r="BL155">
            <v>0</v>
          </cell>
          <cell r="BO155">
            <v>0</v>
          </cell>
          <cell r="BP155">
            <v>0</v>
          </cell>
        </row>
        <row r="156">
          <cell r="A156" t="str">
            <v>EU3</v>
          </cell>
          <cell r="BH156">
            <v>1.7772809659822079E-2</v>
          </cell>
          <cell r="BJ156">
            <v>5.8466216890644481E-5</v>
          </cell>
          <cell r="BL156">
            <v>0</v>
          </cell>
          <cell r="BO156">
            <v>0</v>
          </cell>
          <cell r="BP156">
            <v>0</v>
          </cell>
        </row>
        <row r="157">
          <cell r="A157" t="str">
            <v>EU3</v>
          </cell>
          <cell r="BH157">
            <v>0</v>
          </cell>
          <cell r="BJ157">
            <v>0</v>
          </cell>
          <cell r="BL157">
            <v>0</v>
          </cell>
          <cell r="BO157">
            <v>0</v>
          </cell>
          <cell r="BP157">
            <v>0</v>
          </cell>
        </row>
        <row r="158">
          <cell r="A158" t="str">
            <v>EU3</v>
          </cell>
          <cell r="BH158">
            <v>0</v>
          </cell>
          <cell r="BJ158">
            <v>0</v>
          </cell>
          <cell r="BL158">
            <v>0</v>
          </cell>
          <cell r="BO158">
            <v>0</v>
          </cell>
          <cell r="BP158">
            <v>0</v>
          </cell>
        </row>
        <row r="159">
          <cell r="A159" t="str">
            <v>EU3</v>
          </cell>
          <cell r="BH159">
            <v>0</v>
          </cell>
          <cell r="BJ159">
            <v>0</v>
          </cell>
          <cell r="BL159">
            <v>0</v>
          </cell>
          <cell r="BO159">
            <v>0</v>
          </cell>
          <cell r="BP159">
            <v>0</v>
          </cell>
        </row>
        <row r="160">
          <cell r="A160" t="str">
            <v>EU3</v>
          </cell>
          <cell r="AI160">
            <v>2.1900000000000001E-3</v>
          </cell>
          <cell r="AK160">
            <v>4.3534688153457617E-2</v>
          </cell>
          <cell r="AU160">
            <v>0.18768750000000006</v>
          </cell>
          <cell r="BH160">
            <v>5.7761631394421753E-2</v>
          </cell>
          <cell r="BJ160">
            <v>1.9001520489459457E-4</v>
          </cell>
          <cell r="BL160">
            <v>0</v>
          </cell>
          <cell r="BO160">
            <v>0</v>
          </cell>
          <cell r="BP160">
            <v>0.15015000000000006</v>
          </cell>
        </row>
        <row r="161">
          <cell r="A161" t="str">
            <v>EU3</v>
          </cell>
          <cell r="BH161">
            <v>0</v>
          </cell>
          <cell r="BJ161">
            <v>0</v>
          </cell>
          <cell r="BL161">
            <v>0</v>
          </cell>
          <cell r="BO161">
            <v>0</v>
          </cell>
          <cell r="BP161">
            <v>0</v>
          </cell>
        </row>
        <row r="162">
          <cell r="A162" t="str">
            <v>EU3</v>
          </cell>
          <cell r="BH162">
            <v>0</v>
          </cell>
          <cell r="BJ162">
            <v>0</v>
          </cell>
          <cell r="BL162">
            <v>0</v>
          </cell>
          <cell r="BO162">
            <v>0</v>
          </cell>
          <cell r="BP162">
            <v>0</v>
          </cell>
        </row>
        <row r="163">
          <cell r="A163" t="str">
            <v>EU3</v>
          </cell>
          <cell r="BH163">
            <v>0</v>
          </cell>
          <cell r="BJ163">
            <v>0</v>
          </cell>
          <cell r="BL163">
            <v>0</v>
          </cell>
          <cell r="BO163">
            <v>0</v>
          </cell>
          <cell r="BP163">
            <v>0</v>
          </cell>
        </row>
        <row r="164">
          <cell r="A164" t="str">
            <v>EU3</v>
          </cell>
          <cell r="BH164">
            <v>0</v>
          </cell>
          <cell r="BJ164">
            <v>0</v>
          </cell>
          <cell r="BL164">
            <v>0</v>
          </cell>
          <cell r="BO164">
            <v>0</v>
          </cell>
          <cell r="BP164">
            <v>0</v>
          </cell>
        </row>
        <row r="165">
          <cell r="A165" t="str">
            <v>EU3</v>
          </cell>
          <cell r="BH165">
            <v>5.7761631394421753E-2</v>
          </cell>
          <cell r="BJ165">
            <v>1.9001520489459457E-4</v>
          </cell>
          <cell r="BL165">
            <v>0</v>
          </cell>
          <cell r="BO165">
            <v>0</v>
          </cell>
          <cell r="BP165">
            <v>0</v>
          </cell>
        </row>
        <row r="166">
          <cell r="A166" t="str">
            <v>EU3</v>
          </cell>
          <cell r="BH166">
            <v>0</v>
          </cell>
          <cell r="BJ166">
            <v>0</v>
          </cell>
          <cell r="BL166">
            <v>0</v>
          </cell>
          <cell r="BO166">
            <v>0</v>
          </cell>
          <cell r="BP166">
            <v>0</v>
          </cell>
        </row>
        <row r="167">
          <cell r="A167" t="str">
            <v>EU3</v>
          </cell>
          <cell r="BH167">
            <v>0</v>
          </cell>
          <cell r="BJ167">
            <v>0</v>
          </cell>
          <cell r="BL167">
            <v>0</v>
          </cell>
          <cell r="BO167">
            <v>0</v>
          </cell>
          <cell r="BP167">
            <v>0</v>
          </cell>
        </row>
        <row r="168">
          <cell r="A168" t="str">
            <v>EU3</v>
          </cell>
          <cell r="BH168">
            <v>0</v>
          </cell>
          <cell r="BJ168">
            <v>0</v>
          </cell>
          <cell r="BL168">
            <v>0</v>
          </cell>
          <cell r="BO168">
            <v>0</v>
          </cell>
          <cell r="BP168">
            <v>0</v>
          </cell>
        </row>
        <row r="169">
          <cell r="A169" t="str">
            <v>EU3</v>
          </cell>
          <cell r="BH169">
            <v>0</v>
          </cell>
          <cell r="BJ169">
            <v>0</v>
          </cell>
          <cell r="BL169">
            <v>0</v>
          </cell>
          <cell r="BO169">
            <v>0</v>
          </cell>
          <cell r="BP169">
            <v>0</v>
          </cell>
        </row>
        <row r="170">
          <cell r="A170" t="str">
            <v>EU3</v>
          </cell>
          <cell r="BH170">
            <v>5.7761631394421753E-2</v>
          </cell>
          <cell r="BJ170">
            <v>1.9001520489459457E-4</v>
          </cell>
          <cell r="BL170">
            <v>0</v>
          </cell>
          <cell r="BO170">
            <v>0</v>
          </cell>
          <cell r="BP170">
            <v>0</v>
          </cell>
        </row>
        <row r="171">
          <cell r="A171" t="str">
            <v>EU3</v>
          </cell>
          <cell r="BH171">
            <v>0</v>
          </cell>
          <cell r="BJ171">
            <v>0</v>
          </cell>
          <cell r="BL171">
            <v>0</v>
          </cell>
          <cell r="BO171">
            <v>0</v>
          </cell>
          <cell r="BP171">
            <v>0</v>
          </cell>
        </row>
        <row r="172">
          <cell r="A172" t="str">
            <v>EU3</v>
          </cell>
          <cell r="BH172">
            <v>0</v>
          </cell>
          <cell r="BJ172">
            <v>0</v>
          </cell>
          <cell r="BL172">
            <v>0</v>
          </cell>
          <cell r="BO172">
            <v>0</v>
          </cell>
          <cell r="BP172">
            <v>0</v>
          </cell>
        </row>
        <row r="173">
          <cell r="A173" t="str">
            <v>EU3</v>
          </cell>
          <cell r="BH173">
            <v>0</v>
          </cell>
          <cell r="BJ173">
            <v>0</v>
          </cell>
          <cell r="BL173">
            <v>0</v>
          </cell>
          <cell r="BO173">
            <v>0</v>
          </cell>
          <cell r="BP173">
            <v>0</v>
          </cell>
        </row>
        <row r="174">
          <cell r="A174" t="str">
            <v>EU3</v>
          </cell>
          <cell r="BH174">
            <v>0</v>
          </cell>
          <cell r="BJ174">
            <v>0</v>
          </cell>
          <cell r="BL174">
            <v>0</v>
          </cell>
          <cell r="BO174">
            <v>0</v>
          </cell>
          <cell r="BP174">
            <v>0</v>
          </cell>
        </row>
        <row r="175">
          <cell r="A175" t="str">
            <v>EU3</v>
          </cell>
          <cell r="AI175">
            <v>0</v>
          </cell>
          <cell r="AK175">
            <v>0</v>
          </cell>
          <cell r="AS175">
            <v>0</v>
          </cell>
          <cell r="AU175">
            <v>0</v>
          </cell>
          <cell r="AY175">
            <v>0</v>
          </cell>
          <cell r="BA175">
            <v>0</v>
          </cell>
          <cell r="BH175">
            <v>2.1598900628256E-2</v>
          </cell>
          <cell r="BJ175">
            <v>7.105269413793601E-5</v>
          </cell>
          <cell r="BL175">
            <v>0</v>
          </cell>
          <cell r="BN175">
            <v>0</v>
          </cell>
          <cell r="BO175">
            <v>0</v>
          </cell>
          <cell r="BP175">
            <v>0</v>
          </cell>
        </row>
        <row r="176">
          <cell r="A176" t="str">
            <v>EU3</v>
          </cell>
          <cell r="BH176">
            <v>0</v>
          </cell>
          <cell r="BJ176">
            <v>0</v>
          </cell>
          <cell r="BL176">
            <v>0</v>
          </cell>
          <cell r="BO176">
            <v>0</v>
          </cell>
          <cell r="BP176">
            <v>0</v>
          </cell>
        </row>
        <row r="177">
          <cell r="A177" t="str">
            <v>EU3</v>
          </cell>
          <cell r="BH177">
            <v>0</v>
          </cell>
          <cell r="BJ177">
            <v>0</v>
          </cell>
          <cell r="BL177">
            <v>0</v>
          </cell>
          <cell r="BO177">
            <v>0</v>
          </cell>
          <cell r="BP177">
            <v>0</v>
          </cell>
        </row>
        <row r="178">
          <cell r="A178" t="str">
            <v>EU3</v>
          </cell>
          <cell r="BH178">
            <v>0</v>
          </cell>
          <cell r="BJ178">
            <v>0</v>
          </cell>
          <cell r="BL178">
            <v>0</v>
          </cell>
          <cell r="BO178">
            <v>0</v>
          </cell>
          <cell r="BP178">
            <v>0</v>
          </cell>
        </row>
        <row r="179">
          <cell r="A179" t="str">
            <v>EU3</v>
          </cell>
          <cell r="BH179">
            <v>2.1598900628256E-2</v>
          </cell>
          <cell r="BJ179">
            <v>7.105269413793601E-5</v>
          </cell>
          <cell r="BL179">
            <v>0</v>
          </cell>
          <cell r="BO179">
            <v>0</v>
          </cell>
          <cell r="BP179">
            <v>0</v>
          </cell>
        </row>
        <row r="180">
          <cell r="A180" t="str">
            <v>EU3</v>
          </cell>
          <cell r="BH180">
            <v>0</v>
          </cell>
          <cell r="BJ180">
            <v>0</v>
          </cell>
          <cell r="BL180">
            <v>0</v>
          </cell>
          <cell r="BO180">
            <v>0</v>
          </cell>
          <cell r="BP180">
            <v>0</v>
          </cell>
        </row>
        <row r="181">
          <cell r="A181" t="str">
            <v>EU3</v>
          </cell>
          <cell r="BH181">
            <v>0</v>
          </cell>
          <cell r="BJ181">
            <v>0</v>
          </cell>
          <cell r="BL181">
            <v>0</v>
          </cell>
          <cell r="BO181">
            <v>0</v>
          </cell>
          <cell r="BP181">
            <v>0</v>
          </cell>
        </row>
        <row r="182">
          <cell r="A182" t="str">
            <v>EU3</v>
          </cell>
          <cell r="BH182">
            <v>0</v>
          </cell>
          <cell r="BJ182">
            <v>0</v>
          </cell>
          <cell r="BL182">
            <v>0</v>
          </cell>
          <cell r="BO182">
            <v>0</v>
          </cell>
          <cell r="BP182">
            <v>0</v>
          </cell>
        </row>
        <row r="183">
          <cell r="A183" t="str">
            <v>EU3</v>
          </cell>
          <cell r="BH183">
            <v>2.1598900628256E-2</v>
          </cell>
          <cell r="BJ183">
            <v>7.105269413793601E-5</v>
          </cell>
          <cell r="BL183">
            <v>0</v>
          </cell>
          <cell r="BO183">
            <v>0</v>
          </cell>
          <cell r="BP183">
            <v>0</v>
          </cell>
        </row>
        <row r="184">
          <cell r="A184" t="str">
            <v>EU3</v>
          </cell>
          <cell r="BH184">
            <v>0</v>
          </cell>
          <cell r="BJ184">
            <v>0</v>
          </cell>
          <cell r="BL184">
            <v>0</v>
          </cell>
          <cell r="BO184">
            <v>0</v>
          </cell>
          <cell r="BP184">
            <v>0</v>
          </cell>
        </row>
        <row r="185">
          <cell r="A185" t="str">
            <v>EU3</v>
          </cell>
          <cell r="BH185">
            <v>0</v>
          </cell>
          <cell r="BJ185">
            <v>0</v>
          </cell>
          <cell r="BL185">
            <v>0</v>
          </cell>
          <cell r="BO185">
            <v>0</v>
          </cell>
          <cell r="BP185">
            <v>0</v>
          </cell>
        </row>
        <row r="186">
          <cell r="A186" t="str">
            <v>EU3</v>
          </cell>
          <cell r="BH186">
            <v>0</v>
          </cell>
          <cell r="BJ186">
            <v>0</v>
          </cell>
          <cell r="BL186">
            <v>0</v>
          </cell>
          <cell r="BO186">
            <v>0</v>
          </cell>
          <cell r="BP186">
            <v>0</v>
          </cell>
        </row>
        <row r="187">
          <cell r="A187" t="str">
            <v>EU3</v>
          </cell>
          <cell r="AI187">
            <v>0</v>
          </cell>
          <cell r="AK187">
            <v>0</v>
          </cell>
          <cell r="AS187">
            <v>0</v>
          </cell>
          <cell r="AU187">
            <v>3.5040000000000002E-2</v>
          </cell>
          <cell r="BH187">
            <v>0</v>
          </cell>
          <cell r="BJ187">
            <v>1.42105388275872E-5</v>
          </cell>
          <cell r="BL187">
            <v>0</v>
          </cell>
          <cell r="BO187">
            <v>0</v>
          </cell>
          <cell r="BP187">
            <v>2.8032000000000001E-2</v>
          </cell>
        </row>
        <row r="188">
          <cell r="A188" t="str">
            <v>EU3</v>
          </cell>
          <cell r="BH188">
            <v>0</v>
          </cell>
          <cell r="BJ188">
            <v>0</v>
          </cell>
          <cell r="BL188">
            <v>0</v>
          </cell>
          <cell r="BO188">
            <v>0</v>
          </cell>
          <cell r="BP188">
            <v>0</v>
          </cell>
        </row>
        <row r="189">
          <cell r="A189" t="str">
            <v>EU4</v>
          </cell>
          <cell r="AI189">
            <v>1.1085310217891522</v>
          </cell>
          <cell r="AK189">
            <v>0.78362438676223489</v>
          </cell>
          <cell r="AS189">
            <v>9.625</v>
          </cell>
          <cell r="AU189">
            <v>4.9871249999999998</v>
          </cell>
          <cell r="AY189">
            <v>0.14650734117128902</v>
          </cell>
          <cell r="BA189">
            <v>0.15236763481814061</v>
          </cell>
          <cell r="BH189">
            <v>0.21979525236497544</v>
          </cell>
          <cell r="BJ189">
            <v>0.17889234129015111</v>
          </cell>
          <cell r="BL189">
            <v>2.0023676348181407</v>
          </cell>
          <cell r="BN189">
            <v>2.9301468234257803E-5</v>
          </cell>
          <cell r="BO189">
            <v>4.8125</v>
          </cell>
          <cell r="BP189">
            <v>3.9897</v>
          </cell>
        </row>
        <row r="190">
          <cell r="A190" t="str">
            <v>EU4</v>
          </cell>
          <cell r="BH190">
            <v>4.1037911193686404E-2</v>
          </cell>
          <cell r="BJ190">
            <v>1.3500011886207841E-4</v>
          </cell>
          <cell r="BL190">
            <v>0</v>
          </cell>
          <cell r="BO190">
            <v>0</v>
          </cell>
          <cell r="BP190">
            <v>0</v>
          </cell>
        </row>
        <row r="191">
          <cell r="A191" t="str">
            <v>EU4</v>
          </cell>
          <cell r="BH191">
            <v>4.1037911193686404E-2</v>
          </cell>
          <cell r="BJ191">
            <v>1.3500011886207841E-4</v>
          </cell>
          <cell r="BL191">
            <v>0</v>
          </cell>
          <cell r="BO191">
            <v>0</v>
          </cell>
          <cell r="BP191">
            <v>0</v>
          </cell>
        </row>
        <row r="192">
          <cell r="A192" t="str">
            <v>EU4</v>
          </cell>
          <cell r="BH192">
            <v>4.1037911193686404E-2</v>
          </cell>
          <cell r="BJ192">
            <v>1.3500011886207841E-4</v>
          </cell>
          <cell r="BL192">
            <v>0</v>
          </cell>
          <cell r="BO192">
            <v>0</v>
          </cell>
          <cell r="BP192">
            <v>0</v>
          </cell>
        </row>
        <row r="193">
          <cell r="A193" t="str">
            <v>EU4</v>
          </cell>
          <cell r="BH193">
            <v>4.1037911193686404E-2</v>
          </cell>
          <cell r="BJ193">
            <v>1.3500011886207841E-4</v>
          </cell>
          <cell r="BL193">
            <v>0</v>
          </cell>
          <cell r="BO193">
            <v>0</v>
          </cell>
          <cell r="BP193">
            <v>0</v>
          </cell>
        </row>
        <row r="194">
          <cell r="A194" t="str">
            <v>EU4</v>
          </cell>
          <cell r="AI194">
            <v>1.1085310217891522</v>
          </cell>
          <cell r="AK194">
            <v>0.78362438676223489</v>
          </cell>
          <cell r="AS194">
            <v>9.625</v>
          </cell>
          <cell r="AU194">
            <v>4.9871249999999998</v>
          </cell>
          <cell r="AY194">
            <v>0.14650734117128902</v>
          </cell>
          <cell r="BA194">
            <v>0.15236763481814061</v>
          </cell>
          <cell r="BH194">
            <v>0.21979525236497544</v>
          </cell>
          <cell r="BJ194">
            <v>0.17889234129015111</v>
          </cell>
          <cell r="BL194">
            <v>2.0023676348181407</v>
          </cell>
          <cell r="BN194">
            <v>2.9301468234257803E-5</v>
          </cell>
          <cell r="BO194">
            <v>4.8125</v>
          </cell>
          <cell r="BP194">
            <v>3.9897</v>
          </cell>
        </row>
        <row r="195">
          <cell r="A195" t="str">
            <v>EU4</v>
          </cell>
          <cell r="BH195">
            <v>4.1037911193686404E-2</v>
          </cell>
          <cell r="BJ195">
            <v>1.3500011886207841E-4</v>
          </cell>
          <cell r="BL195">
            <v>0</v>
          </cell>
          <cell r="BO195">
            <v>0</v>
          </cell>
          <cell r="BP195">
            <v>0</v>
          </cell>
        </row>
        <row r="196">
          <cell r="A196" t="str">
            <v>EU4</v>
          </cell>
          <cell r="BH196">
            <v>4.1037911193686404E-2</v>
          </cell>
          <cell r="BJ196">
            <v>1.3500011886207841E-4</v>
          </cell>
          <cell r="BL196">
            <v>0</v>
          </cell>
          <cell r="BO196">
            <v>0</v>
          </cell>
          <cell r="BP196">
            <v>0</v>
          </cell>
        </row>
        <row r="197">
          <cell r="A197" t="str">
            <v>EU4</v>
          </cell>
          <cell r="BH197">
            <v>4.1037911193686404E-2</v>
          </cell>
          <cell r="BJ197">
            <v>1.3500011886207841E-4</v>
          </cell>
          <cell r="BL197">
            <v>0</v>
          </cell>
          <cell r="BO197">
            <v>0</v>
          </cell>
          <cell r="BP197">
            <v>0</v>
          </cell>
        </row>
        <row r="198">
          <cell r="A198" t="str">
            <v>EU4</v>
          </cell>
          <cell r="BH198">
            <v>4.1037911193686404E-2</v>
          </cell>
          <cell r="BJ198">
            <v>1.3500011886207841E-4</v>
          </cell>
          <cell r="BL198">
            <v>0</v>
          </cell>
          <cell r="BO198">
            <v>0</v>
          </cell>
          <cell r="BP198">
            <v>0</v>
          </cell>
        </row>
        <row r="199">
          <cell r="A199" t="str">
            <v>EU4</v>
          </cell>
          <cell r="AI199">
            <v>1.1085310217891522</v>
          </cell>
          <cell r="AK199">
            <v>0.78362438676223489</v>
          </cell>
          <cell r="AS199">
            <v>9.625</v>
          </cell>
          <cell r="AU199">
            <v>4.9871249999999998</v>
          </cell>
          <cell r="AY199">
            <v>0.14650734117128902</v>
          </cell>
          <cell r="BA199">
            <v>0.15236763481814061</v>
          </cell>
          <cell r="BH199">
            <v>0.21979525236497544</v>
          </cell>
          <cell r="BJ199">
            <v>0.17889234129015111</v>
          </cell>
          <cell r="BL199">
            <v>2.0023676348181407</v>
          </cell>
          <cell r="BN199">
            <v>2.9301468234257803E-5</v>
          </cell>
          <cell r="BO199">
            <v>4.8125</v>
          </cell>
          <cell r="BP199">
            <v>3.9897</v>
          </cell>
        </row>
        <row r="200">
          <cell r="A200" t="str">
            <v>EU4</v>
          </cell>
          <cell r="BH200">
            <v>4.1037911193686404E-2</v>
          </cell>
          <cell r="BJ200">
            <v>1.3500011886207841E-4</v>
          </cell>
          <cell r="BL200">
            <v>0</v>
          </cell>
          <cell r="BO200">
            <v>0</v>
          </cell>
          <cell r="BP200">
            <v>0</v>
          </cell>
        </row>
        <row r="201">
          <cell r="A201" t="str">
            <v>EU4</v>
          </cell>
          <cell r="BH201">
            <v>4.1037911193686404E-2</v>
          </cell>
          <cell r="BJ201">
            <v>1.3500011886207841E-4</v>
          </cell>
          <cell r="BL201">
            <v>0</v>
          </cell>
          <cell r="BO201">
            <v>0</v>
          </cell>
          <cell r="BP201">
            <v>0</v>
          </cell>
        </row>
        <row r="202">
          <cell r="A202" t="str">
            <v>EU4</v>
          </cell>
          <cell r="BH202">
            <v>4.1037911193686404E-2</v>
          </cell>
          <cell r="BJ202">
            <v>1.3500011886207841E-4</v>
          </cell>
          <cell r="BL202">
            <v>0</v>
          </cell>
          <cell r="BO202">
            <v>0</v>
          </cell>
          <cell r="BP202">
            <v>0</v>
          </cell>
        </row>
        <row r="203">
          <cell r="A203" t="str">
            <v>EU4</v>
          </cell>
          <cell r="BH203">
            <v>4.1037911193686404E-2</v>
          </cell>
          <cell r="BJ203">
            <v>1.3500011886207841E-4</v>
          </cell>
          <cell r="BL203">
            <v>0</v>
          </cell>
          <cell r="BO203">
            <v>0</v>
          </cell>
          <cell r="BP203">
            <v>0</v>
          </cell>
        </row>
        <row r="204">
          <cell r="A204" t="str">
            <v>EU4</v>
          </cell>
          <cell r="AI204">
            <v>2.2215050536856765E-3</v>
          </cell>
          <cell r="AK204">
            <v>8.7069376306915233E-2</v>
          </cell>
          <cell r="AS204">
            <v>0</v>
          </cell>
          <cell r="AU204">
            <v>0.37537500000000007</v>
          </cell>
          <cell r="AY204">
            <v>0</v>
          </cell>
          <cell r="BA204">
            <v>0</v>
          </cell>
          <cell r="BH204">
            <v>8.8864048299110404E-2</v>
          </cell>
          <cell r="BJ204">
            <v>2.9233108445322247E-4</v>
          </cell>
          <cell r="BL204">
            <v>0</v>
          </cell>
          <cell r="BN204">
            <v>0</v>
          </cell>
          <cell r="BO204">
            <v>0</v>
          </cell>
          <cell r="BP204">
            <v>0.30030000000000007</v>
          </cell>
        </row>
        <row r="205">
          <cell r="A205" t="str">
            <v>EU4</v>
          </cell>
          <cell r="BH205">
            <v>8.8864048299110404E-2</v>
          </cell>
          <cell r="BJ205">
            <v>2.9233108445322247E-4</v>
          </cell>
          <cell r="BL205">
            <v>0</v>
          </cell>
          <cell r="BO205">
            <v>0</v>
          </cell>
          <cell r="BP205">
            <v>0</v>
          </cell>
        </row>
        <row r="206">
          <cell r="A206" t="str">
            <v>EU4</v>
          </cell>
          <cell r="BH206">
            <v>8.8864048299110404E-2</v>
          </cell>
          <cell r="BJ206">
            <v>2.9233108445322247E-4</v>
          </cell>
          <cell r="BL206">
            <v>0</v>
          </cell>
          <cell r="BO206">
            <v>0</v>
          </cell>
          <cell r="BP206">
            <v>0</v>
          </cell>
        </row>
        <row r="207">
          <cell r="A207" t="str">
            <v>EU4</v>
          </cell>
          <cell r="BH207">
            <v>8.8864048299110404E-2</v>
          </cell>
          <cell r="BJ207">
            <v>2.9233108445322247E-4</v>
          </cell>
          <cell r="BL207">
            <v>0</v>
          </cell>
          <cell r="BO207">
            <v>0</v>
          </cell>
          <cell r="BP207">
            <v>0</v>
          </cell>
        </row>
        <row r="208">
          <cell r="A208" t="str">
            <v>EU4</v>
          </cell>
          <cell r="AI208">
            <v>2.2215050536856765E-3</v>
          </cell>
          <cell r="AK208">
            <v>8.7069376306915233E-2</v>
          </cell>
          <cell r="AS208">
            <v>0</v>
          </cell>
          <cell r="AU208">
            <v>0.37537500000000007</v>
          </cell>
          <cell r="BH208">
            <v>8.8864048299110404E-2</v>
          </cell>
          <cell r="BJ208">
            <v>2.9233108445322247E-4</v>
          </cell>
          <cell r="BL208">
            <v>0</v>
          </cell>
          <cell r="BO208">
            <v>0</v>
          </cell>
          <cell r="BP208">
            <v>0.30030000000000007</v>
          </cell>
        </row>
        <row r="209">
          <cell r="A209" t="str">
            <v>EU4</v>
          </cell>
          <cell r="BH209">
            <v>8.8864048299110404E-2</v>
          </cell>
          <cell r="BJ209">
            <v>2.9233108445322247E-4</v>
          </cell>
          <cell r="BL209">
            <v>0</v>
          </cell>
          <cell r="BO209">
            <v>0</v>
          </cell>
          <cell r="BP209">
            <v>0</v>
          </cell>
        </row>
        <row r="210">
          <cell r="A210" t="str">
            <v>EU4</v>
          </cell>
          <cell r="BH210">
            <v>8.8864048299110404E-2</v>
          </cell>
          <cell r="BJ210">
            <v>2.9233108445322247E-4</v>
          </cell>
          <cell r="BL210">
            <v>0</v>
          </cell>
          <cell r="BO210">
            <v>0</v>
          </cell>
          <cell r="BP210">
            <v>0</v>
          </cell>
        </row>
        <row r="211">
          <cell r="A211" t="str">
            <v>EU4</v>
          </cell>
          <cell r="BH211">
            <v>8.8864048299110404E-2</v>
          </cell>
          <cell r="BJ211">
            <v>2.9233108445322247E-4</v>
          </cell>
          <cell r="BL211">
            <v>0</v>
          </cell>
          <cell r="BO211">
            <v>0</v>
          </cell>
          <cell r="BP211">
            <v>0</v>
          </cell>
        </row>
        <row r="212">
          <cell r="A212" t="str">
            <v>EU4</v>
          </cell>
          <cell r="AI212">
            <v>2.2215050536856765E-3</v>
          </cell>
          <cell r="AK212">
            <v>8.7069376306915233E-2</v>
          </cell>
          <cell r="AS212">
            <v>0</v>
          </cell>
          <cell r="AU212">
            <v>0.37537500000000007</v>
          </cell>
          <cell r="BH212">
            <v>8.8864048299110404E-2</v>
          </cell>
          <cell r="BJ212">
            <v>2.9233108445322247E-4</v>
          </cell>
          <cell r="BL212">
            <v>0</v>
          </cell>
          <cell r="BO212">
            <v>0</v>
          </cell>
          <cell r="BP212">
            <v>0.30030000000000007</v>
          </cell>
        </row>
        <row r="213">
          <cell r="A213" t="str">
            <v>EU4</v>
          </cell>
          <cell r="BH213">
            <v>8.8864048299110404E-2</v>
          </cell>
          <cell r="BJ213">
            <v>2.9233108445322247E-4</v>
          </cell>
          <cell r="BL213">
            <v>0</v>
          </cell>
          <cell r="BO213">
            <v>0</v>
          </cell>
          <cell r="BP213">
            <v>0</v>
          </cell>
        </row>
        <row r="214">
          <cell r="A214" t="str">
            <v>EU4</v>
          </cell>
          <cell r="BH214">
            <v>8.8864048299110404E-2</v>
          </cell>
          <cell r="BJ214">
            <v>2.9233108445322247E-4</v>
          </cell>
          <cell r="BL214">
            <v>0</v>
          </cell>
          <cell r="BO214">
            <v>0</v>
          </cell>
          <cell r="BP214">
            <v>0</v>
          </cell>
        </row>
        <row r="215">
          <cell r="A215" t="str">
            <v>EU4</v>
          </cell>
          <cell r="BH215">
            <v>8.8864048299110404E-2</v>
          </cell>
          <cell r="BJ215">
            <v>2.9233108445322247E-4</v>
          </cell>
          <cell r="BL215">
            <v>0</v>
          </cell>
          <cell r="BO215">
            <v>0</v>
          </cell>
          <cell r="BP215">
            <v>0</v>
          </cell>
        </row>
        <row r="216">
          <cell r="A216" t="str">
            <v>EU4</v>
          </cell>
          <cell r="AI216">
            <v>0</v>
          </cell>
          <cell r="AK216">
            <v>0</v>
          </cell>
          <cell r="AS216">
            <v>0</v>
          </cell>
          <cell r="AU216">
            <v>0</v>
          </cell>
          <cell r="AY216">
            <v>0</v>
          </cell>
          <cell r="BA216">
            <v>0</v>
          </cell>
          <cell r="BH216">
            <v>1.7279120502604797E-2</v>
          </cell>
          <cell r="BJ216">
            <v>5.6842155310348799E-5</v>
          </cell>
          <cell r="BL216">
            <v>0</v>
          </cell>
          <cell r="BN216">
            <v>0</v>
          </cell>
          <cell r="BO216">
            <v>0</v>
          </cell>
          <cell r="BP216">
            <v>0</v>
          </cell>
        </row>
        <row r="217">
          <cell r="A217" t="str">
            <v>EU4</v>
          </cell>
          <cell r="BH217">
            <v>0</v>
          </cell>
          <cell r="BJ217">
            <v>0</v>
          </cell>
          <cell r="BL217">
            <v>0</v>
          </cell>
          <cell r="BO217">
            <v>0</v>
          </cell>
          <cell r="BP217">
            <v>0</v>
          </cell>
        </row>
        <row r="218">
          <cell r="A218" t="str">
            <v>EU4</v>
          </cell>
          <cell r="BH218">
            <v>0</v>
          </cell>
          <cell r="BJ218">
            <v>0</v>
          </cell>
          <cell r="BL218">
            <v>0</v>
          </cell>
          <cell r="BO218">
            <v>0</v>
          </cell>
          <cell r="BP218">
            <v>0</v>
          </cell>
        </row>
        <row r="219">
          <cell r="A219" t="str">
            <v>EU4</v>
          </cell>
          <cell r="BH219">
            <v>0</v>
          </cell>
          <cell r="BJ219">
            <v>0</v>
          </cell>
          <cell r="BL219">
            <v>0</v>
          </cell>
          <cell r="BO219">
            <v>0</v>
          </cell>
          <cell r="BP219">
            <v>0</v>
          </cell>
        </row>
        <row r="220">
          <cell r="A220" t="str">
            <v>EU4</v>
          </cell>
          <cell r="BH220">
            <v>0</v>
          </cell>
          <cell r="BJ220">
            <v>0</v>
          </cell>
          <cell r="BL220">
            <v>0</v>
          </cell>
          <cell r="BO220">
            <v>0</v>
          </cell>
          <cell r="BP220">
            <v>0</v>
          </cell>
        </row>
        <row r="221">
          <cell r="A221" t="str">
            <v>EU4</v>
          </cell>
          <cell r="BH221">
            <v>1.7279120502604797E-2</v>
          </cell>
          <cell r="BJ221">
            <v>5.6842155310348799E-5</v>
          </cell>
          <cell r="BL221">
            <v>0</v>
          </cell>
          <cell r="BO221">
            <v>0</v>
          </cell>
          <cell r="BP221">
            <v>0</v>
          </cell>
        </row>
        <row r="222">
          <cell r="A222" t="str">
            <v>EU4</v>
          </cell>
          <cell r="BH222">
            <v>0</v>
          </cell>
          <cell r="BJ222">
            <v>0</v>
          </cell>
          <cell r="BL222">
            <v>0</v>
          </cell>
          <cell r="BO222">
            <v>0</v>
          </cell>
          <cell r="BP222">
            <v>0</v>
          </cell>
        </row>
        <row r="223">
          <cell r="A223" t="str">
            <v>EU4</v>
          </cell>
          <cell r="BH223">
            <v>0</v>
          </cell>
          <cell r="BJ223">
            <v>0</v>
          </cell>
          <cell r="BL223">
            <v>0</v>
          </cell>
          <cell r="BO223">
            <v>0</v>
          </cell>
          <cell r="BP223">
            <v>0</v>
          </cell>
        </row>
        <row r="224">
          <cell r="A224" t="str">
            <v>EU4</v>
          </cell>
          <cell r="BH224">
            <v>0</v>
          </cell>
          <cell r="BJ224">
            <v>0</v>
          </cell>
          <cell r="BL224">
            <v>0</v>
          </cell>
          <cell r="BO224">
            <v>0</v>
          </cell>
          <cell r="BP224">
            <v>0</v>
          </cell>
        </row>
        <row r="225">
          <cell r="A225" t="str">
            <v>EU4</v>
          </cell>
          <cell r="BH225">
            <v>0</v>
          </cell>
          <cell r="BJ225">
            <v>0</v>
          </cell>
          <cell r="BL225">
            <v>0</v>
          </cell>
          <cell r="BO225">
            <v>0</v>
          </cell>
          <cell r="BP225">
            <v>0</v>
          </cell>
        </row>
        <row r="226">
          <cell r="A226" t="str">
            <v>EU4</v>
          </cell>
          <cell r="BH226">
            <v>1.7279120502604797E-2</v>
          </cell>
          <cell r="BJ226">
            <v>5.6842155310348799E-5</v>
          </cell>
          <cell r="BL226">
            <v>0</v>
          </cell>
          <cell r="BO226">
            <v>0</v>
          </cell>
          <cell r="BP226">
            <v>0</v>
          </cell>
        </row>
        <row r="227">
          <cell r="A227" t="str">
            <v>EU4</v>
          </cell>
          <cell r="BH227">
            <v>0</v>
          </cell>
          <cell r="BJ227">
            <v>0</v>
          </cell>
          <cell r="BL227">
            <v>0</v>
          </cell>
          <cell r="BO227">
            <v>0</v>
          </cell>
          <cell r="BP227">
            <v>0</v>
          </cell>
        </row>
        <row r="228">
          <cell r="A228" t="str">
            <v>EU4</v>
          </cell>
          <cell r="BH228">
            <v>0</v>
          </cell>
          <cell r="BJ228">
            <v>0</v>
          </cell>
          <cell r="BL228">
            <v>0</v>
          </cell>
          <cell r="BO228">
            <v>0</v>
          </cell>
          <cell r="BP228">
            <v>0</v>
          </cell>
        </row>
        <row r="229">
          <cell r="A229" t="str">
            <v>EU4</v>
          </cell>
          <cell r="BH229">
            <v>0</v>
          </cell>
          <cell r="BJ229">
            <v>0</v>
          </cell>
          <cell r="BL229">
            <v>0</v>
          </cell>
          <cell r="BO229">
            <v>0</v>
          </cell>
          <cell r="BP229">
            <v>0</v>
          </cell>
        </row>
        <row r="230">
          <cell r="A230" t="str">
            <v>EU4</v>
          </cell>
          <cell r="BH230">
            <v>0</v>
          </cell>
          <cell r="BJ230">
            <v>0</v>
          </cell>
          <cell r="BL230">
            <v>0</v>
          </cell>
          <cell r="BO230">
            <v>0</v>
          </cell>
          <cell r="BP230">
            <v>0</v>
          </cell>
        </row>
        <row r="231">
          <cell r="A231" t="str">
            <v>EU4</v>
          </cell>
          <cell r="BH231">
            <v>1.7279120502604797E-2</v>
          </cell>
          <cell r="BJ231">
            <v>5.6842155310348799E-5</v>
          </cell>
          <cell r="BL231">
            <v>0</v>
          </cell>
          <cell r="BO231">
            <v>0</v>
          </cell>
          <cell r="BP231">
            <v>0</v>
          </cell>
        </row>
        <row r="232">
          <cell r="A232" t="str">
            <v>EU4</v>
          </cell>
          <cell r="BH232">
            <v>0</v>
          </cell>
          <cell r="BJ232">
            <v>0</v>
          </cell>
          <cell r="BL232">
            <v>0</v>
          </cell>
          <cell r="BO232">
            <v>0</v>
          </cell>
          <cell r="BP232">
            <v>0</v>
          </cell>
        </row>
        <row r="233">
          <cell r="A233" t="str">
            <v>EU4</v>
          </cell>
          <cell r="BH233">
            <v>0</v>
          </cell>
          <cell r="BJ233">
            <v>0</v>
          </cell>
          <cell r="BL233">
            <v>0</v>
          </cell>
          <cell r="BO233">
            <v>0</v>
          </cell>
          <cell r="BP233">
            <v>0</v>
          </cell>
        </row>
        <row r="234">
          <cell r="A234" t="str">
            <v>EU4</v>
          </cell>
          <cell r="BH234">
            <v>0</v>
          </cell>
          <cell r="BJ234">
            <v>0</v>
          </cell>
          <cell r="BL234">
            <v>0</v>
          </cell>
          <cell r="BO234">
            <v>0</v>
          </cell>
          <cell r="BP234">
            <v>0</v>
          </cell>
        </row>
        <row r="235">
          <cell r="A235" t="str">
            <v>EU4</v>
          </cell>
          <cell r="BH235">
            <v>0</v>
          </cell>
          <cell r="BJ235">
            <v>0</v>
          </cell>
          <cell r="BL235">
            <v>0</v>
          </cell>
          <cell r="BO235">
            <v>0</v>
          </cell>
          <cell r="BP235">
            <v>0</v>
          </cell>
        </row>
        <row r="236">
          <cell r="A236" t="str">
            <v>EU4</v>
          </cell>
          <cell r="AI236">
            <v>0</v>
          </cell>
          <cell r="AK236">
            <v>0</v>
          </cell>
          <cell r="AS236">
            <v>0</v>
          </cell>
          <cell r="AU236">
            <v>0</v>
          </cell>
          <cell r="AY236">
            <v>0</v>
          </cell>
          <cell r="BA236">
            <v>0</v>
          </cell>
          <cell r="BH236">
            <v>1.7279120502604797E-2</v>
          </cell>
          <cell r="BJ236">
            <v>5.6842155310348799E-5</v>
          </cell>
          <cell r="BL236">
            <v>0</v>
          </cell>
          <cell r="BN236">
            <v>0</v>
          </cell>
          <cell r="BO236">
            <v>0</v>
          </cell>
          <cell r="BP236">
            <v>0</v>
          </cell>
        </row>
        <row r="237">
          <cell r="A237" t="str">
            <v>EU4</v>
          </cell>
          <cell r="BH237">
            <v>0</v>
          </cell>
          <cell r="BJ237">
            <v>0</v>
          </cell>
          <cell r="BL237">
            <v>0</v>
          </cell>
          <cell r="BO237">
            <v>0</v>
          </cell>
          <cell r="BP237">
            <v>0</v>
          </cell>
        </row>
        <row r="238">
          <cell r="A238" t="str">
            <v>EU4</v>
          </cell>
          <cell r="BH238">
            <v>0</v>
          </cell>
          <cell r="BJ238">
            <v>0</v>
          </cell>
          <cell r="BL238">
            <v>0</v>
          </cell>
          <cell r="BO238">
            <v>0</v>
          </cell>
          <cell r="BP238">
            <v>0</v>
          </cell>
        </row>
        <row r="239">
          <cell r="A239" t="str">
            <v>EU4</v>
          </cell>
          <cell r="BH239">
            <v>0</v>
          </cell>
          <cell r="BJ239">
            <v>0</v>
          </cell>
          <cell r="BL239">
            <v>0</v>
          </cell>
          <cell r="BO239">
            <v>0</v>
          </cell>
          <cell r="BP239">
            <v>0</v>
          </cell>
        </row>
        <row r="240">
          <cell r="A240" t="str">
            <v>EU4</v>
          </cell>
          <cell r="BH240">
            <v>0</v>
          </cell>
          <cell r="BJ240">
            <v>0</v>
          </cell>
          <cell r="BL240">
            <v>0</v>
          </cell>
          <cell r="BO240">
            <v>0</v>
          </cell>
          <cell r="BP240">
            <v>0</v>
          </cell>
        </row>
        <row r="241">
          <cell r="A241" t="str">
            <v>EU4</v>
          </cell>
          <cell r="BH241">
            <v>1.7279120502604797E-2</v>
          </cell>
          <cell r="BJ241">
            <v>5.6842155310348799E-5</v>
          </cell>
          <cell r="BL241">
            <v>0</v>
          </cell>
          <cell r="BO241">
            <v>0</v>
          </cell>
          <cell r="BP241">
            <v>0</v>
          </cell>
        </row>
        <row r="242">
          <cell r="A242" t="str">
            <v>EU4</v>
          </cell>
          <cell r="BH242">
            <v>0</v>
          </cell>
          <cell r="BJ242">
            <v>0</v>
          </cell>
          <cell r="BL242">
            <v>0</v>
          </cell>
          <cell r="BO242">
            <v>0</v>
          </cell>
          <cell r="BP242">
            <v>0</v>
          </cell>
        </row>
        <row r="243">
          <cell r="A243" t="str">
            <v>EU4</v>
          </cell>
          <cell r="BH243">
            <v>0</v>
          </cell>
          <cell r="BJ243">
            <v>0</v>
          </cell>
          <cell r="BL243">
            <v>0</v>
          </cell>
          <cell r="BO243">
            <v>0</v>
          </cell>
          <cell r="BP243">
            <v>0</v>
          </cell>
        </row>
        <row r="244">
          <cell r="A244" t="str">
            <v>EU4</v>
          </cell>
          <cell r="BH244">
            <v>0</v>
          </cell>
          <cell r="BJ244">
            <v>0</v>
          </cell>
          <cell r="BL244">
            <v>0</v>
          </cell>
          <cell r="BO244">
            <v>0</v>
          </cell>
          <cell r="BP244">
            <v>0</v>
          </cell>
        </row>
        <row r="245">
          <cell r="A245" t="str">
            <v>EU4</v>
          </cell>
          <cell r="BH245">
            <v>0</v>
          </cell>
          <cell r="BJ245">
            <v>0</v>
          </cell>
          <cell r="BL245">
            <v>0</v>
          </cell>
          <cell r="BO245">
            <v>0</v>
          </cell>
          <cell r="BP245">
            <v>0</v>
          </cell>
        </row>
        <row r="246">
          <cell r="A246" t="str">
            <v>EU4</v>
          </cell>
          <cell r="BH246">
            <v>1.7279120502604797E-2</v>
          </cell>
          <cell r="BJ246">
            <v>5.6842155310348799E-5</v>
          </cell>
          <cell r="BL246">
            <v>0</v>
          </cell>
          <cell r="BO246">
            <v>0</v>
          </cell>
          <cell r="BP246">
            <v>0</v>
          </cell>
        </row>
        <row r="247">
          <cell r="A247" t="str">
            <v>EU4</v>
          </cell>
          <cell r="BH247">
            <v>0</v>
          </cell>
          <cell r="BJ247">
            <v>0</v>
          </cell>
          <cell r="BL247">
            <v>0</v>
          </cell>
          <cell r="BO247">
            <v>0</v>
          </cell>
          <cell r="BP247">
            <v>0</v>
          </cell>
        </row>
        <row r="248">
          <cell r="A248" t="str">
            <v>EU4</v>
          </cell>
          <cell r="BH248">
            <v>0</v>
          </cell>
          <cell r="BJ248">
            <v>0</v>
          </cell>
          <cell r="BL248">
            <v>0</v>
          </cell>
          <cell r="BO248">
            <v>0</v>
          </cell>
          <cell r="BP248">
            <v>0</v>
          </cell>
        </row>
        <row r="249">
          <cell r="A249" t="str">
            <v>EU4</v>
          </cell>
          <cell r="BH249">
            <v>0</v>
          </cell>
          <cell r="BJ249">
            <v>0</v>
          </cell>
          <cell r="BL249">
            <v>0</v>
          </cell>
          <cell r="BO249">
            <v>0</v>
          </cell>
          <cell r="BP249">
            <v>0</v>
          </cell>
        </row>
        <row r="250">
          <cell r="A250" t="str">
            <v>EU4</v>
          </cell>
          <cell r="BH250">
            <v>0</v>
          </cell>
          <cell r="BJ250">
            <v>0</v>
          </cell>
          <cell r="BL250">
            <v>0</v>
          </cell>
          <cell r="BO250">
            <v>0</v>
          </cell>
          <cell r="BP250">
            <v>0</v>
          </cell>
        </row>
        <row r="251">
          <cell r="A251" t="str">
            <v>EU4</v>
          </cell>
          <cell r="BH251">
            <v>1.7279120502604797E-2</v>
          </cell>
          <cell r="BJ251">
            <v>5.6842155310348799E-5</v>
          </cell>
          <cell r="BL251">
            <v>0</v>
          </cell>
          <cell r="BO251">
            <v>0</v>
          </cell>
          <cell r="BP251">
            <v>0</v>
          </cell>
        </row>
        <row r="252">
          <cell r="A252" t="str">
            <v>EU4</v>
          </cell>
          <cell r="BH252">
            <v>0</v>
          </cell>
          <cell r="BJ252">
            <v>0</v>
          </cell>
          <cell r="BL252">
            <v>0</v>
          </cell>
          <cell r="BO252">
            <v>0</v>
          </cell>
          <cell r="BP252">
            <v>0</v>
          </cell>
        </row>
        <row r="253">
          <cell r="A253" t="str">
            <v>EU4</v>
          </cell>
          <cell r="BH253">
            <v>0</v>
          </cell>
          <cell r="BJ253">
            <v>0</v>
          </cell>
          <cell r="BL253">
            <v>0</v>
          </cell>
          <cell r="BO253">
            <v>0</v>
          </cell>
          <cell r="BP253">
            <v>0</v>
          </cell>
        </row>
        <row r="254">
          <cell r="A254" t="str">
            <v>EU4</v>
          </cell>
          <cell r="BH254">
            <v>0</v>
          </cell>
          <cell r="BJ254">
            <v>0</v>
          </cell>
          <cell r="BL254">
            <v>0</v>
          </cell>
          <cell r="BO254">
            <v>0</v>
          </cell>
          <cell r="BP254">
            <v>0</v>
          </cell>
        </row>
        <row r="255">
          <cell r="A255" t="str">
            <v>EU4</v>
          </cell>
          <cell r="BH255">
            <v>0</v>
          </cell>
          <cell r="BJ255">
            <v>0</v>
          </cell>
          <cell r="BL255">
            <v>0</v>
          </cell>
          <cell r="BO255">
            <v>0</v>
          </cell>
          <cell r="BP255">
            <v>0</v>
          </cell>
        </row>
        <row r="256">
          <cell r="A256" t="str">
            <v>EU4</v>
          </cell>
          <cell r="BH256">
            <v>1.7279120502604797E-2</v>
          </cell>
          <cell r="BJ256">
            <v>5.6842155310348799E-5</v>
          </cell>
          <cell r="BL256">
            <v>0</v>
          </cell>
          <cell r="BO256">
            <v>0</v>
          </cell>
          <cell r="BP256">
            <v>0</v>
          </cell>
        </row>
        <row r="257">
          <cell r="A257" t="str">
            <v>EU4</v>
          </cell>
          <cell r="AI257">
            <v>0</v>
          </cell>
          <cell r="AK257">
            <v>0</v>
          </cell>
          <cell r="AS257">
            <v>0</v>
          </cell>
          <cell r="AU257">
            <v>0</v>
          </cell>
          <cell r="AY257">
            <v>0</v>
          </cell>
          <cell r="BA257">
            <v>0</v>
          </cell>
          <cell r="BH257">
            <v>0</v>
          </cell>
          <cell r="BJ257">
            <v>0</v>
          </cell>
          <cell r="BL257">
            <v>0</v>
          </cell>
          <cell r="BN257">
            <v>0</v>
          </cell>
          <cell r="BO257">
            <v>0</v>
          </cell>
          <cell r="BP257">
            <v>0</v>
          </cell>
        </row>
        <row r="258">
          <cell r="A258" t="str">
            <v>EU4</v>
          </cell>
          <cell r="BH258">
            <v>0</v>
          </cell>
          <cell r="BJ258">
            <v>0</v>
          </cell>
          <cell r="BL258">
            <v>0</v>
          </cell>
          <cell r="BO258">
            <v>0</v>
          </cell>
          <cell r="BP258">
            <v>0</v>
          </cell>
        </row>
        <row r="259">
          <cell r="A259" t="str">
            <v>EU4</v>
          </cell>
          <cell r="BH259">
            <v>0</v>
          </cell>
          <cell r="BJ259">
            <v>0</v>
          </cell>
          <cell r="BL259">
            <v>0</v>
          </cell>
          <cell r="BO259">
            <v>0</v>
          </cell>
          <cell r="BP259">
            <v>0</v>
          </cell>
        </row>
        <row r="260">
          <cell r="A260" t="str">
            <v>EU4</v>
          </cell>
          <cell r="BH260">
            <v>0</v>
          </cell>
          <cell r="BJ260">
            <v>0</v>
          </cell>
          <cell r="BL260">
            <v>0</v>
          </cell>
          <cell r="BO260">
            <v>0</v>
          </cell>
          <cell r="BP260">
            <v>0</v>
          </cell>
        </row>
        <row r="261">
          <cell r="A261" t="str">
            <v>EU4</v>
          </cell>
          <cell r="BH261">
            <v>1.7279120502604797E-2</v>
          </cell>
          <cell r="BJ261">
            <v>5.6842155310348799E-5</v>
          </cell>
          <cell r="BL261">
            <v>0</v>
          </cell>
          <cell r="BO261">
            <v>0</v>
          </cell>
          <cell r="BP261">
            <v>0</v>
          </cell>
        </row>
        <row r="262">
          <cell r="A262" t="str">
            <v>EU4</v>
          </cell>
          <cell r="BH262">
            <v>0</v>
          </cell>
          <cell r="BJ262">
            <v>0</v>
          </cell>
          <cell r="BL262">
            <v>0</v>
          </cell>
          <cell r="BO262">
            <v>0</v>
          </cell>
          <cell r="BP262">
            <v>0</v>
          </cell>
        </row>
        <row r="263">
          <cell r="A263" t="str">
            <v>EU4</v>
          </cell>
          <cell r="BH263">
            <v>0</v>
          </cell>
          <cell r="BJ263">
            <v>0</v>
          </cell>
          <cell r="BL263">
            <v>0</v>
          </cell>
          <cell r="BO263">
            <v>0</v>
          </cell>
          <cell r="BP263">
            <v>0</v>
          </cell>
        </row>
        <row r="264">
          <cell r="A264" t="str">
            <v>EU4</v>
          </cell>
          <cell r="BH264">
            <v>0</v>
          </cell>
          <cell r="BJ264">
            <v>0</v>
          </cell>
          <cell r="BL264">
            <v>0</v>
          </cell>
          <cell r="BO264">
            <v>0</v>
          </cell>
          <cell r="BP264">
            <v>0</v>
          </cell>
        </row>
        <row r="265">
          <cell r="A265" t="str">
            <v>EU4</v>
          </cell>
          <cell r="BH265">
            <v>0</v>
          </cell>
          <cell r="BJ265">
            <v>0</v>
          </cell>
          <cell r="BL265">
            <v>0</v>
          </cell>
          <cell r="BO265">
            <v>0</v>
          </cell>
          <cell r="BP265">
            <v>0</v>
          </cell>
        </row>
        <row r="266">
          <cell r="A266" t="str">
            <v>EU4</v>
          </cell>
          <cell r="BH266">
            <v>1.7279120502604797E-2</v>
          </cell>
          <cell r="BJ266">
            <v>5.6842155310348799E-5</v>
          </cell>
          <cell r="BL266">
            <v>0</v>
          </cell>
          <cell r="BO266">
            <v>0</v>
          </cell>
          <cell r="BP266">
            <v>0</v>
          </cell>
        </row>
        <row r="267">
          <cell r="A267" t="str">
            <v>EU4</v>
          </cell>
          <cell r="BH267">
            <v>0</v>
          </cell>
          <cell r="BJ267">
            <v>0</v>
          </cell>
          <cell r="BL267">
            <v>0</v>
          </cell>
          <cell r="BO267">
            <v>0</v>
          </cell>
          <cell r="BP267">
            <v>0</v>
          </cell>
        </row>
        <row r="268">
          <cell r="A268" t="str">
            <v>EU4</v>
          </cell>
          <cell r="BH268">
            <v>0</v>
          </cell>
          <cell r="BJ268">
            <v>0</v>
          </cell>
          <cell r="BL268">
            <v>0</v>
          </cell>
          <cell r="BO268">
            <v>0</v>
          </cell>
          <cell r="BP268">
            <v>0</v>
          </cell>
        </row>
        <row r="269">
          <cell r="A269" t="str">
            <v>EU4</v>
          </cell>
          <cell r="BH269">
            <v>0</v>
          </cell>
          <cell r="BJ269">
            <v>0</v>
          </cell>
          <cell r="BL269">
            <v>0</v>
          </cell>
          <cell r="BO269">
            <v>0</v>
          </cell>
          <cell r="BP269">
            <v>0</v>
          </cell>
        </row>
        <row r="270">
          <cell r="A270" t="str">
            <v>EU4</v>
          </cell>
          <cell r="BH270">
            <v>0</v>
          </cell>
          <cell r="BJ270">
            <v>0</v>
          </cell>
          <cell r="BL270">
            <v>0</v>
          </cell>
          <cell r="BO270">
            <v>0</v>
          </cell>
          <cell r="BP270">
            <v>0</v>
          </cell>
        </row>
        <row r="271">
          <cell r="A271" t="str">
            <v>EU4</v>
          </cell>
          <cell r="BH271">
            <v>1.7279120502604797E-2</v>
          </cell>
          <cell r="BJ271">
            <v>5.6842155310348799E-5</v>
          </cell>
          <cell r="BL271">
            <v>0</v>
          </cell>
          <cell r="BO271">
            <v>0</v>
          </cell>
          <cell r="BP271">
            <v>0</v>
          </cell>
        </row>
        <row r="272">
          <cell r="A272" t="str">
            <v>EU4</v>
          </cell>
          <cell r="BH272">
            <v>0</v>
          </cell>
          <cell r="BJ272">
            <v>0</v>
          </cell>
          <cell r="BL272">
            <v>0</v>
          </cell>
          <cell r="BO272">
            <v>0</v>
          </cell>
          <cell r="BP272">
            <v>0</v>
          </cell>
        </row>
        <row r="273">
          <cell r="A273" t="str">
            <v>EU4</v>
          </cell>
          <cell r="BH273">
            <v>0</v>
          </cell>
          <cell r="BJ273">
            <v>0</v>
          </cell>
          <cell r="BL273">
            <v>0</v>
          </cell>
          <cell r="BO273">
            <v>0</v>
          </cell>
          <cell r="BP273">
            <v>0</v>
          </cell>
        </row>
        <row r="274">
          <cell r="A274" t="str">
            <v>EU4</v>
          </cell>
          <cell r="BH274">
            <v>0</v>
          </cell>
          <cell r="BJ274">
            <v>0</v>
          </cell>
          <cell r="BL274">
            <v>0</v>
          </cell>
          <cell r="BO274">
            <v>0</v>
          </cell>
          <cell r="BP274">
            <v>0</v>
          </cell>
        </row>
        <row r="275">
          <cell r="A275" t="str">
            <v>EU4</v>
          </cell>
          <cell r="BH275">
            <v>0</v>
          </cell>
          <cell r="BJ275">
            <v>0</v>
          </cell>
          <cell r="BL275">
            <v>0</v>
          </cell>
          <cell r="BO275">
            <v>0</v>
          </cell>
          <cell r="BP275">
            <v>0</v>
          </cell>
        </row>
        <row r="276">
          <cell r="A276" t="str">
            <v>EU4</v>
          </cell>
          <cell r="AI276">
            <v>0</v>
          </cell>
          <cell r="AK276">
            <v>0</v>
          </cell>
          <cell r="AS276">
            <v>0</v>
          </cell>
          <cell r="AU276">
            <v>3.5040000000000002E-2</v>
          </cell>
          <cell r="BH276">
            <v>0</v>
          </cell>
          <cell r="BJ276">
            <v>2.8421077655174399E-5</v>
          </cell>
          <cell r="BL276">
            <v>0</v>
          </cell>
          <cell r="BO276">
            <v>0</v>
          </cell>
          <cell r="BP276">
            <v>2.8032000000000001E-2</v>
          </cell>
        </row>
        <row r="277">
          <cell r="A277" t="str">
            <v>EU4</v>
          </cell>
          <cell r="BH277">
            <v>0</v>
          </cell>
          <cell r="BJ277">
            <v>0</v>
          </cell>
          <cell r="BL277">
            <v>0</v>
          </cell>
          <cell r="BO277">
            <v>0</v>
          </cell>
          <cell r="BP277">
            <v>0</v>
          </cell>
        </row>
        <row r="278">
          <cell r="A278" t="str">
            <v>EU4</v>
          </cell>
          <cell r="BH278">
            <v>0</v>
          </cell>
          <cell r="BJ278">
            <v>0</v>
          </cell>
          <cell r="BL278">
            <v>0</v>
          </cell>
          <cell r="BO278">
            <v>0</v>
          </cell>
          <cell r="BP278">
            <v>0</v>
          </cell>
        </row>
        <row r="279">
          <cell r="A279" t="str">
            <v>EU4</v>
          </cell>
          <cell r="BH279">
            <v>0</v>
          </cell>
          <cell r="BJ279">
            <v>0</v>
          </cell>
          <cell r="BL279">
            <v>0</v>
          </cell>
          <cell r="BO279">
            <v>0</v>
          </cell>
          <cell r="BP279">
            <v>0</v>
          </cell>
        </row>
        <row r="280">
          <cell r="A280" t="str">
            <v>EU4</v>
          </cell>
          <cell r="BH280">
            <v>0</v>
          </cell>
          <cell r="BJ280">
            <v>2.8421077655174399E-5</v>
          </cell>
          <cell r="BL280">
            <v>0</v>
          </cell>
          <cell r="BO280">
            <v>0</v>
          </cell>
          <cell r="BP280">
            <v>0</v>
          </cell>
        </row>
        <row r="281">
          <cell r="A281" t="str">
            <v>EU4</v>
          </cell>
          <cell r="BH281">
            <v>0</v>
          </cell>
          <cell r="BJ281">
            <v>0</v>
          </cell>
          <cell r="BL281">
            <v>0</v>
          </cell>
          <cell r="BO281">
            <v>0</v>
          </cell>
          <cell r="BP281">
            <v>0</v>
          </cell>
        </row>
        <row r="282">
          <cell r="A282" t="str">
            <v>EU4</v>
          </cell>
          <cell r="BH282">
            <v>0</v>
          </cell>
          <cell r="BJ282">
            <v>0</v>
          </cell>
          <cell r="BL282">
            <v>0</v>
          </cell>
          <cell r="BO282">
            <v>0</v>
          </cell>
          <cell r="BP282">
            <v>0</v>
          </cell>
        </row>
        <row r="283">
          <cell r="A283" t="str">
            <v>EU4</v>
          </cell>
          <cell r="BH283">
            <v>0</v>
          </cell>
          <cell r="BJ283">
            <v>0</v>
          </cell>
          <cell r="BL283">
            <v>0</v>
          </cell>
          <cell r="BO283">
            <v>0</v>
          </cell>
          <cell r="BP283">
            <v>0</v>
          </cell>
        </row>
        <row r="284">
          <cell r="A284" t="str">
            <v>EU4</v>
          </cell>
          <cell r="AI284">
            <v>5.8188231955066921E-2</v>
          </cell>
          <cell r="AK284">
            <v>0.51083362141491417</v>
          </cell>
          <cell r="AS284">
            <v>3.9000000000000004</v>
          </cell>
          <cell r="AU284">
            <v>3.3666666666666667</v>
          </cell>
          <cell r="AY284">
            <v>2.8400080278731244E-2</v>
          </cell>
          <cell r="BA284">
            <v>2.9536083489880502E-2</v>
          </cell>
          <cell r="BH284">
            <v>7.1671324805750988E-2</v>
          </cell>
          <cell r="BJ284">
            <v>3.0768413730926661E-2</v>
          </cell>
          <cell r="BL284">
            <v>2.9536083489880502E-2</v>
          </cell>
          <cell r="BN284">
            <v>5.6800160557462497E-6</v>
          </cell>
          <cell r="BO284">
            <v>1.9500000000000002</v>
          </cell>
          <cell r="BP284">
            <v>2.6933333333333334</v>
          </cell>
        </row>
        <row r="285">
          <cell r="A285" t="str">
            <v>EU4</v>
          </cell>
          <cell r="BH285">
            <v>4.1037911193686404E-2</v>
          </cell>
          <cell r="BJ285">
            <v>1.3500011886207841E-4</v>
          </cell>
          <cell r="BL285">
            <v>0</v>
          </cell>
          <cell r="BO285">
            <v>0</v>
          </cell>
          <cell r="BP285">
            <v>0</v>
          </cell>
        </row>
        <row r="286">
          <cell r="A286" t="str">
            <v>EU4</v>
          </cell>
          <cell r="BH286">
            <v>4.1037911193686404E-2</v>
          </cell>
          <cell r="BJ286">
            <v>1.3500011886207841E-4</v>
          </cell>
          <cell r="BL286">
            <v>0</v>
          </cell>
          <cell r="BO286">
            <v>0</v>
          </cell>
          <cell r="BP286">
            <v>0</v>
          </cell>
        </row>
        <row r="287">
          <cell r="A287" t="str">
            <v>EU4</v>
          </cell>
          <cell r="AI287">
            <v>5.8188231955066921E-2</v>
          </cell>
          <cell r="AK287">
            <v>0.51083362141491417</v>
          </cell>
          <cell r="AS287">
            <v>3.9000000000000004</v>
          </cell>
          <cell r="AU287">
            <v>3.3666666666666667</v>
          </cell>
          <cell r="AY287">
            <v>2.8400080278731244E-2</v>
          </cell>
          <cell r="BA287">
            <v>2.9536083489880502E-2</v>
          </cell>
          <cell r="BH287">
            <v>4.9755281120337377E-2</v>
          </cell>
          <cell r="BJ287">
            <v>3.0768413730926661E-2</v>
          </cell>
          <cell r="BL287">
            <v>2.9536083489880502E-2</v>
          </cell>
          <cell r="BN287">
            <v>5.6800160557462497E-6</v>
          </cell>
          <cell r="BO287">
            <v>1.9500000000000002</v>
          </cell>
          <cell r="BP287">
            <v>2.6933333333333334</v>
          </cell>
        </row>
        <row r="288">
          <cell r="A288" t="str">
            <v>EU4</v>
          </cell>
          <cell r="BH288">
            <v>4.1037911193686404E-2</v>
          </cell>
          <cell r="BJ288">
            <v>1.3500011886207841E-4</v>
          </cell>
          <cell r="BL288">
            <v>0</v>
          </cell>
          <cell r="BO288">
            <v>0</v>
          </cell>
          <cell r="BP288">
            <v>0</v>
          </cell>
        </row>
        <row r="289">
          <cell r="A289" t="str">
            <v>EU4</v>
          </cell>
          <cell r="BH289">
            <v>4.1037911193686404E-2</v>
          </cell>
          <cell r="BJ289">
            <v>1.3500011886207841E-4</v>
          </cell>
          <cell r="BL289">
            <v>0</v>
          </cell>
          <cell r="BO289">
            <v>0</v>
          </cell>
          <cell r="BP289">
            <v>0</v>
          </cell>
        </row>
        <row r="290">
          <cell r="A290" t="str">
            <v>EU4</v>
          </cell>
          <cell r="AI290">
            <v>5.8188231955066921E-2</v>
          </cell>
          <cell r="AK290">
            <v>0.51083362141491417</v>
          </cell>
          <cell r="AS290">
            <v>3.9000000000000004</v>
          </cell>
          <cell r="AU290">
            <v>3.3666666666666667</v>
          </cell>
          <cell r="AY290">
            <v>2.8400080278731244E-2</v>
          </cell>
          <cell r="BA290">
            <v>2.9536083489880502E-2</v>
          </cell>
          <cell r="BH290">
            <v>7.1671324805750988E-2</v>
          </cell>
          <cell r="BJ290">
            <v>3.0768413730926661E-2</v>
          </cell>
          <cell r="BL290">
            <v>2.9536083489880502E-2</v>
          </cell>
          <cell r="BN290">
            <v>5.6800160557462497E-6</v>
          </cell>
          <cell r="BO290">
            <v>1.9500000000000002</v>
          </cell>
          <cell r="BP290">
            <v>2.6933333333333334</v>
          </cell>
        </row>
        <row r="291">
          <cell r="A291" t="str">
            <v>EU4</v>
          </cell>
          <cell r="BO291">
            <v>0</v>
          </cell>
          <cell r="BP291">
            <v>0</v>
          </cell>
        </row>
        <row r="292">
          <cell r="A292" t="str">
            <v>EU4</v>
          </cell>
          <cell r="BO292">
            <v>0</v>
          </cell>
          <cell r="BP292">
            <v>0</v>
          </cell>
        </row>
        <row r="293">
          <cell r="A293" t="str">
            <v>EU22</v>
          </cell>
          <cell r="AI293">
            <v>0</v>
          </cell>
          <cell r="AS293">
            <v>0</v>
          </cell>
          <cell r="AU293">
            <v>0</v>
          </cell>
          <cell r="BH293">
            <v>8.6395602513023983E-3</v>
          </cell>
          <cell r="BJ293">
            <v>2.8421077655174399E-5</v>
          </cell>
          <cell r="BL293">
            <v>0</v>
          </cell>
          <cell r="BO293">
            <v>0</v>
          </cell>
          <cell r="BP293">
            <v>0</v>
          </cell>
        </row>
        <row r="294">
          <cell r="A294" t="str">
            <v>EU22</v>
          </cell>
          <cell r="AI294">
            <v>0</v>
          </cell>
          <cell r="AS294">
            <v>0</v>
          </cell>
          <cell r="AU294">
            <v>0</v>
          </cell>
          <cell r="BH294">
            <v>8.6395602513023983E-3</v>
          </cell>
          <cell r="BJ294">
            <v>2.8421077655174399E-5</v>
          </cell>
          <cell r="BL294">
            <v>0</v>
          </cell>
          <cell r="BO294">
            <v>0</v>
          </cell>
          <cell r="BP294">
            <v>0</v>
          </cell>
        </row>
        <row r="295">
          <cell r="A295" t="str">
            <v>EU22</v>
          </cell>
          <cell r="AI295">
            <v>0</v>
          </cell>
          <cell r="AS295">
            <v>0</v>
          </cell>
          <cell r="AU295">
            <v>0</v>
          </cell>
          <cell r="BH295">
            <v>8.6395602513023983E-3</v>
          </cell>
          <cell r="BJ295">
            <v>2.8421077655174399E-5</v>
          </cell>
          <cell r="BL295">
            <v>0</v>
          </cell>
          <cell r="BO295">
            <v>0</v>
          </cell>
          <cell r="BP295">
            <v>0</v>
          </cell>
        </row>
        <row r="296">
          <cell r="A296" t="str">
            <v>EU22</v>
          </cell>
          <cell r="AI296">
            <v>0</v>
          </cell>
          <cell r="AS296">
            <v>0</v>
          </cell>
          <cell r="AU296">
            <v>0</v>
          </cell>
          <cell r="BH296">
            <v>8.6395602513023983E-3</v>
          </cell>
          <cell r="BJ296">
            <v>2.8421077655174399E-5</v>
          </cell>
          <cell r="BL296">
            <v>0</v>
          </cell>
          <cell r="BO296">
            <v>0</v>
          </cell>
          <cell r="BP296">
            <v>0</v>
          </cell>
        </row>
        <row r="297">
          <cell r="A297" t="str">
            <v>EU5</v>
          </cell>
          <cell r="AI297">
            <v>0.17456469586520076</v>
          </cell>
          <cell r="AK297">
            <v>1.5325008642447426</v>
          </cell>
          <cell r="AS297">
            <v>11.700000000000001</v>
          </cell>
          <cell r="AU297">
            <v>10.1</v>
          </cell>
          <cell r="AY297">
            <v>8.5200240836193736E-2</v>
          </cell>
          <cell r="BA297">
            <v>8.8608250469641506E-2</v>
          </cell>
          <cell r="BH297">
            <v>0.11781892159010095</v>
          </cell>
          <cell r="BJ297">
            <v>9.1985504069159271E-2</v>
          </cell>
          <cell r="BL297">
            <v>8.8608250469641506E-2</v>
          </cell>
          <cell r="BN297">
            <v>1.7040048167238748E-5</v>
          </cell>
          <cell r="BO297">
            <v>5.8500000000000005</v>
          </cell>
          <cell r="BP297">
            <v>8.08</v>
          </cell>
        </row>
        <row r="298">
          <cell r="A298" t="str">
            <v>EU5</v>
          </cell>
          <cell r="BH298">
            <v>2.59186807539072E-2</v>
          </cell>
          <cell r="BJ298">
            <v>8.5263232965523215E-5</v>
          </cell>
          <cell r="BL298">
            <v>0</v>
          </cell>
          <cell r="BO298">
            <v>0</v>
          </cell>
          <cell r="BP298">
            <v>0</v>
          </cell>
        </row>
        <row r="299">
          <cell r="A299" t="str">
            <v>EU5</v>
          </cell>
          <cell r="BH299">
            <v>3.6718131068035197E-2</v>
          </cell>
          <cell r="BJ299">
            <v>1.2078958003449121E-4</v>
          </cell>
          <cell r="BL299">
            <v>0</v>
          </cell>
          <cell r="BO299">
            <v>0</v>
          </cell>
          <cell r="BP299">
            <v>0</v>
          </cell>
        </row>
        <row r="300">
          <cell r="A300" t="str">
            <v>EU5</v>
          </cell>
          <cell r="BH300">
            <v>3.6718131068035197E-2</v>
          </cell>
          <cell r="BJ300">
            <v>1.2078958003449121E-4</v>
          </cell>
          <cell r="BL300">
            <v>0</v>
          </cell>
          <cell r="BO300">
            <v>0</v>
          </cell>
          <cell r="BP300">
            <v>0</v>
          </cell>
        </row>
        <row r="301">
          <cell r="A301" t="str">
            <v>EU5</v>
          </cell>
          <cell r="BH301">
            <v>2.59186807539072E-2</v>
          </cell>
          <cell r="BJ301">
            <v>8.5263232965523215E-5</v>
          </cell>
          <cell r="BL301">
            <v>0</v>
          </cell>
          <cell r="BO301">
            <v>0</v>
          </cell>
          <cell r="BP301">
            <v>0</v>
          </cell>
        </row>
        <row r="302">
          <cell r="A302" t="str">
            <v>EU5</v>
          </cell>
          <cell r="BH302">
            <v>2.59186807539072E-2</v>
          </cell>
          <cell r="BJ302">
            <v>8.5263232965523215E-5</v>
          </cell>
          <cell r="BL302">
            <v>0</v>
          </cell>
          <cell r="BO302">
            <v>0</v>
          </cell>
          <cell r="BP302">
            <v>0</v>
          </cell>
        </row>
        <row r="303">
          <cell r="A303" t="str">
            <v>EU5</v>
          </cell>
          <cell r="AI303">
            <v>0</v>
          </cell>
          <cell r="AK303">
            <v>0</v>
          </cell>
          <cell r="AS303">
            <v>0</v>
          </cell>
          <cell r="AU303">
            <v>0</v>
          </cell>
          <cell r="AY303">
            <v>0</v>
          </cell>
          <cell r="BA303">
            <v>0</v>
          </cell>
          <cell r="BH303">
            <v>4.3197801256511991E-3</v>
          </cell>
          <cell r="BJ303">
            <v>1.42105388275872E-5</v>
          </cell>
          <cell r="BL303">
            <v>0</v>
          </cell>
          <cell r="BN303">
            <v>0</v>
          </cell>
          <cell r="BO303">
            <v>0</v>
          </cell>
          <cell r="BP303">
            <v>0</v>
          </cell>
        </row>
        <row r="304">
          <cell r="A304" t="str">
            <v>EU5</v>
          </cell>
          <cell r="AI304">
            <v>0</v>
          </cell>
          <cell r="AK304">
            <v>0</v>
          </cell>
          <cell r="AS304">
            <v>0</v>
          </cell>
          <cell r="AU304">
            <v>0</v>
          </cell>
          <cell r="AY304">
            <v>0</v>
          </cell>
          <cell r="BA304">
            <v>0</v>
          </cell>
          <cell r="BH304">
            <v>1.2527362364388481E-2</v>
          </cell>
          <cell r="BJ304">
            <v>4.1210562600002887E-5</v>
          </cell>
          <cell r="BL304">
            <v>0</v>
          </cell>
          <cell r="BN304">
            <v>0</v>
          </cell>
          <cell r="BO304">
            <v>0</v>
          </cell>
          <cell r="BP304">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OC LRP"/>
      <sheetName val="NM LRP"/>
      <sheetName val="RA LRP"/>
      <sheetName val="OC Combustion"/>
      <sheetName val="Model"/>
      <sheetName val="Actuals_NOxCO"/>
      <sheetName val="Summary"/>
      <sheetName val="OC NOx"/>
      <sheetName val="OC CO"/>
      <sheetName val="RA emissions - POU"/>
      <sheetName val="RA-CO TitV Scenarios"/>
      <sheetName val="RA-CO years"/>
      <sheetName val="RA-NOX years"/>
      <sheetName val="RA emissions - CO"/>
      <sheetName val="CO Scenarios"/>
      <sheetName val="Pareto"/>
      <sheetName val="RA emissions - NOX"/>
      <sheetName val="Opens"/>
      <sheetName val="EGen"/>
      <sheetName val="Assumptions1"/>
      <sheetName val="Sheet1"/>
      <sheetName val="Revision"/>
      <sheetName val="Sheet2"/>
      <sheetName val="Potential Projects"/>
      <sheetName val="Higgs Data"/>
      <sheetName val="Assumptions Legal"/>
    </sheetNames>
    <sheetDataSet>
      <sheetData sheetId="0">
        <row r="18">
          <cell r="B18">
            <v>1</v>
          </cell>
        </row>
      </sheetData>
      <sheetData sheetId="1"/>
      <sheetData sheetId="2"/>
      <sheetData sheetId="3"/>
      <sheetData sheetId="4"/>
      <sheetData sheetId="5">
        <row r="3">
          <cell r="I3">
            <v>1.1499999999999999</v>
          </cell>
        </row>
        <row r="4">
          <cell r="I4">
            <v>1.5</v>
          </cell>
        </row>
      </sheetData>
      <sheetData sheetId="6"/>
      <sheetData sheetId="7"/>
      <sheetData sheetId="8"/>
      <sheetData sheetId="9"/>
      <sheetData sheetId="10"/>
      <sheetData sheetId="11" refreshError="1"/>
      <sheetData sheetId="12" refreshError="1"/>
      <sheetData sheetId="13" refreshError="1"/>
      <sheetData sheetId="14"/>
      <sheetData sheetId="15" refreshError="1"/>
      <sheetData sheetId="16">
        <row r="29">
          <cell r="B29">
            <v>0.7</v>
          </cell>
        </row>
      </sheetData>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3" Type="http://schemas.openxmlformats.org/officeDocument/2006/relationships/hyperlink" Target="http://toolkit.pops.int/publish/Downloads/01-UNEP-POPS-TOOLKIT-2012-En.pdf" TargetMode="External"/><Relationship Id="rId2" Type="http://schemas.openxmlformats.org/officeDocument/2006/relationships/hyperlink" Target="https://publications.jrc.ec.europa.eu/repository/bitstream/JRC69967/lfna25521enn.pdf" TargetMode="External"/><Relationship Id="rId1" Type="http://schemas.openxmlformats.org/officeDocument/2006/relationships/hyperlink" Target="https://www.aqmd.gov/docs/default-source/planning/risk-assessment/gerdau/final-approved-hra-(jan-2015).pdf?sfvrsn=2" TargetMode="External"/><Relationship Id="rId4" Type="http://schemas.openxmlformats.org/officeDocument/2006/relationships/printerSettings" Target="../printerSettings/printerSettings9.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2.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3.epa.gov/ttn/chief/ap42/ch07/final/ch07s01.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3954-A76A-4741-8F3E-3D5015A7D821}">
  <sheetPr>
    <tabColor rgb="FF00B050"/>
  </sheetPr>
  <dimension ref="A23:Y474"/>
  <sheetViews>
    <sheetView workbookViewId="0"/>
  </sheetViews>
  <sheetFormatPr baseColWidth="10" defaultColWidth="8.83203125" defaultRowHeight="16" x14ac:dyDescent="0.2"/>
  <cols>
    <col min="1" max="1" width="21" customWidth="1"/>
    <col min="2" max="3" width="10.6640625" customWidth="1"/>
    <col min="13" max="13" width="13.6640625" customWidth="1"/>
    <col min="14" max="14" width="53.33203125" bestFit="1" customWidth="1"/>
  </cols>
  <sheetData>
    <row r="23" spans="1:24" x14ac:dyDescent="0.2">
      <c r="A23" t="s">
        <v>448</v>
      </c>
      <c r="B23" t="s">
        <v>449</v>
      </c>
      <c r="I23" t="s">
        <v>402</v>
      </c>
      <c r="J23" t="s">
        <v>403</v>
      </c>
    </row>
    <row r="24" spans="1:24" x14ac:dyDescent="0.2">
      <c r="A24" t="str">
        <f>Tabl_B1_Scrap!C$4</f>
        <v>EU-09sp</v>
      </c>
      <c r="B24" t="str">
        <f>Tabl_B1_Scrap!A65</f>
        <v>7439-96-5</v>
      </c>
      <c r="D24">
        <v>0</v>
      </c>
      <c r="E24">
        <f>Tabl_B1_Scrap!D65</f>
        <v>6.7799999999999989E-4</v>
      </c>
      <c r="F24">
        <f>E24</f>
        <v>6.7799999999999989E-4</v>
      </c>
      <c r="G24" t="s">
        <v>401</v>
      </c>
      <c r="I24">
        <f>Tabl_B1_Scrap!E65</f>
        <v>1.6746600000000011E-2</v>
      </c>
      <c r="J24">
        <f>Tabl_B1_Scrap!F65</f>
        <v>2.5764000000000017E-4</v>
      </c>
      <c r="M24" t="str">
        <f>Tabl_B1_Scrap!C4</f>
        <v>EU-09sp</v>
      </c>
      <c r="N24" t="s">
        <v>417</v>
      </c>
      <c r="O24" t="s">
        <v>413</v>
      </c>
      <c r="P24" t="s">
        <v>412</v>
      </c>
      <c r="Q24" t="str">
        <f>Tabl_B1_Scrap!C5</f>
        <v>BH01</v>
      </c>
      <c r="R24" s="169" t="s">
        <v>441</v>
      </c>
      <c r="S24" s="170" t="s">
        <v>442</v>
      </c>
      <c r="T24" s="171">
        <v>416</v>
      </c>
      <c r="U24" s="172">
        <v>520</v>
      </c>
      <c r="V24" s="173"/>
      <c r="W24" s="171">
        <v>8</v>
      </c>
      <c r="X24" s="172">
        <v>8</v>
      </c>
    </row>
    <row r="25" spans="1:24" x14ac:dyDescent="0.2">
      <c r="A25" t="str">
        <f>Tabl_B1_Scrap!C$4</f>
        <v>EU-09sp</v>
      </c>
      <c r="B25" t="str">
        <f>Tabl_B1_Scrap!A66</f>
        <v>7440-50-8</v>
      </c>
      <c r="D25">
        <v>0</v>
      </c>
      <c r="E25">
        <f>Tabl_B1_Scrap!D66</f>
        <v>1.6800000000000002E-4</v>
      </c>
      <c r="F25">
        <f t="shared" ref="F25:F29" si="0">E25</f>
        <v>1.6800000000000002E-4</v>
      </c>
      <c r="G25" t="s">
        <v>401</v>
      </c>
      <c r="I25">
        <f>Tabl_B1_Scrap!E66</f>
        <v>4.1496000000000033E-3</v>
      </c>
      <c r="J25">
        <f>Tabl_B1_Scrap!F66</f>
        <v>6.3840000000000053E-5</v>
      </c>
    </row>
    <row r="26" spans="1:24" x14ac:dyDescent="0.2">
      <c r="A26" t="str">
        <f>Tabl_B1_Scrap!C$4</f>
        <v>EU-09sp</v>
      </c>
      <c r="B26" t="str">
        <f>Tabl_B1_Scrap!A67</f>
        <v>18540-29-9</v>
      </c>
      <c r="D26">
        <v>0</v>
      </c>
      <c r="E26">
        <f>Tabl_B1_Scrap!D67</f>
        <v>8.9999999999999992E-5</v>
      </c>
      <c r="F26">
        <f t="shared" si="0"/>
        <v>8.9999999999999992E-5</v>
      </c>
      <c r="G26" t="s">
        <v>401</v>
      </c>
      <c r="I26">
        <f>Tabl_B1_Scrap!E67</f>
        <v>2.2230000000000015E-3</v>
      </c>
      <c r="J26">
        <f>Tabl_B1_Scrap!F67</f>
        <v>3.4200000000000025E-5</v>
      </c>
    </row>
    <row r="27" spans="1:24" x14ac:dyDescent="0.2">
      <c r="A27" t="str">
        <f>Tabl_B1_Scrap!C$4</f>
        <v>EU-09sp</v>
      </c>
      <c r="B27">
        <f>Tabl_B1_Scrap!A68</f>
        <v>365</v>
      </c>
      <c r="D27">
        <v>0</v>
      </c>
      <c r="E27">
        <f>Tabl_B1_Scrap!D68</f>
        <v>4.8000000000000001E-5</v>
      </c>
      <c r="F27">
        <f t="shared" si="0"/>
        <v>4.8000000000000001E-5</v>
      </c>
      <c r="G27" t="s">
        <v>401</v>
      </c>
      <c r="I27">
        <f>Tabl_B1_Scrap!E68</f>
        <v>1.1856000000000008E-3</v>
      </c>
      <c r="J27">
        <f>Tabl_B1_Scrap!F68</f>
        <v>1.8240000000000015E-5</v>
      </c>
    </row>
    <row r="28" spans="1:24" x14ac:dyDescent="0.2">
      <c r="A28" t="str">
        <f>Tabl_B1_Scrap!C$4</f>
        <v>EU-09sp</v>
      </c>
      <c r="B28" t="str">
        <f>Tabl_B1_Scrap!A69</f>
        <v>7440-62-2</v>
      </c>
      <c r="D28">
        <v>0</v>
      </c>
      <c r="E28">
        <f>Tabl_B1_Scrap!D69</f>
        <v>3.0000000000000001E-6</v>
      </c>
      <c r="F28">
        <f t="shared" si="0"/>
        <v>3.0000000000000001E-6</v>
      </c>
      <c r="G28" t="s">
        <v>401</v>
      </c>
      <c r="I28">
        <f>Tabl_B1_Scrap!E69</f>
        <v>7.4100000000000053E-5</v>
      </c>
      <c r="J28">
        <f>Tabl_B1_Scrap!F69</f>
        <v>1.1400000000000009E-6</v>
      </c>
    </row>
    <row r="29" spans="1:24" x14ac:dyDescent="0.2">
      <c r="A29" t="str">
        <f>Tabl_B1_Scrap!C$4</f>
        <v>EU-09sp</v>
      </c>
      <c r="B29" t="str">
        <f>Tabl_B1_Scrap!A70</f>
        <v>7439-92-1</v>
      </c>
      <c r="D29">
        <v>0</v>
      </c>
      <c r="E29">
        <f>Tabl_B1_Scrap!D70</f>
        <v>2.4000000000000003E-6</v>
      </c>
      <c r="F29">
        <f t="shared" si="0"/>
        <v>2.4000000000000003E-6</v>
      </c>
      <c r="G29" t="s">
        <v>401</v>
      </c>
      <c r="I29">
        <f>Tabl_B1_Scrap!E70</f>
        <v>5.9280000000000063E-5</v>
      </c>
      <c r="J29">
        <f>Tabl_B1_Scrap!F70</f>
        <v>9.1200000000000086E-7</v>
      </c>
    </row>
    <row r="30" spans="1:24" x14ac:dyDescent="0.2">
      <c r="A30" t="str">
        <f>M$30</f>
        <v>EU-09ng</v>
      </c>
      <c r="B30" t="str">
        <f>Tabl_B1_Scrap!A91</f>
        <v>71-43-2</v>
      </c>
      <c r="D30">
        <v>0</v>
      </c>
      <c r="E30" s="13">
        <f>Tabl_B1_Scrap!D91</f>
        <v>1.1855999999999999E-4</v>
      </c>
      <c r="F30" s="13">
        <f>E30</f>
        <v>1.1855999999999999E-4</v>
      </c>
      <c r="G30" t="s">
        <v>405</v>
      </c>
      <c r="I30" s="13">
        <f>Tabl_B1_Scrap!D91</f>
        <v>1.1855999999999999E-4</v>
      </c>
      <c r="J30" s="13">
        <f>Tabl_B1_Scrap!E91</f>
        <v>1.8239999999999998E-6</v>
      </c>
      <c r="M30" t="str">
        <f>Tabl_B1_Scrap!C10</f>
        <v>EU-09ng</v>
      </c>
      <c r="N30" t="s">
        <v>418</v>
      </c>
      <c r="O30" t="s">
        <v>413</v>
      </c>
      <c r="P30" t="s">
        <v>412</v>
      </c>
      <c r="Q30" t="str">
        <f>Q24</f>
        <v>BH01</v>
      </c>
      <c r="R30" s="169" t="s">
        <v>443</v>
      </c>
      <c r="S30" s="170" t="s">
        <v>444</v>
      </c>
      <c r="T30" s="171">
        <v>12480</v>
      </c>
      <c r="U30" s="172">
        <v>15600</v>
      </c>
      <c r="V30" s="173"/>
      <c r="W30" s="171">
        <v>240</v>
      </c>
      <c r="X30" s="172">
        <v>240</v>
      </c>
    </row>
    <row r="31" spans="1:24" x14ac:dyDescent="0.2">
      <c r="A31" t="str">
        <f t="shared" ref="A31:A52" si="1">M$30</f>
        <v>EU-09ng</v>
      </c>
      <c r="B31" t="str">
        <f>Tabl_B1_Scrap!A92</f>
        <v>50-00-0</v>
      </c>
      <c r="D31">
        <v>0</v>
      </c>
      <c r="E31" s="13">
        <f>Tabl_B1_Scrap!D92</f>
        <v>2.5194000000000003E-4</v>
      </c>
      <c r="F31" s="13">
        <f t="shared" ref="F31:F56" si="2">E31</f>
        <v>2.5194000000000003E-4</v>
      </c>
      <c r="G31" t="s">
        <v>405</v>
      </c>
      <c r="I31" s="13">
        <f>Tabl_B1_Scrap!D92</f>
        <v>2.5194000000000003E-4</v>
      </c>
      <c r="J31" s="13">
        <f>Tabl_B1_Scrap!E92</f>
        <v>3.8759999999999998E-6</v>
      </c>
    </row>
    <row r="32" spans="1:24" x14ac:dyDescent="0.2">
      <c r="A32" t="str">
        <f t="shared" si="1"/>
        <v>EU-09ng</v>
      </c>
      <c r="B32">
        <f>Tabl_B1_Scrap!A93</f>
        <v>401</v>
      </c>
      <c r="D32">
        <v>0</v>
      </c>
      <c r="E32" s="13">
        <f>Tabl_B1_Scrap!D93</f>
        <v>1.482E-6</v>
      </c>
      <c r="F32" s="13">
        <f t="shared" si="2"/>
        <v>1.482E-6</v>
      </c>
      <c r="G32" t="s">
        <v>405</v>
      </c>
      <c r="I32" s="13">
        <f>Tabl_B1_Scrap!D93</f>
        <v>1.482E-6</v>
      </c>
      <c r="J32" s="13">
        <f>Tabl_B1_Scrap!E93</f>
        <v>2.2799999999999999E-8</v>
      </c>
    </row>
    <row r="33" spans="1:10" x14ac:dyDescent="0.2">
      <c r="A33" t="str">
        <f t="shared" si="1"/>
        <v>EU-09ng</v>
      </c>
      <c r="B33" t="str">
        <f>Tabl_B1_Scrap!A94</f>
        <v>50-32-8</v>
      </c>
      <c r="D33">
        <v>0</v>
      </c>
      <c r="E33" s="13">
        <f>Tabl_B1_Scrap!D94</f>
        <v>1.7783999999999999E-8</v>
      </c>
      <c r="F33" s="13">
        <f t="shared" si="2"/>
        <v>1.7783999999999999E-8</v>
      </c>
      <c r="G33" t="s">
        <v>405</v>
      </c>
      <c r="I33" s="13">
        <f>Tabl_B1_Scrap!D94</f>
        <v>1.7783999999999999E-8</v>
      </c>
      <c r="J33" s="13">
        <f>Tabl_B1_Scrap!E94</f>
        <v>2.7359999999999997E-10</v>
      </c>
    </row>
    <row r="34" spans="1:10" x14ac:dyDescent="0.2">
      <c r="A34" t="str">
        <f t="shared" si="1"/>
        <v>EU-09ng</v>
      </c>
      <c r="B34" t="str">
        <f>Tabl_B1_Scrap!A95</f>
        <v>91-20-3</v>
      </c>
      <c r="D34">
        <v>0</v>
      </c>
      <c r="E34" s="13">
        <f>Tabl_B1_Scrap!D95</f>
        <v>4.4460000000000003E-6</v>
      </c>
      <c r="F34" s="13">
        <f t="shared" si="2"/>
        <v>4.4460000000000003E-6</v>
      </c>
      <c r="G34" t="s">
        <v>405</v>
      </c>
      <c r="I34" s="13">
        <f>Tabl_B1_Scrap!D95</f>
        <v>4.4460000000000003E-6</v>
      </c>
      <c r="J34" s="13">
        <f>Tabl_B1_Scrap!E95</f>
        <v>6.839999999999999E-8</v>
      </c>
    </row>
    <row r="35" spans="1:10" x14ac:dyDescent="0.2">
      <c r="A35" t="str">
        <f t="shared" si="1"/>
        <v>EU-09ng</v>
      </c>
      <c r="B35" t="str">
        <f>Tabl_B1_Scrap!A96</f>
        <v>75-07-0</v>
      </c>
      <c r="D35">
        <v>0</v>
      </c>
      <c r="E35" s="13">
        <f>Tabl_B1_Scrap!D96</f>
        <v>6.3725999999999993E-5</v>
      </c>
      <c r="F35" s="13">
        <f t="shared" si="2"/>
        <v>6.3725999999999993E-5</v>
      </c>
      <c r="G35" t="s">
        <v>405</v>
      </c>
      <c r="I35" s="13">
        <f>Tabl_B1_Scrap!D96</f>
        <v>6.3725999999999993E-5</v>
      </c>
      <c r="J35" s="13">
        <f>Tabl_B1_Scrap!E96</f>
        <v>9.8039999999999996E-7</v>
      </c>
    </row>
    <row r="36" spans="1:10" x14ac:dyDescent="0.2">
      <c r="A36" t="str">
        <f t="shared" si="1"/>
        <v>EU-09ng</v>
      </c>
      <c r="B36" t="str">
        <f>Tabl_B1_Scrap!A97</f>
        <v>107-02-8</v>
      </c>
      <c r="D36">
        <v>0</v>
      </c>
      <c r="E36" s="13">
        <f>Tabl_B1_Scrap!D97</f>
        <v>4.0014E-5</v>
      </c>
      <c r="F36" s="13">
        <f t="shared" si="2"/>
        <v>4.0014E-5</v>
      </c>
      <c r="G36" t="s">
        <v>405</v>
      </c>
      <c r="I36" s="13">
        <f>Tabl_B1_Scrap!D97</f>
        <v>4.0014E-5</v>
      </c>
      <c r="J36" s="13">
        <f>Tabl_B1_Scrap!E97</f>
        <v>6.1559999999999998E-7</v>
      </c>
    </row>
    <row r="37" spans="1:10" x14ac:dyDescent="0.2">
      <c r="A37" t="str">
        <f t="shared" si="1"/>
        <v>EU-09ng</v>
      </c>
      <c r="B37" t="str">
        <f>Tabl_B1_Scrap!A98</f>
        <v>7664-41-7</v>
      </c>
      <c r="D37">
        <v>0</v>
      </c>
      <c r="E37" s="13">
        <f>Tabl_B1_Scrap!D98</f>
        <v>0.26676</v>
      </c>
      <c r="F37" s="13">
        <f t="shared" si="2"/>
        <v>0.26676</v>
      </c>
      <c r="G37" t="s">
        <v>405</v>
      </c>
      <c r="I37" s="13">
        <f>Tabl_B1_Scrap!D98</f>
        <v>0.26676</v>
      </c>
      <c r="J37" s="13">
        <f>Tabl_B1_Scrap!E98</f>
        <v>4.104E-3</v>
      </c>
    </row>
    <row r="38" spans="1:10" x14ac:dyDescent="0.2">
      <c r="A38" t="str">
        <f t="shared" si="1"/>
        <v>EU-09ng</v>
      </c>
      <c r="B38" t="str">
        <f>Tabl_B1_Scrap!A99</f>
        <v>7440-38-2</v>
      </c>
      <c r="D38">
        <v>0</v>
      </c>
      <c r="E38" s="13">
        <f>Tabl_B1_Scrap!D99</f>
        <v>2.9639999999999999E-6</v>
      </c>
      <c r="F38" s="13">
        <f t="shared" si="2"/>
        <v>2.9639999999999999E-6</v>
      </c>
      <c r="G38" t="s">
        <v>405</v>
      </c>
      <c r="I38" s="13">
        <f>Tabl_B1_Scrap!D99</f>
        <v>2.9639999999999999E-6</v>
      </c>
      <c r="J38" s="13">
        <f>Tabl_B1_Scrap!E99</f>
        <v>4.5599999999999998E-8</v>
      </c>
    </row>
    <row r="39" spans="1:10" x14ac:dyDescent="0.2">
      <c r="A39" t="str">
        <f t="shared" si="1"/>
        <v>EU-09ng</v>
      </c>
      <c r="B39" t="str">
        <f>Tabl_B1_Scrap!A100</f>
        <v>7440-39-3</v>
      </c>
      <c r="D39">
        <v>0</v>
      </c>
      <c r="E39" s="13">
        <f>Tabl_B1_Scrap!D100</f>
        <v>6.5208000000000003E-5</v>
      </c>
      <c r="F39" s="13">
        <f t="shared" si="2"/>
        <v>6.5208000000000003E-5</v>
      </c>
      <c r="G39" t="s">
        <v>405</v>
      </c>
      <c r="I39" s="13">
        <f>Tabl_B1_Scrap!D100</f>
        <v>6.5208000000000003E-5</v>
      </c>
      <c r="J39" s="13">
        <f>Tabl_B1_Scrap!E100</f>
        <v>1.0032E-6</v>
      </c>
    </row>
    <row r="40" spans="1:10" x14ac:dyDescent="0.2">
      <c r="A40" t="str">
        <f t="shared" si="1"/>
        <v>EU-09ng</v>
      </c>
      <c r="B40" t="str">
        <f>Tabl_B1_Scrap!A101</f>
        <v>7440-41-7</v>
      </c>
      <c r="D40">
        <v>0</v>
      </c>
      <c r="E40" s="13">
        <f>Tabl_B1_Scrap!D101</f>
        <v>1.7784000000000001E-7</v>
      </c>
      <c r="F40" s="13">
        <f t="shared" si="2"/>
        <v>1.7784000000000001E-7</v>
      </c>
      <c r="G40" t="s">
        <v>405</v>
      </c>
      <c r="I40" s="13">
        <f>Tabl_B1_Scrap!D101</f>
        <v>1.7784000000000001E-7</v>
      </c>
      <c r="J40" s="13">
        <f>Tabl_B1_Scrap!E101</f>
        <v>2.7359999999999997E-9</v>
      </c>
    </row>
    <row r="41" spans="1:10" x14ac:dyDescent="0.2">
      <c r="A41" t="str">
        <f t="shared" si="1"/>
        <v>EU-09ng</v>
      </c>
      <c r="B41" t="str">
        <f>Tabl_B1_Scrap!A102</f>
        <v>7440-43-9</v>
      </c>
      <c r="D41">
        <v>0</v>
      </c>
      <c r="E41" s="13">
        <f>Tabl_B1_Scrap!D102</f>
        <v>1.6302000000000001E-5</v>
      </c>
      <c r="F41" s="13">
        <f t="shared" si="2"/>
        <v>1.6302000000000001E-5</v>
      </c>
      <c r="G41" t="s">
        <v>405</v>
      </c>
      <c r="I41" s="13">
        <f>Tabl_B1_Scrap!D102</f>
        <v>1.6302000000000001E-5</v>
      </c>
      <c r="J41" s="13">
        <f>Tabl_B1_Scrap!E102</f>
        <v>2.508E-7</v>
      </c>
    </row>
    <row r="42" spans="1:10" x14ac:dyDescent="0.2">
      <c r="A42" t="str">
        <f t="shared" si="1"/>
        <v>EU-09ng</v>
      </c>
      <c r="B42" t="str">
        <f>Tabl_B1_Scrap!A103</f>
        <v>18540-29-9</v>
      </c>
      <c r="D42">
        <v>0</v>
      </c>
      <c r="E42" s="13">
        <f>Tabl_B1_Scrap!D103</f>
        <v>2.0747999999999999E-5</v>
      </c>
      <c r="F42" s="13">
        <f t="shared" si="2"/>
        <v>2.0747999999999999E-5</v>
      </c>
      <c r="G42" t="s">
        <v>405</v>
      </c>
      <c r="I42" s="13">
        <f>Tabl_B1_Scrap!D103</f>
        <v>2.0747999999999999E-5</v>
      </c>
      <c r="J42" s="13">
        <f>Tabl_B1_Scrap!E103</f>
        <v>3.1920000000000005E-7</v>
      </c>
    </row>
    <row r="43" spans="1:10" x14ac:dyDescent="0.2">
      <c r="A43" t="str">
        <f t="shared" si="1"/>
        <v>EU-09ng</v>
      </c>
      <c r="B43" t="str">
        <f>Tabl_B1_Scrap!A104</f>
        <v>7440-48-4</v>
      </c>
      <c r="D43">
        <v>0</v>
      </c>
      <c r="E43" s="13">
        <f>Tabl_B1_Scrap!D104</f>
        <v>1.24488E-6</v>
      </c>
      <c r="F43" s="13">
        <f t="shared" si="2"/>
        <v>1.24488E-6</v>
      </c>
      <c r="G43" t="s">
        <v>405</v>
      </c>
      <c r="I43" s="13">
        <f>Tabl_B1_Scrap!D104</f>
        <v>1.24488E-6</v>
      </c>
      <c r="J43" s="13">
        <f>Tabl_B1_Scrap!E104</f>
        <v>1.9151999999999995E-8</v>
      </c>
    </row>
    <row r="44" spans="1:10" x14ac:dyDescent="0.2">
      <c r="A44" t="str">
        <f t="shared" si="1"/>
        <v>EU-09ng</v>
      </c>
      <c r="B44" t="str">
        <f>Tabl_B1_Scrap!A105</f>
        <v>7440-50-8</v>
      </c>
      <c r="D44">
        <v>0</v>
      </c>
      <c r="E44" s="13">
        <f>Tabl_B1_Scrap!D105</f>
        <v>1.2597E-5</v>
      </c>
      <c r="F44" s="13">
        <f t="shared" si="2"/>
        <v>1.2597E-5</v>
      </c>
      <c r="G44" t="s">
        <v>405</v>
      </c>
      <c r="I44" s="13">
        <f>Tabl_B1_Scrap!D105</f>
        <v>1.2597E-5</v>
      </c>
      <c r="J44" s="13">
        <f>Tabl_B1_Scrap!E105</f>
        <v>1.9379999999999998E-7</v>
      </c>
    </row>
    <row r="45" spans="1:10" x14ac:dyDescent="0.2">
      <c r="A45" t="str">
        <f t="shared" si="1"/>
        <v>EU-09ng</v>
      </c>
      <c r="B45" t="str">
        <f>Tabl_B1_Scrap!A106</f>
        <v>100-41-4</v>
      </c>
      <c r="D45">
        <v>0</v>
      </c>
      <c r="E45" s="13">
        <f>Tabl_B1_Scrap!D106</f>
        <v>1.4078999999999999E-4</v>
      </c>
      <c r="F45" s="13">
        <f t="shared" si="2"/>
        <v>1.4078999999999999E-4</v>
      </c>
      <c r="G45" t="s">
        <v>405</v>
      </c>
      <c r="I45" s="13">
        <f>Tabl_B1_Scrap!D106</f>
        <v>1.4078999999999999E-4</v>
      </c>
      <c r="J45" s="13">
        <f>Tabl_B1_Scrap!E106</f>
        <v>2.1659999999999997E-6</v>
      </c>
    </row>
    <row r="46" spans="1:10" x14ac:dyDescent="0.2">
      <c r="A46" t="str">
        <f t="shared" si="1"/>
        <v>EU-09ng</v>
      </c>
      <c r="B46" t="str">
        <f>Tabl_B1_Scrap!A107</f>
        <v>110-54-3</v>
      </c>
      <c r="D46">
        <v>0</v>
      </c>
      <c r="E46" s="13">
        <f>Tabl_B1_Scrap!D107</f>
        <v>9.3366E-5</v>
      </c>
      <c r="F46" s="13">
        <f t="shared" si="2"/>
        <v>9.3366E-5</v>
      </c>
      <c r="G46" t="s">
        <v>405</v>
      </c>
      <c r="I46" s="13">
        <f>Tabl_B1_Scrap!D107</f>
        <v>9.3366E-5</v>
      </c>
      <c r="J46" s="13">
        <f>Tabl_B1_Scrap!E107</f>
        <v>1.4363999999999999E-6</v>
      </c>
    </row>
    <row r="47" spans="1:10" x14ac:dyDescent="0.2">
      <c r="A47" t="str">
        <f t="shared" si="1"/>
        <v>EU-09ng</v>
      </c>
      <c r="B47" t="str">
        <f>Tabl_B1_Scrap!A108</f>
        <v>7439-92-1</v>
      </c>
      <c r="D47">
        <v>0</v>
      </c>
      <c r="E47" s="13">
        <f>Tabl_B1_Scrap!D108</f>
        <v>7.4099999999999994E-6</v>
      </c>
      <c r="F47" s="13">
        <f t="shared" si="2"/>
        <v>7.4099999999999994E-6</v>
      </c>
      <c r="G47" t="s">
        <v>405</v>
      </c>
      <c r="I47" s="13">
        <f>Tabl_B1_Scrap!D108</f>
        <v>7.4099999999999994E-6</v>
      </c>
      <c r="J47" s="13">
        <f>Tabl_B1_Scrap!E108</f>
        <v>1.1399999999999999E-7</v>
      </c>
    </row>
    <row r="48" spans="1:10" x14ac:dyDescent="0.2">
      <c r="A48" t="str">
        <f t="shared" si="1"/>
        <v>EU-09ng</v>
      </c>
      <c r="B48" t="str">
        <f>Tabl_B1_Scrap!A109</f>
        <v>7439-96-5</v>
      </c>
      <c r="D48">
        <v>0</v>
      </c>
      <c r="E48" s="13">
        <f>Tabl_B1_Scrap!D109</f>
        <v>5.6315999999999996E-6</v>
      </c>
      <c r="F48" s="13">
        <f t="shared" si="2"/>
        <v>5.6315999999999996E-6</v>
      </c>
      <c r="G48" t="s">
        <v>405</v>
      </c>
      <c r="I48" s="13">
        <f>Tabl_B1_Scrap!D109</f>
        <v>5.6315999999999996E-6</v>
      </c>
      <c r="J48" s="13">
        <f>Tabl_B1_Scrap!E109</f>
        <v>8.664E-8</v>
      </c>
    </row>
    <row r="49" spans="1:24" x14ac:dyDescent="0.2">
      <c r="A49" t="str">
        <f t="shared" si="1"/>
        <v>EU-09ng</v>
      </c>
      <c r="B49" t="str">
        <f>Tabl_B1_Scrap!A110</f>
        <v>7439-97-6</v>
      </c>
      <c r="D49">
        <v>0</v>
      </c>
      <c r="E49" s="13">
        <f>Tabl_B1_Scrap!D110</f>
        <v>3.8531999999999998E-6</v>
      </c>
      <c r="F49" s="13">
        <f t="shared" si="2"/>
        <v>3.8531999999999998E-6</v>
      </c>
      <c r="G49" t="s">
        <v>405</v>
      </c>
      <c r="I49" s="13">
        <f>Tabl_B1_Scrap!D110</f>
        <v>3.8531999999999998E-6</v>
      </c>
      <c r="J49" s="13">
        <f>Tabl_B1_Scrap!E110</f>
        <v>5.9279999999999999E-8</v>
      </c>
    </row>
    <row r="50" spans="1:24" x14ac:dyDescent="0.2">
      <c r="A50" t="str">
        <f t="shared" si="1"/>
        <v>EU-09ng</v>
      </c>
      <c r="B50" t="str">
        <f>Tabl_B1_Scrap!A111</f>
        <v>1313-27-5</v>
      </c>
      <c r="D50">
        <v>0</v>
      </c>
      <c r="E50" s="13">
        <f>Tabl_B1_Scrap!D111</f>
        <v>2.4452999999999998E-5</v>
      </c>
      <c r="F50" s="13">
        <f t="shared" si="2"/>
        <v>2.4452999999999998E-5</v>
      </c>
      <c r="G50" t="s">
        <v>405</v>
      </c>
      <c r="I50" s="13">
        <f>Tabl_B1_Scrap!D111</f>
        <v>2.4452999999999998E-5</v>
      </c>
      <c r="J50" s="13">
        <f>Tabl_B1_Scrap!E111</f>
        <v>3.7619999999999999E-7</v>
      </c>
    </row>
    <row r="51" spans="1:24" x14ac:dyDescent="0.2">
      <c r="A51" t="str">
        <f t="shared" si="1"/>
        <v>EU-09ng</v>
      </c>
      <c r="B51">
        <f>Tabl_B1_Scrap!A112</f>
        <v>365</v>
      </c>
      <c r="D51">
        <v>0</v>
      </c>
      <c r="E51" s="13">
        <f>Tabl_B1_Scrap!D112</f>
        <v>3.1121999999999998E-5</v>
      </c>
      <c r="F51" s="13">
        <f t="shared" si="2"/>
        <v>3.1121999999999998E-5</v>
      </c>
      <c r="G51" t="s">
        <v>405</v>
      </c>
      <c r="I51" s="13">
        <f>Tabl_B1_Scrap!D112</f>
        <v>3.1121999999999998E-5</v>
      </c>
      <c r="J51" s="13">
        <f>Tabl_B1_Scrap!E112</f>
        <v>4.7879999999999997E-7</v>
      </c>
    </row>
    <row r="52" spans="1:24" x14ac:dyDescent="0.2">
      <c r="A52" t="str">
        <f t="shared" si="1"/>
        <v>EU-09ng</v>
      </c>
      <c r="B52" t="str">
        <f>Tabl_B1_Scrap!A113</f>
        <v>7782-49-2</v>
      </c>
      <c r="D52">
        <v>0</v>
      </c>
      <c r="E52" s="13">
        <f>Tabl_B1_Scrap!D113</f>
        <v>3.5568000000000002E-7</v>
      </c>
      <c r="F52" s="13">
        <f t="shared" si="2"/>
        <v>3.5568000000000002E-7</v>
      </c>
      <c r="G52" t="s">
        <v>405</v>
      </c>
      <c r="I52" s="13">
        <f>Tabl_B1_Scrap!D113</f>
        <v>3.5568000000000002E-7</v>
      </c>
      <c r="J52" s="13">
        <f>Tabl_B1_Scrap!E113</f>
        <v>5.4719999999999993E-9</v>
      </c>
    </row>
    <row r="53" spans="1:24" x14ac:dyDescent="0.2">
      <c r="A53" t="str">
        <f>M$30</f>
        <v>EU-09ng</v>
      </c>
      <c r="B53" t="str">
        <f>Tabl_B1_Scrap!A114</f>
        <v>108-88-3</v>
      </c>
      <c r="D53">
        <v>0</v>
      </c>
      <c r="E53" s="13">
        <f>Tabl_B1_Scrap!D114</f>
        <v>5.4241200000000004E-4</v>
      </c>
      <c r="F53" s="13">
        <f t="shared" si="2"/>
        <v>5.4241200000000004E-4</v>
      </c>
      <c r="G53" t="s">
        <v>405</v>
      </c>
      <c r="I53" s="13">
        <f>Tabl_B1_Scrap!D114</f>
        <v>5.4241200000000004E-4</v>
      </c>
      <c r="J53" s="13">
        <f>Tabl_B1_Scrap!E114</f>
        <v>8.3448000000000001E-6</v>
      </c>
    </row>
    <row r="54" spans="1:24" x14ac:dyDescent="0.2">
      <c r="A54" t="str">
        <f>M$30</f>
        <v>EU-09ng</v>
      </c>
      <c r="B54" t="str">
        <f>Tabl_B1_Scrap!A115</f>
        <v>7440-62-2</v>
      </c>
      <c r="D54">
        <v>0</v>
      </c>
      <c r="E54" s="13">
        <f>Tabl_B1_Scrap!D115</f>
        <v>3.4085999999999999E-5</v>
      </c>
      <c r="F54" s="13">
        <f t="shared" si="2"/>
        <v>3.4085999999999999E-5</v>
      </c>
      <c r="G54" t="s">
        <v>405</v>
      </c>
      <c r="I54" s="13">
        <f>Tabl_B1_Scrap!D115</f>
        <v>3.4085999999999999E-5</v>
      </c>
      <c r="J54" s="13">
        <f>Tabl_B1_Scrap!E115</f>
        <v>5.2440000000000001E-7</v>
      </c>
    </row>
    <row r="55" spans="1:24" x14ac:dyDescent="0.2">
      <c r="A55" t="str">
        <f>M$30</f>
        <v>EU-09ng</v>
      </c>
      <c r="B55" t="str">
        <f>Tabl_B1_Scrap!A116</f>
        <v>1330-20-7</v>
      </c>
      <c r="D55">
        <v>0</v>
      </c>
      <c r="E55" s="13">
        <f>Tabl_B1_Scrap!D116</f>
        <v>4.0310399999999999E-4</v>
      </c>
      <c r="F55" s="13">
        <f t="shared" si="2"/>
        <v>4.0310399999999999E-4</v>
      </c>
      <c r="G55" t="s">
        <v>405</v>
      </c>
      <c r="I55" s="13">
        <f>Tabl_B1_Scrap!D116</f>
        <v>4.0310399999999999E-4</v>
      </c>
      <c r="J55" s="13">
        <f>Tabl_B1_Scrap!E116</f>
        <v>6.2015999999999992E-6</v>
      </c>
    </row>
    <row r="56" spans="1:24" x14ac:dyDescent="0.2">
      <c r="A56" t="str">
        <f>M$30</f>
        <v>EU-09ng</v>
      </c>
      <c r="B56" t="str">
        <f>Tabl_B1_Scrap!A117</f>
        <v>7440-66-6</v>
      </c>
      <c r="D56">
        <v>0</v>
      </c>
      <c r="E56" s="13">
        <f>Tabl_B1_Scrap!D117</f>
        <v>4.2978000000000005E-4</v>
      </c>
      <c r="F56" s="13">
        <f t="shared" si="2"/>
        <v>4.2978000000000005E-4</v>
      </c>
      <c r="G56" t="s">
        <v>405</v>
      </c>
      <c r="I56" s="13">
        <f>Tabl_B1_Scrap!D117</f>
        <v>4.2978000000000005E-4</v>
      </c>
      <c r="J56" s="13">
        <f>Tabl_B1_Scrap!E117</f>
        <v>6.6119999999999995E-6</v>
      </c>
    </row>
    <row r="57" spans="1:24" x14ac:dyDescent="0.2">
      <c r="A57" t="str">
        <f t="shared" ref="A57:A81" si="3">M$57</f>
        <v>EU-1_BH01</v>
      </c>
      <c r="B57" t="str">
        <f>Tabl_B2_Melt_Shop!A54</f>
        <v>7429-90-5</v>
      </c>
      <c r="D57">
        <f>0.95*0.95</f>
        <v>0.90249999999999997</v>
      </c>
      <c r="E57" s="13">
        <f>Tabl_B2_Melt_Shop!C54</f>
        <v>5.217937921509951E-5</v>
      </c>
      <c r="F57" s="13">
        <f>Tabl_B2_Melt_Shop!D54</f>
        <v>5.217937921509951E-5</v>
      </c>
      <c r="G57" t="s">
        <v>406</v>
      </c>
      <c r="I57" s="13">
        <f>Tabl_B2_Melt_Shop!E54</f>
        <v>37.569153034871647</v>
      </c>
      <c r="J57" s="13">
        <f>Tabl_B2_Melt_Shop!F54</f>
        <v>0.19306370309586818</v>
      </c>
      <c r="M57" t="str">
        <f>Tabl_B2_Melt_Shop!E51</f>
        <v>EU-1_BH01</v>
      </c>
      <c r="N57" t="s">
        <v>419</v>
      </c>
      <c r="O57" t="s">
        <v>414</v>
      </c>
      <c r="P57" t="s">
        <v>410</v>
      </c>
      <c r="Q57" t="str">
        <f>Tabl_B2_Melt_Shop!C6</f>
        <v>BH01</v>
      </c>
      <c r="R57" s="169" t="s">
        <v>172</v>
      </c>
      <c r="S57" s="170" t="s">
        <v>445</v>
      </c>
      <c r="T57" s="171">
        <v>444518</v>
      </c>
      <c r="U57" s="172">
        <v>948000</v>
      </c>
      <c r="V57" s="173"/>
      <c r="W57" s="171">
        <v>3500</v>
      </c>
      <c r="X57" s="172">
        <v>3700</v>
      </c>
    </row>
    <row r="58" spans="1:24" x14ac:dyDescent="0.2">
      <c r="A58" t="str">
        <f t="shared" si="3"/>
        <v>EU-1_BH01</v>
      </c>
      <c r="B58" t="str">
        <f>Tabl_B2_Melt_Shop!A55</f>
        <v>7440-36-0</v>
      </c>
      <c r="D58">
        <f t="shared" ref="D58:D72" si="4">0.95*0.95</f>
        <v>0.90249999999999997</v>
      </c>
      <c r="E58" s="13">
        <f>Tabl_B2_Melt_Shop!C55</f>
        <v>5.6149549372770125E-7</v>
      </c>
      <c r="F58" s="13">
        <f>Tabl_B2_Melt_Shop!D55</f>
        <v>5.6149549372770125E-7</v>
      </c>
      <c r="G58" t="s">
        <v>406</v>
      </c>
      <c r="I58" s="13">
        <f>Tabl_B2_Melt_Shop!E55</f>
        <v>0.40427675548394493</v>
      </c>
      <c r="J58" s="13">
        <f>Tabl_B2_Melt_Shop!F55</f>
        <v>2.0775333267924944E-3</v>
      </c>
    </row>
    <row r="59" spans="1:24" x14ac:dyDescent="0.2">
      <c r="A59" t="str">
        <f t="shared" si="3"/>
        <v>EU-1_BH01</v>
      </c>
      <c r="B59" t="str">
        <f>Tabl_B2_Melt_Shop!A56</f>
        <v>7440-38-2</v>
      </c>
      <c r="D59">
        <f t="shared" si="4"/>
        <v>0.90249999999999997</v>
      </c>
      <c r="E59" s="13">
        <f>Tabl_B2_Melt_Shop!C56</f>
        <v>0</v>
      </c>
      <c r="F59" s="13">
        <f>Tabl_B2_Melt_Shop!D56</f>
        <v>0</v>
      </c>
      <c r="G59" t="s">
        <v>406</v>
      </c>
      <c r="I59" s="13">
        <f>Tabl_B2_Melt_Shop!E56</f>
        <v>0</v>
      </c>
      <c r="J59" s="13">
        <f>Tabl_B2_Melt_Shop!F56</f>
        <v>0</v>
      </c>
    </row>
    <row r="60" spans="1:24" x14ac:dyDescent="0.2">
      <c r="A60" t="str">
        <f t="shared" si="3"/>
        <v>EU-1_BH01</v>
      </c>
      <c r="B60" t="str">
        <f>Tabl_B2_Melt_Shop!A57</f>
        <v>7440-41-7</v>
      </c>
      <c r="D60">
        <f t="shared" si="4"/>
        <v>0.90249999999999997</v>
      </c>
      <c r="E60" s="13">
        <f>Tabl_B2_Melt_Shop!C57</f>
        <v>0</v>
      </c>
      <c r="F60" s="13">
        <f>Tabl_B2_Melt_Shop!D57</f>
        <v>0</v>
      </c>
      <c r="G60" t="s">
        <v>406</v>
      </c>
      <c r="I60" s="13">
        <f>Tabl_B2_Melt_Shop!E57</f>
        <v>0</v>
      </c>
      <c r="J60" s="13">
        <f>Tabl_B2_Melt_Shop!F57</f>
        <v>0</v>
      </c>
    </row>
    <row r="61" spans="1:24" x14ac:dyDescent="0.2">
      <c r="A61" t="str">
        <f t="shared" si="3"/>
        <v>EU-1_BH01</v>
      </c>
      <c r="B61" t="str">
        <f>Tabl_B2_Melt_Shop!A58</f>
        <v>7440-43-9</v>
      </c>
      <c r="D61">
        <f t="shared" si="4"/>
        <v>0.90249999999999997</v>
      </c>
      <c r="E61" s="13">
        <f>Tabl_B2_Melt_Shop!C58</f>
        <v>2.0247867804120133E-6</v>
      </c>
      <c r="F61" s="13">
        <f>Tabl_B2_Melt_Shop!D58</f>
        <v>2.0247867804120133E-6</v>
      </c>
      <c r="G61" t="s">
        <v>406</v>
      </c>
      <c r="I61" s="13">
        <f>Tabl_B2_Melt_Shop!E58</f>
        <v>1.4578464818966497</v>
      </c>
      <c r="J61" s="13">
        <f>Tabl_B2_Melt_Shop!F58</f>
        <v>7.4917110875244494E-3</v>
      </c>
    </row>
    <row r="62" spans="1:24" x14ac:dyDescent="0.2">
      <c r="A62" t="str">
        <f t="shared" si="3"/>
        <v>EU-1_BH01</v>
      </c>
      <c r="B62" t="str">
        <f>Tabl_B2_Melt_Shop!A59</f>
        <v>18540-29-9</v>
      </c>
      <c r="D62">
        <f t="shared" si="4"/>
        <v>0.90249999999999997</v>
      </c>
      <c r="E62" s="13">
        <f>Tabl_B2_Melt_Shop!C59</f>
        <v>1.2451724068905506E-6</v>
      </c>
      <c r="F62" s="13">
        <f>Tabl_B2_Melt_Shop!D59</f>
        <v>6.0371995485602447E-5</v>
      </c>
      <c r="G62" t="s">
        <v>406</v>
      </c>
      <c r="I62" s="13">
        <f>Tabl_B2_Melt_Shop!E59</f>
        <v>0.89652413296119637</v>
      </c>
      <c r="J62" s="13">
        <f>Tabl_B2_Melt_Shop!F59</f>
        <v>0.22337638329672904</v>
      </c>
    </row>
    <row r="63" spans="1:24" x14ac:dyDescent="0.2">
      <c r="A63" t="str">
        <f t="shared" si="3"/>
        <v>EU-1_BH01</v>
      </c>
      <c r="B63" t="str">
        <f>Tabl_B2_Melt_Shop!A60</f>
        <v>7440-48-4</v>
      </c>
      <c r="D63">
        <f t="shared" si="4"/>
        <v>0.90249999999999997</v>
      </c>
      <c r="E63" s="13">
        <f>Tabl_B2_Melt_Shop!C60</f>
        <v>0</v>
      </c>
      <c r="F63" s="13">
        <f>Tabl_B2_Melt_Shop!D60</f>
        <v>0</v>
      </c>
      <c r="G63" t="s">
        <v>406</v>
      </c>
      <c r="I63" s="13">
        <f>Tabl_B2_Melt_Shop!E60</f>
        <v>0</v>
      </c>
      <c r="J63" s="13">
        <f>Tabl_B2_Melt_Shop!F60</f>
        <v>0</v>
      </c>
    </row>
    <row r="64" spans="1:24" x14ac:dyDescent="0.2">
      <c r="A64" t="str">
        <f t="shared" si="3"/>
        <v>EU-1_BH01</v>
      </c>
      <c r="B64" t="str">
        <f>Tabl_B2_Melt_Shop!A61</f>
        <v>7440-50-8</v>
      </c>
      <c r="D64">
        <f t="shared" si="4"/>
        <v>0.90249999999999997</v>
      </c>
      <c r="E64" s="13">
        <f>Tabl_B2_Melt_Shop!C61</f>
        <v>1.1797077039935541E-5</v>
      </c>
      <c r="F64" s="13">
        <f>Tabl_B2_Melt_Shop!D61</f>
        <v>1.1797077039935541E-5</v>
      </c>
      <c r="G64" t="s">
        <v>406</v>
      </c>
      <c r="I64" s="13">
        <f>Tabl_B2_Melt_Shop!E61</f>
        <v>8.493895468753589</v>
      </c>
      <c r="J64" s="13">
        <f>Tabl_B2_Melt_Shop!F61</f>
        <v>4.3649185047761503E-2</v>
      </c>
    </row>
    <row r="65" spans="1:10" x14ac:dyDescent="0.2">
      <c r="A65" t="str">
        <f t="shared" si="3"/>
        <v>EU-1_BH01</v>
      </c>
      <c r="B65" t="str">
        <f>Tabl_B2_Melt_Shop!A62</f>
        <v>7439-92-1</v>
      </c>
      <c r="D65">
        <f t="shared" si="4"/>
        <v>0.90249999999999997</v>
      </c>
      <c r="E65" s="13">
        <f>Tabl_B2_Melt_Shop!C62</f>
        <v>6.0119719530440734E-5</v>
      </c>
      <c r="F65" s="13">
        <f>Tabl_B2_Melt_Shop!D62</f>
        <v>6.0119719530440734E-5</v>
      </c>
      <c r="G65" t="s">
        <v>406</v>
      </c>
      <c r="I65" s="13">
        <f>Tabl_B2_Melt_Shop!E62</f>
        <v>43.286198061917325</v>
      </c>
      <c r="J65" s="13">
        <f>Tabl_B2_Melt_Shop!F62</f>
        <v>0.22244296226263072</v>
      </c>
    </row>
    <row r="66" spans="1:10" x14ac:dyDescent="0.2">
      <c r="A66" t="str">
        <f t="shared" si="3"/>
        <v>EU-1_BH01</v>
      </c>
      <c r="B66" t="str">
        <f>Tabl_B2_Melt_Shop!A63</f>
        <v>7439-96-5</v>
      </c>
      <c r="D66">
        <f t="shared" si="4"/>
        <v>0.90249999999999997</v>
      </c>
      <c r="E66" s="13">
        <f>Tabl_B2_Melt_Shop!C63</f>
        <v>1.0719459425710661E-4</v>
      </c>
      <c r="F66" s="13">
        <f>Tabl_B2_Melt_Shop!D63</f>
        <v>1.0719459425710661E-4</v>
      </c>
      <c r="G66" t="s">
        <v>406</v>
      </c>
      <c r="I66" s="13">
        <f>Tabl_B2_Melt_Shop!E63</f>
        <v>77.180107865116753</v>
      </c>
      <c r="J66" s="13">
        <f>Tabl_B2_Melt_Shop!F63</f>
        <v>0.39661999875129444</v>
      </c>
    </row>
    <row r="67" spans="1:10" x14ac:dyDescent="0.2">
      <c r="A67" t="str">
        <f t="shared" si="3"/>
        <v>EU-1_BH01</v>
      </c>
      <c r="B67" t="str">
        <f>Tabl_B2_Melt_Shop!A64</f>
        <v>7439-97-6</v>
      </c>
      <c r="D67">
        <f t="shared" si="4"/>
        <v>0.90249999999999997</v>
      </c>
      <c r="E67" s="13">
        <f>Tabl_B2_Melt_Shop!C64</f>
        <v>3.822706694671421E-7</v>
      </c>
      <c r="F67" s="13">
        <f>Tabl_B2_Melt_Shop!D64</f>
        <v>3.822706694671421E-7</v>
      </c>
      <c r="G67" t="s">
        <v>406</v>
      </c>
      <c r="I67" s="13">
        <f>Tabl_B2_Melt_Shop!E64</f>
        <v>0.27523488201634233</v>
      </c>
      <c r="J67" s="13">
        <f>Tabl_B2_Melt_Shop!F64</f>
        <v>1.4144014770284257E-3</v>
      </c>
    </row>
    <row r="68" spans="1:10" x14ac:dyDescent="0.2">
      <c r="A68" t="str">
        <f t="shared" si="3"/>
        <v>EU-1_BH01</v>
      </c>
      <c r="B68">
        <f>Tabl_B2_Melt_Shop!A65</f>
        <v>365</v>
      </c>
      <c r="D68">
        <f t="shared" si="4"/>
        <v>0.90249999999999997</v>
      </c>
      <c r="E68" s="13">
        <f>Tabl_B2_Melt_Shop!C65</f>
        <v>1.7468748693750706E-6</v>
      </c>
      <c r="F68" s="13">
        <f>Tabl_B2_Melt_Shop!D65</f>
        <v>1.7468748693750706E-6</v>
      </c>
      <c r="G68" t="s">
        <v>406</v>
      </c>
      <c r="I68" s="13">
        <f>Tabl_B2_Melt_Shop!E65</f>
        <v>1.2577499059500508</v>
      </c>
      <c r="J68" s="13">
        <f>Tabl_B2_Melt_Shop!F65</f>
        <v>6.4634370166877612E-3</v>
      </c>
    </row>
    <row r="69" spans="1:10" x14ac:dyDescent="0.2">
      <c r="A69" t="str">
        <f t="shared" si="3"/>
        <v>EU-1_BH01</v>
      </c>
      <c r="B69">
        <f>Tabl_B2_Melt_Shop!A66</f>
        <v>504</v>
      </c>
      <c r="D69">
        <f t="shared" si="4"/>
        <v>0.90249999999999997</v>
      </c>
      <c r="E69" s="13">
        <f>Tabl_B2_Melt_Shop!C66</f>
        <v>5.6716716538151648E-6</v>
      </c>
      <c r="F69" s="13">
        <f>Tabl_B2_Melt_Shop!D66</f>
        <v>5.6716716538151648E-6</v>
      </c>
      <c r="G69" t="s">
        <v>406</v>
      </c>
      <c r="I69" s="13">
        <f>Tabl_B2_Melt_Shop!E66</f>
        <v>4.083603590746919</v>
      </c>
      <c r="J69" s="13">
        <f>Tabl_B2_Melt_Shop!F66</f>
        <v>2.0985185119116109E-2</v>
      </c>
    </row>
    <row r="70" spans="1:10" x14ac:dyDescent="0.2">
      <c r="A70" t="str">
        <f t="shared" si="3"/>
        <v>EU-1_BH01</v>
      </c>
      <c r="B70" t="str">
        <f>Tabl_B2_Melt_Shop!A67</f>
        <v>7782-49-2</v>
      </c>
      <c r="D70">
        <f t="shared" si="4"/>
        <v>0.90249999999999997</v>
      </c>
      <c r="E70" s="13">
        <f>Tabl_B2_Melt_Shop!C67</f>
        <v>0</v>
      </c>
      <c r="F70" s="13">
        <f>Tabl_B2_Melt_Shop!D67</f>
        <v>0</v>
      </c>
      <c r="G70" t="s">
        <v>406</v>
      </c>
      <c r="I70" s="13">
        <f>Tabl_B2_Melt_Shop!E67</f>
        <v>0</v>
      </c>
      <c r="J70" s="13">
        <f>Tabl_B2_Melt_Shop!F67</f>
        <v>0</v>
      </c>
    </row>
    <row r="71" spans="1:10" x14ac:dyDescent="0.2">
      <c r="A71" t="str">
        <f t="shared" si="3"/>
        <v>EU-1_BH01</v>
      </c>
      <c r="B71" t="str">
        <f>Tabl_B2_Melt_Shop!A68</f>
        <v>7440-62-2</v>
      </c>
      <c r="D71">
        <f t="shared" si="4"/>
        <v>0.90249999999999997</v>
      </c>
      <c r="E71" s="13">
        <f>Tabl_B2_Melt_Shop!C68</f>
        <v>5.8985385199677699E-7</v>
      </c>
      <c r="F71" s="13">
        <f>Tabl_B2_Melt_Shop!D68</f>
        <v>5.8985385199677699E-7</v>
      </c>
      <c r="G71" t="s">
        <v>406</v>
      </c>
      <c r="I71" s="13">
        <f>Tabl_B2_Melt_Shop!E68</f>
        <v>0.42469477343767942</v>
      </c>
      <c r="J71" s="13">
        <f>Tabl_B2_Melt_Shop!F68</f>
        <v>2.1824592523880747E-3</v>
      </c>
    </row>
    <row r="72" spans="1:10" x14ac:dyDescent="0.2">
      <c r="A72" t="str">
        <f t="shared" si="3"/>
        <v>EU-1_BH01</v>
      </c>
      <c r="B72" t="str">
        <f>Tabl_B2_Melt_Shop!A69</f>
        <v>7440-66-6</v>
      </c>
      <c r="D72">
        <f t="shared" si="4"/>
        <v>0.90249999999999997</v>
      </c>
      <c r="E72" s="13">
        <f>Tabl_B2_Melt_Shop!C69</f>
        <v>1.1400060024168478E-3</v>
      </c>
      <c r="F72" s="13">
        <f>Tabl_B2_Melt_Shop!D69</f>
        <v>1.1400060024168478E-3</v>
      </c>
      <c r="G72" t="s">
        <v>406</v>
      </c>
      <c r="I72" s="13">
        <f>Tabl_B2_Melt_Shop!E69</f>
        <v>820.80432174013038</v>
      </c>
      <c r="J72" s="13">
        <f>Tabl_B2_Melt_Shop!F69</f>
        <v>4.2180222089423367</v>
      </c>
    </row>
    <row r="73" spans="1:10" x14ac:dyDescent="0.2">
      <c r="A73" t="str">
        <f t="shared" si="3"/>
        <v>EU-1_BH01</v>
      </c>
      <c r="B73" t="str">
        <f>Tabl_B2_Melt_Shop!A70</f>
        <v>71-43-2</v>
      </c>
      <c r="D73">
        <v>0</v>
      </c>
      <c r="E73" s="13">
        <f>Tabl_B2_Melt_Shop!C70</f>
        <v>9.6759999999999988E-3</v>
      </c>
      <c r="F73" s="13">
        <f>Tabl_B2_Melt_Shop!D70</f>
        <v>9.6759999999999988E-3</v>
      </c>
      <c r="G73" t="s">
        <v>406</v>
      </c>
      <c r="I73" s="13">
        <f>Tabl_B2_Melt_Shop!E70</f>
        <v>6966.7199999999993</v>
      </c>
      <c r="J73" s="13">
        <f>Tabl_B2_Melt_Shop!F70</f>
        <v>35.801199999999994</v>
      </c>
    </row>
    <row r="74" spans="1:10" x14ac:dyDescent="0.2">
      <c r="A74" t="str">
        <f t="shared" si="3"/>
        <v>EU-1_BH01</v>
      </c>
      <c r="B74" t="str">
        <f>Tabl_B2_Melt_Shop!A78</f>
        <v>74-83-9</v>
      </c>
      <c r="D74">
        <v>0</v>
      </c>
      <c r="E74" s="13">
        <f>Tabl_B2_Melt_Shop!C78</f>
        <v>1.0097031903318926E-4</v>
      </c>
      <c r="F74" s="13">
        <f>Tabl_B2_Melt_Shop!D78</f>
        <v>1.0097031903318926E-4</v>
      </c>
      <c r="G74" t="s">
        <v>406</v>
      </c>
      <c r="I74" s="13">
        <f>Tabl_B2_Melt_Shop!E78</f>
        <v>72.698629703896273</v>
      </c>
      <c r="J74" s="13">
        <f>Tabl_B2_Melt_Shop!F78</f>
        <v>0.37359018042280029</v>
      </c>
    </row>
    <row r="75" spans="1:10" x14ac:dyDescent="0.2">
      <c r="A75" t="str">
        <f t="shared" si="3"/>
        <v>EU-1_BH01</v>
      </c>
      <c r="B75" t="str">
        <f>Tabl_B2_Melt_Shop!A79</f>
        <v>75-69-4</v>
      </c>
      <c r="D75">
        <v>0</v>
      </c>
      <c r="E75" s="13">
        <f>Tabl_B2_Melt_Shop!C79</f>
        <v>2.0245110405039146E-4</v>
      </c>
      <c r="F75" s="13">
        <f>Tabl_B2_Melt_Shop!D79</f>
        <v>2.0245110405039146E-4</v>
      </c>
      <c r="G75" t="s">
        <v>406</v>
      </c>
      <c r="I75" s="13">
        <f>Tabl_B2_Melt_Shop!E79</f>
        <v>145.76479491628186</v>
      </c>
      <c r="J75" s="13">
        <f>Tabl_B2_Melt_Shop!F79</f>
        <v>0.74906908498644842</v>
      </c>
    </row>
    <row r="76" spans="1:10" x14ac:dyDescent="0.2">
      <c r="A76" t="str">
        <f t="shared" si="3"/>
        <v>EU-1_BH01</v>
      </c>
      <c r="B76" t="str">
        <f>Tabl_B2_Melt_Shop!A80</f>
        <v>75-09-2</v>
      </c>
      <c r="D76">
        <v>0</v>
      </c>
      <c r="E76" s="13">
        <f>Tabl_B2_Melt_Shop!C80</f>
        <v>9.0483134684568397E-5</v>
      </c>
      <c r="F76" s="13">
        <f>Tabl_B2_Melt_Shop!D80</f>
        <v>9.0483134684568397E-5</v>
      </c>
      <c r="G76" t="s">
        <v>406</v>
      </c>
      <c r="I76" s="13">
        <f>Tabl_B2_Melt_Shop!E80</f>
        <v>65.147856972889244</v>
      </c>
      <c r="J76" s="13">
        <f>Tabl_B2_Melt_Shop!F80</f>
        <v>0.33478759833290306</v>
      </c>
    </row>
    <row r="77" spans="1:10" x14ac:dyDescent="0.2">
      <c r="A77" t="str">
        <f t="shared" si="3"/>
        <v>EU-1_BH01</v>
      </c>
      <c r="B77" t="str">
        <f>Tabl_B2_Melt_Shop!A81</f>
        <v>79-34-5</v>
      </c>
      <c r="D77">
        <v>0</v>
      </c>
      <c r="E77" s="13">
        <f>Tabl_B2_Melt_Shop!C81</f>
        <v>2.0031262727373284E-4</v>
      </c>
      <c r="F77" s="13">
        <f>Tabl_B2_Melt_Shop!D81</f>
        <v>2.0031262727373284E-4</v>
      </c>
      <c r="G77" t="s">
        <v>406</v>
      </c>
      <c r="I77" s="13">
        <f>Tabl_B2_Melt_Shop!E81</f>
        <v>144.22509163708764</v>
      </c>
      <c r="J77" s="13">
        <f>Tabl_B2_Melt_Shop!F81</f>
        <v>0.74115672091281148</v>
      </c>
    </row>
    <row r="78" spans="1:10" x14ac:dyDescent="0.2">
      <c r="A78" t="str">
        <f t="shared" si="3"/>
        <v>EU-1_BH01</v>
      </c>
      <c r="B78" t="str">
        <f>Tabl_B2_Melt_Shop!A82</f>
        <v>95-63-6</v>
      </c>
      <c r="D78">
        <v>0</v>
      </c>
      <c r="E78" s="13">
        <f>Tabl_B2_Melt_Shop!C82</f>
        <v>1.243791580026187E-4</v>
      </c>
      <c r="F78" s="13">
        <f>Tabl_B2_Melt_Shop!D82</f>
        <v>1.243791580026187E-4</v>
      </c>
      <c r="G78" t="s">
        <v>406</v>
      </c>
      <c r="I78" s="13">
        <f>Tabl_B2_Melt_Shop!E82</f>
        <v>89.55299376188546</v>
      </c>
      <c r="J78" s="13">
        <f>Tabl_B2_Melt_Shop!F82</f>
        <v>0.46020288460968922</v>
      </c>
    </row>
    <row r="79" spans="1:10" x14ac:dyDescent="0.2">
      <c r="A79" t="str">
        <f t="shared" si="3"/>
        <v>EU-1_BH01</v>
      </c>
      <c r="B79" t="str">
        <f>Tabl_B2_Melt_Shop!A83</f>
        <v>120-82-1</v>
      </c>
      <c r="D79">
        <v>0</v>
      </c>
      <c r="E79" s="13">
        <f>Tabl_B2_Melt_Shop!C83</f>
        <v>2.1420713622911577E-4</v>
      </c>
      <c r="F79" s="13">
        <f>Tabl_B2_Melt_Shop!D83</f>
        <v>2.1420713622911577E-4</v>
      </c>
      <c r="G79" t="s">
        <v>406</v>
      </c>
      <c r="I79" s="13">
        <f>Tabl_B2_Melt_Shop!E83</f>
        <v>154.22913808496335</v>
      </c>
      <c r="J79" s="13">
        <f>Tabl_B2_Melt_Shop!F83</f>
        <v>0.79256640404772838</v>
      </c>
    </row>
    <row r="80" spans="1:10" x14ac:dyDescent="0.2">
      <c r="A80" t="str">
        <f t="shared" si="3"/>
        <v>EU-1_BH01</v>
      </c>
      <c r="B80" t="e">
        <f>Tabl_B2_Melt_Shop!#REF!</f>
        <v>#REF!</v>
      </c>
      <c r="D80">
        <v>0</v>
      </c>
      <c r="E80" s="13" t="e">
        <f>Tabl_B2_Melt_Shop!#REF!</f>
        <v>#REF!</v>
      </c>
      <c r="F80" s="13" t="e">
        <f>Tabl_B2_Melt_Shop!#REF!</f>
        <v>#REF!</v>
      </c>
      <c r="G80" t="s">
        <v>406</v>
      </c>
      <c r="I80" s="13" t="e">
        <f>Tabl_B2_Melt_Shop!#REF!</f>
        <v>#REF!</v>
      </c>
      <c r="J80" s="13" t="e">
        <f>Tabl_B2_Melt_Shop!#REF!</f>
        <v>#REF!</v>
      </c>
    </row>
    <row r="81" spans="1:25" x14ac:dyDescent="0.2">
      <c r="A81" t="str">
        <f t="shared" si="3"/>
        <v>EU-1_BH01</v>
      </c>
      <c r="B81">
        <f>Tabl_B2_Melt_Shop!A91</f>
        <v>239</v>
      </c>
      <c r="D81">
        <v>0</v>
      </c>
      <c r="E81" s="13">
        <f>Tabl_B2_Melt_Shop!C91</f>
        <v>3.5000000000000001E-3</v>
      </c>
      <c r="F81" s="13">
        <f>Tabl_B2_Melt_Shop!D91</f>
        <v>3.5000000000000001E-3</v>
      </c>
      <c r="G81" t="s">
        <v>407</v>
      </c>
      <c r="I81" s="13">
        <f>Tabl_B2_Melt_Shop!E91</f>
        <v>2099.16</v>
      </c>
      <c r="J81" s="13">
        <f>Tabl_B2_Melt_Shop!F91</f>
        <v>10.78735</v>
      </c>
      <c r="M81" t="str">
        <f>M57</f>
        <v>EU-1_BH01</v>
      </c>
      <c r="N81" t="s">
        <v>421</v>
      </c>
      <c r="O81" t="str">
        <f>O57</f>
        <v>Baghouse</v>
      </c>
      <c r="P81" t="str">
        <f t="shared" ref="P81:Q81" si="5">P57</f>
        <v>Stack</v>
      </c>
      <c r="Q81" t="str">
        <f t="shared" si="5"/>
        <v>BH01</v>
      </c>
      <c r="R81" s="169" t="s">
        <v>446</v>
      </c>
      <c r="S81" s="170" t="s">
        <v>447</v>
      </c>
      <c r="T81" s="171">
        <v>5600</v>
      </c>
      <c r="U81" s="172">
        <v>7000</v>
      </c>
      <c r="V81" s="173"/>
      <c r="W81" s="171">
        <v>560</v>
      </c>
      <c r="X81" s="172">
        <v>700</v>
      </c>
      <c r="Y81" s="173"/>
    </row>
    <row r="82" spans="1:25" x14ac:dyDescent="0.2">
      <c r="A82" t="str">
        <f>M$82</f>
        <v>EU-1_BH01A</v>
      </c>
      <c r="B82" t="str">
        <f>Tabl_B2_Melt_Shop!A112</f>
        <v>7429-90-5</v>
      </c>
      <c r="D82">
        <f>0.95*0.95</f>
        <v>0.90249999999999997</v>
      </c>
      <c r="E82" s="13">
        <f>Tabl_B2_Melt_Shop!C112</f>
        <v>9.2374977557831646E-5</v>
      </c>
      <c r="F82" s="13">
        <f>Tabl_B2_Melt_Shop!D112</f>
        <v>9.2374977557831646E-5</v>
      </c>
      <c r="G82" t="s">
        <v>406</v>
      </c>
      <c r="I82" s="13">
        <f>Tabl_B2_Melt_Shop!E112</f>
        <v>66.509983841638785</v>
      </c>
      <c r="J82" s="13">
        <f>Tabl_B2_Melt_Shop!F112</f>
        <v>0.34178741696397708</v>
      </c>
      <c r="M82" t="str">
        <f>Tabl_B2_Melt_Shop!E109</f>
        <v>EU-1_BH01A</v>
      </c>
      <c r="N82" t="s">
        <v>420</v>
      </c>
      <c r="O82" t="s">
        <v>414</v>
      </c>
      <c r="P82" t="s">
        <v>410</v>
      </c>
      <c r="Q82" t="s">
        <v>382</v>
      </c>
      <c r="R82" s="169" t="s">
        <v>172</v>
      </c>
      <c r="S82" s="170" t="s">
        <v>445</v>
      </c>
      <c r="T82" s="171">
        <v>444518</v>
      </c>
      <c r="U82" s="172">
        <v>948000</v>
      </c>
      <c r="V82" s="173"/>
      <c r="W82" s="171">
        <v>3500</v>
      </c>
      <c r="X82" s="172">
        <v>3700</v>
      </c>
    </row>
    <row r="83" spans="1:25" x14ac:dyDescent="0.2">
      <c r="A83" t="str">
        <f t="shared" ref="A83:A105" si="6">M$82</f>
        <v>EU-1_BH01A</v>
      </c>
      <c r="B83" t="str">
        <f>Tabl_B2_Melt_Shop!A113</f>
        <v>7440-36-0</v>
      </c>
      <c r="D83">
        <f t="shared" ref="D83:D97" si="7">0.95*0.95</f>
        <v>0.90249999999999997</v>
      </c>
      <c r="E83" s="13">
        <f>Tabl_B2_Melt_Shop!C113</f>
        <v>9.9403508458971019E-7</v>
      </c>
      <c r="F83" s="13">
        <f>Tabl_B2_Melt_Shop!D113</f>
        <v>9.9403508458971019E-7</v>
      </c>
      <c r="G83" t="s">
        <v>406</v>
      </c>
      <c r="I83" s="13">
        <f>Tabl_B2_Melt_Shop!E113</f>
        <v>0.7157052609045913</v>
      </c>
      <c r="J83" s="13">
        <f>Tabl_B2_Melt_Shop!F113</f>
        <v>3.6779298129819278E-3</v>
      </c>
    </row>
    <row r="84" spans="1:25" x14ac:dyDescent="0.2">
      <c r="A84" t="str">
        <f t="shared" si="6"/>
        <v>EU-1_BH01A</v>
      </c>
      <c r="B84" t="str">
        <f>Tabl_B2_Melt_Shop!A114</f>
        <v>7440-38-2</v>
      </c>
      <c r="D84">
        <f t="shared" si="7"/>
        <v>0.90249999999999997</v>
      </c>
      <c r="E84" s="13">
        <f>Tabl_B2_Melt_Shop!C114</f>
        <v>0</v>
      </c>
      <c r="F84" s="13">
        <f>Tabl_B2_Melt_Shop!D114</f>
        <v>0</v>
      </c>
      <c r="G84" t="s">
        <v>406</v>
      </c>
      <c r="I84" s="13">
        <f>Tabl_B2_Melt_Shop!E114</f>
        <v>0</v>
      </c>
      <c r="J84" s="13">
        <f>Tabl_B2_Melt_Shop!F114</f>
        <v>0</v>
      </c>
    </row>
    <row r="85" spans="1:25" x14ac:dyDescent="0.2">
      <c r="A85" t="str">
        <f t="shared" si="6"/>
        <v>EU-1_BH01A</v>
      </c>
      <c r="B85" t="str">
        <f>Tabl_B2_Melt_Shop!A115</f>
        <v>7440-41-7</v>
      </c>
      <c r="D85">
        <f t="shared" si="7"/>
        <v>0.90249999999999997</v>
      </c>
      <c r="E85" s="13">
        <f>Tabl_B2_Melt_Shop!C115</f>
        <v>0</v>
      </c>
      <c r="F85" s="13">
        <f>Tabl_B2_Melt_Shop!D115</f>
        <v>0</v>
      </c>
      <c r="G85" t="s">
        <v>406</v>
      </c>
      <c r="I85" s="13">
        <f>Tabl_B2_Melt_Shop!E115</f>
        <v>0</v>
      </c>
      <c r="J85" s="13">
        <f>Tabl_B2_Melt_Shop!F115</f>
        <v>0</v>
      </c>
    </row>
    <row r="86" spans="1:25" x14ac:dyDescent="0.2">
      <c r="A86" t="str">
        <f t="shared" si="6"/>
        <v>EU-1_BH01A</v>
      </c>
      <c r="B86" t="str">
        <f>Tabl_B2_Melt_Shop!A116</f>
        <v>7440-43-9</v>
      </c>
      <c r="D86">
        <f t="shared" si="7"/>
        <v>0.90249999999999997</v>
      </c>
      <c r="E86" s="13">
        <f>Tabl_B2_Melt_Shop!C116</f>
        <v>3.5845507595810762E-6</v>
      </c>
      <c r="F86" s="13">
        <f>Tabl_B2_Melt_Shop!D116</f>
        <v>3.5845507595810762E-6</v>
      </c>
      <c r="G86" t="s">
        <v>406</v>
      </c>
      <c r="I86" s="13">
        <f>Tabl_B2_Melt_Shop!E116</f>
        <v>2.580876546898375</v>
      </c>
      <c r="J86" s="13">
        <f>Tabl_B2_Melt_Shop!F116</f>
        <v>1.3262837810449983E-2</v>
      </c>
    </row>
    <row r="87" spans="1:25" x14ac:dyDescent="0.2">
      <c r="A87" t="str">
        <f t="shared" si="6"/>
        <v>EU-1_BH01A</v>
      </c>
      <c r="B87" t="str">
        <f>Tabl_B2_Melt_Shop!A117</f>
        <v>18540-29-9</v>
      </c>
      <c r="D87">
        <f t="shared" si="7"/>
        <v>0.90249999999999997</v>
      </c>
      <c r="E87" s="13">
        <f>Tabl_B2_Melt_Shop!C117</f>
        <v>2.2043722035861418E-6</v>
      </c>
      <c r="F87" s="13">
        <f>Tabl_B2_Melt_Shop!D117</f>
        <v>1.0687865229508566E-4</v>
      </c>
      <c r="G87" t="s">
        <v>406</v>
      </c>
      <c r="I87" s="13">
        <f>Tabl_B2_Melt_Shop!E117</f>
        <v>1.5871479865820222</v>
      </c>
      <c r="J87" s="13">
        <f>Tabl_B2_Melt_Shop!F117</f>
        <v>0.39545101349181694</v>
      </c>
    </row>
    <row r="88" spans="1:25" x14ac:dyDescent="0.2">
      <c r="A88" t="str">
        <f t="shared" si="6"/>
        <v>EU-1_BH01A</v>
      </c>
      <c r="B88" t="str">
        <f>Tabl_B2_Melt_Shop!A118</f>
        <v>7440-48-4</v>
      </c>
      <c r="D88">
        <f t="shared" si="7"/>
        <v>0.90249999999999997</v>
      </c>
      <c r="E88" s="13">
        <f>Tabl_B2_Melt_Shop!C118</f>
        <v>0</v>
      </c>
      <c r="F88" s="13">
        <f>Tabl_B2_Melt_Shop!D118</f>
        <v>0</v>
      </c>
      <c r="G88" t="s">
        <v>406</v>
      </c>
      <c r="I88" s="13">
        <f>Tabl_B2_Melt_Shop!E118</f>
        <v>0</v>
      </c>
      <c r="J88" s="13">
        <f>Tabl_B2_Melt_Shop!F118</f>
        <v>0</v>
      </c>
    </row>
    <row r="89" spans="1:25" x14ac:dyDescent="0.2">
      <c r="A89" t="str">
        <f t="shared" si="6"/>
        <v>EU-1_BH01A</v>
      </c>
      <c r="B89" t="str">
        <f>Tabl_B2_Melt_Shop!A119</f>
        <v>7440-50-8</v>
      </c>
      <c r="D89">
        <f t="shared" si="7"/>
        <v>0.90249999999999997</v>
      </c>
      <c r="E89" s="13">
        <f>Tabl_B2_Melt_Shop!C119</f>
        <v>2.0884777534814113E-5</v>
      </c>
      <c r="F89" s="13">
        <f>Tabl_B2_Melt_Shop!D119</f>
        <v>2.0884777534814113E-5</v>
      </c>
      <c r="G89" t="s">
        <v>406</v>
      </c>
      <c r="I89" s="13">
        <f>Tabl_B2_Melt_Shop!E119</f>
        <v>15.037039825066161</v>
      </c>
      <c r="J89" s="13">
        <f>Tabl_B2_Melt_Shop!F119</f>
        <v>7.7273676878812217E-2</v>
      </c>
    </row>
    <row r="90" spans="1:25" x14ac:dyDescent="0.2">
      <c r="A90" t="str">
        <f t="shared" si="6"/>
        <v>EU-1_BH01A</v>
      </c>
      <c r="B90" t="str">
        <f>Tabl_B2_Melt_Shop!A120</f>
        <v>7439-92-1</v>
      </c>
      <c r="D90">
        <f t="shared" si="7"/>
        <v>0.90249999999999997</v>
      </c>
      <c r="E90" s="13">
        <f>Tabl_B2_Melt_Shop!C120</f>
        <v>1.0643203936011037E-4</v>
      </c>
      <c r="F90" s="13">
        <f>Tabl_B2_Melt_Shop!D120</f>
        <v>1.0643203936011037E-4</v>
      </c>
      <c r="G90" t="s">
        <v>406</v>
      </c>
      <c r="I90" s="13">
        <f>Tabl_B2_Melt_Shop!E120</f>
        <v>76.631068339279466</v>
      </c>
      <c r="J90" s="13">
        <f>Tabl_B2_Melt_Shop!F120</f>
        <v>0.3937985456324084</v>
      </c>
    </row>
    <row r="91" spans="1:25" x14ac:dyDescent="0.2">
      <c r="A91" t="str">
        <f t="shared" si="6"/>
        <v>EU-1_BH01A</v>
      </c>
      <c r="B91" t="str">
        <f>Tabl_B2_Melt_Shop!A121</f>
        <v>7439-96-5</v>
      </c>
      <c r="D91">
        <f t="shared" si="7"/>
        <v>0.90249999999999997</v>
      </c>
      <c r="E91" s="13">
        <f>Tabl_B2_Melt_Shop!C121</f>
        <v>1.8977033433076288E-4</v>
      </c>
      <c r="F91" s="13">
        <f>Tabl_B2_Melt_Shop!D121</f>
        <v>1.8977033433076288E-4</v>
      </c>
      <c r="G91" t="s">
        <v>406</v>
      </c>
      <c r="I91" s="13">
        <f>Tabl_B2_Melt_Shop!E121</f>
        <v>136.63464071814929</v>
      </c>
      <c r="J91" s="13">
        <f>Tabl_B2_Melt_Shop!F121</f>
        <v>0.70215023702382262</v>
      </c>
    </row>
    <row r="92" spans="1:25" x14ac:dyDescent="0.2">
      <c r="A92" t="str">
        <f t="shared" si="6"/>
        <v>EU-1_BH01A</v>
      </c>
      <c r="B92" t="str">
        <f>Tabl_B2_Melt_Shop!A122</f>
        <v>7439-97-6</v>
      </c>
      <c r="D92">
        <f t="shared" si="7"/>
        <v>0.90249999999999997</v>
      </c>
      <c r="E92" s="13">
        <f>Tabl_B2_Melt_Shop!C122</f>
        <v>6.7674711819541891E-7</v>
      </c>
      <c r="F92" s="13">
        <f>Tabl_B2_Melt_Shop!D122</f>
        <v>6.7674711819541891E-7</v>
      </c>
      <c r="G92" t="s">
        <v>406</v>
      </c>
      <c r="I92" s="13">
        <f>Tabl_B2_Melt_Shop!E122</f>
        <v>0.48725792510070159</v>
      </c>
      <c r="J92" s="13">
        <f>Tabl_B2_Melt_Shop!F122</f>
        <v>2.5039643373230502E-3</v>
      </c>
    </row>
    <row r="93" spans="1:25" x14ac:dyDescent="0.2">
      <c r="A93" t="str">
        <f t="shared" si="6"/>
        <v>EU-1_BH01A</v>
      </c>
      <c r="B93">
        <f>Tabl_B2_Melt_Shop!A123</f>
        <v>365</v>
      </c>
      <c r="D93">
        <f t="shared" si="7"/>
        <v>0.90249999999999997</v>
      </c>
      <c r="E93" s="13">
        <f>Tabl_B2_Melt_Shop!C123</f>
        <v>3.0925535965013207E-6</v>
      </c>
      <c r="F93" s="13">
        <f>Tabl_B2_Melt_Shop!D123</f>
        <v>3.0925535965013207E-6</v>
      </c>
      <c r="G93" t="s">
        <v>406</v>
      </c>
      <c r="I93" s="13">
        <f>Tabl_B2_Melt_Shop!E123</f>
        <v>2.2266385894809511</v>
      </c>
      <c r="J93" s="13">
        <f>Tabl_B2_Melt_Shop!F123</f>
        <v>1.1442448307054888E-2</v>
      </c>
    </row>
    <row r="94" spans="1:25" x14ac:dyDescent="0.2">
      <c r="A94" t="str">
        <f t="shared" si="6"/>
        <v>EU-1_BH01A</v>
      </c>
      <c r="B94">
        <f>Tabl_B2_Melt_Shop!A124</f>
        <v>504</v>
      </c>
      <c r="D94">
        <f t="shared" si="7"/>
        <v>0.90249999999999997</v>
      </c>
      <c r="E94" s="13">
        <f>Tabl_B2_Melt_Shop!C124</f>
        <v>1.0040758430199093E-5</v>
      </c>
      <c r="F94" s="13">
        <f>Tabl_B2_Melt_Shop!D124</f>
        <v>1.0040758430199093E-5</v>
      </c>
      <c r="G94" t="s">
        <v>406</v>
      </c>
      <c r="I94" s="13">
        <f>Tabl_B2_Melt_Shop!E124</f>
        <v>7.2293460697433467</v>
      </c>
      <c r="J94" s="13">
        <f>Tabl_B2_Melt_Shop!F124</f>
        <v>3.7150806191736642E-2</v>
      </c>
    </row>
    <row r="95" spans="1:25" x14ac:dyDescent="0.2">
      <c r="A95" t="str">
        <f t="shared" si="6"/>
        <v>EU-1_BH01A</v>
      </c>
      <c r="B95" t="str">
        <f>Tabl_B2_Melt_Shop!A125</f>
        <v>7782-49-2</v>
      </c>
      <c r="D95">
        <f t="shared" si="7"/>
        <v>0.90249999999999997</v>
      </c>
      <c r="E95" s="13">
        <f>Tabl_B2_Melt_Shop!C125</f>
        <v>0</v>
      </c>
      <c r="F95" s="13">
        <f>Tabl_B2_Melt_Shop!D125</f>
        <v>0</v>
      </c>
      <c r="G95" t="s">
        <v>406</v>
      </c>
      <c r="I95" s="13">
        <f>Tabl_B2_Melt_Shop!E125</f>
        <v>0</v>
      </c>
      <c r="J95" s="13">
        <f>Tabl_B2_Melt_Shop!F125</f>
        <v>0</v>
      </c>
    </row>
    <row r="96" spans="1:25" x14ac:dyDescent="0.2">
      <c r="A96" t="str">
        <f t="shared" si="6"/>
        <v>EU-1_BH01A</v>
      </c>
      <c r="B96" t="str">
        <f>Tabl_B2_Melt_Shop!A126</f>
        <v>7440-62-2</v>
      </c>
      <c r="D96">
        <f t="shared" si="7"/>
        <v>0.90249999999999997</v>
      </c>
      <c r="E96" s="13">
        <f>Tabl_B2_Melt_Shop!C126</f>
        <v>1.0442388767407054E-6</v>
      </c>
      <c r="F96" s="13">
        <f>Tabl_B2_Melt_Shop!D126</f>
        <v>1.0442388767407054E-6</v>
      </c>
      <c r="G96" t="s">
        <v>406</v>
      </c>
      <c r="I96" s="13">
        <f>Tabl_B2_Melt_Shop!E126</f>
        <v>0.75185199125330793</v>
      </c>
      <c r="J96" s="13">
        <f>Tabl_B2_Melt_Shop!F126</f>
        <v>3.8636838439406102E-3</v>
      </c>
    </row>
    <row r="97" spans="1:24" x14ac:dyDescent="0.2">
      <c r="A97" t="str">
        <f t="shared" si="6"/>
        <v>EU-1_BH01A</v>
      </c>
      <c r="B97" t="str">
        <f>Tabl_B2_Melt_Shop!A127</f>
        <v>7440-66-6</v>
      </c>
      <c r="D97">
        <f t="shared" si="7"/>
        <v>0.90249999999999997</v>
      </c>
      <c r="E97" s="13">
        <f>Tabl_B2_Melt_Shop!C127</f>
        <v>2.0181924444700175E-3</v>
      </c>
      <c r="F97" s="13">
        <f>Tabl_B2_Melt_Shop!D127</f>
        <v>2.0181924444700175E-3</v>
      </c>
      <c r="G97" t="s">
        <v>406</v>
      </c>
      <c r="I97" s="13">
        <f>Tabl_B2_Melt_Shop!E127</f>
        <v>1453.0985600184126</v>
      </c>
      <c r="J97" s="13">
        <f>Tabl_B2_Melt_Shop!F127</f>
        <v>7.4673120445390646</v>
      </c>
    </row>
    <row r="98" spans="1:24" x14ac:dyDescent="0.2">
      <c r="A98" t="str">
        <f t="shared" si="6"/>
        <v>EU-1_BH01A</v>
      </c>
      <c r="B98" t="str">
        <f>Tabl_B2_Melt_Shop!A128</f>
        <v>71-43-2</v>
      </c>
      <c r="D98">
        <v>0</v>
      </c>
      <c r="E98" s="13">
        <f>Tabl_B2_Melt_Shop!C128</f>
        <v>1.9398463385354142E-3</v>
      </c>
      <c r="F98" s="13">
        <f>Tabl_B2_Melt_Shop!D128</f>
        <v>1.9398463385354142E-3</v>
      </c>
      <c r="G98" t="s">
        <v>406</v>
      </c>
      <c r="I98" s="13">
        <f>Tabl_B2_Melt_Shop!E128</f>
        <v>1396.6893637454982</v>
      </c>
      <c r="J98" s="13">
        <f>Tabl_B2_Melt_Shop!F128</f>
        <v>7.1774314525810325</v>
      </c>
    </row>
    <row r="99" spans="1:24" x14ac:dyDescent="0.2">
      <c r="A99" t="str">
        <f t="shared" si="6"/>
        <v>EU-1_BH01A</v>
      </c>
      <c r="B99" t="str">
        <f>Tabl_B2_Melt_Shop!A138</f>
        <v>75-09-2</v>
      </c>
      <c r="D99">
        <v>0</v>
      </c>
      <c r="E99" s="13">
        <f>Tabl_B2_Melt_Shop!C138</f>
        <v>1.8140076221276018E-5</v>
      </c>
      <c r="F99" s="13">
        <f>Tabl_B2_Melt_Shop!D138</f>
        <v>1.8140076221276018E-5</v>
      </c>
      <c r="G99" t="s">
        <v>406</v>
      </c>
      <c r="I99" s="13">
        <f>Tabl_B2_Melt_Shop!E138</f>
        <v>13.060854879318732</v>
      </c>
      <c r="J99" s="13">
        <f>Tabl_B2_Melt_Shop!F138</f>
        <v>6.7118282018721262E-2</v>
      </c>
    </row>
    <row r="100" spans="1:24" x14ac:dyDescent="0.2">
      <c r="A100" t="str">
        <f t="shared" si="6"/>
        <v>EU-1_BH01A</v>
      </c>
      <c r="B100" t="str">
        <f>Tabl_B2_Melt_Shop!A139</f>
        <v>79-34-5</v>
      </c>
      <c r="D100">
        <v>0</v>
      </c>
      <c r="E100" s="13">
        <f>Tabl_B2_Melt_Shop!C139</f>
        <v>4.0158713991252566E-5</v>
      </c>
      <c r="F100" s="13">
        <f>Tabl_B2_Melt_Shop!D139</f>
        <v>4.0158713991252566E-5</v>
      </c>
      <c r="G100" t="s">
        <v>406</v>
      </c>
      <c r="I100" s="13">
        <f>Tabl_B2_Melt_Shop!E139</f>
        <v>28.914274073701847</v>
      </c>
      <c r="J100" s="13">
        <f>Tabl_B2_Melt_Shop!F139</f>
        <v>0.14858724176763449</v>
      </c>
    </row>
    <row r="101" spans="1:24" x14ac:dyDescent="0.2">
      <c r="A101" t="str">
        <f t="shared" si="6"/>
        <v>EU-1_BH01A</v>
      </c>
      <c r="B101" t="str">
        <f>Tabl_B2_Melt_Shop!A140</f>
        <v>95-63-6</v>
      </c>
      <c r="D101">
        <v>0</v>
      </c>
      <c r="E101" s="13">
        <f>Tabl_B2_Melt_Shop!C140</f>
        <v>2.4935557486719478E-5</v>
      </c>
      <c r="F101" s="13">
        <f>Tabl_B2_Melt_Shop!D140</f>
        <v>2.4935557486719478E-5</v>
      </c>
      <c r="G101" t="s">
        <v>406</v>
      </c>
      <c r="I101" s="13">
        <f>Tabl_B2_Melt_Shop!E140</f>
        <v>17.953601390438024</v>
      </c>
      <c r="J101" s="13">
        <f>Tabl_B2_Melt_Shop!F140</f>
        <v>9.2261562700862068E-2</v>
      </c>
    </row>
    <row r="102" spans="1:24" x14ac:dyDescent="0.2">
      <c r="A102" t="str">
        <f t="shared" si="6"/>
        <v>EU-1_BH01A</v>
      </c>
      <c r="B102" t="str">
        <f>Tabl_B2_Melt_Shop!A141</f>
        <v>120-82-1</v>
      </c>
      <c r="D102">
        <v>0</v>
      </c>
      <c r="E102" s="13">
        <f>Tabl_B2_Melt_Shop!C141</f>
        <v>4.2944287815440976E-5</v>
      </c>
      <c r="F102" s="13">
        <f>Tabl_B2_Melt_Shop!D141</f>
        <v>4.2944287815440976E-5</v>
      </c>
      <c r="G102" t="s">
        <v>406</v>
      </c>
      <c r="I102" s="13">
        <f>Tabl_B2_Melt_Shop!E141</f>
        <v>30.919887227117503</v>
      </c>
      <c r="J102" s="13">
        <f>Tabl_B2_Melt_Shop!F141</f>
        <v>0.15889386491713162</v>
      </c>
    </row>
    <row r="103" spans="1:24" x14ac:dyDescent="0.2">
      <c r="A103" t="str">
        <f t="shared" si="6"/>
        <v>EU-1_BH01A</v>
      </c>
      <c r="B103" t="e">
        <f>Tabl_B2_Melt_Shop!#REF!</f>
        <v>#REF!</v>
      </c>
      <c r="D103">
        <v>0</v>
      </c>
      <c r="E103" s="13" t="e">
        <f>Tabl_B2_Melt_Shop!#REF!</f>
        <v>#REF!</v>
      </c>
      <c r="F103" s="13" t="e">
        <f>Tabl_B2_Melt_Shop!#REF!</f>
        <v>#REF!</v>
      </c>
      <c r="G103" t="s">
        <v>406</v>
      </c>
      <c r="I103" s="13" t="e">
        <f>Tabl_B2_Melt_Shop!#REF!</f>
        <v>#REF!</v>
      </c>
      <c r="J103" s="13" t="e">
        <f>Tabl_B2_Melt_Shop!#REF!</f>
        <v>#REF!</v>
      </c>
    </row>
    <row r="104" spans="1:24" x14ac:dyDescent="0.2">
      <c r="A104" t="str">
        <f t="shared" si="6"/>
        <v>EU-1_BH01A</v>
      </c>
      <c r="B104" t="e">
        <f>Tabl_B2_Melt_Shop!#REF!</f>
        <v>#REF!</v>
      </c>
      <c r="D104">
        <v>0</v>
      </c>
      <c r="E104" s="13" t="e">
        <f>Tabl_B2_Melt_Shop!#REF!</f>
        <v>#REF!</v>
      </c>
      <c r="F104" s="13" t="e">
        <f>Tabl_B2_Melt_Shop!#REF!</f>
        <v>#REF!</v>
      </c>
      <c r="G104" t="s">
        <v>406</v>
      </c>
      <c r="I104" s="13" t="e">
        <f>Tabl_B2_Melt_Shop!#REF!</f>
        <v>#REF!</v>
      </c>
      <c r="J104" s="13" t="e">
        <f>Tabl_B2_Melt_Shop!#REF!</f>
        <v>#REF!</v>
      </c>
    </row>
    <row r="105" spans="1:24" x14ac:dyDescent="0.2">
      <c r="A105" t="str">
        <f t="shared" si="6"/>
        <v>EU-1_BH01A</v>
      </c>
      <c r="B105" t="e">
        <f>Tabl_B2_Melt_Shop!#REF!</f>
        <v>#REF!</v>
      </c>
      <c r="D105">
        <v>0</v>
      </c>
      <c r="E105" s="13" t="e">
        <f>Tabl_B2_Melt_Shop!#REF!</f>
        <v>#REF!</v>
      </c>
      <c r="F105" s="13" t="e">
        <f>Tabl_B2_Melt_Shop!#REF!</f>
        <v>#REF!</v>
      </c>
      <c r="G105" t="s">
        <v>406</v>
      </c>
      <c r="I105" s="13" t="e">
        <f>Tabl_B2_Melt_Shop!#REF!</f>
        <v>#REF!</v>
      </c>
      <c r="J105" s="13" t="e">
        <f>Tabl_B2_Melt_Shop!#REF!</f>
        <v>#REF!</v>
      </c>
    </row>
    <row r="106" spans="1:24" x14ac:dyDescent="0.2">
      <c r="A106">
        <f>M$106</f>
        <v>0</v>
      </c>
      <c r="B106" t="str">
        <f>Tabl_B2_Melt_Shop!A164</f>
        <v>7429-90-5</v>
      </c>
      <c r="D106">
        <f t="shared" ref="D106:D121" si="8">0.95*0.95</f>
        <v>0.90249999999999997</v>
      </c>
      <c r="E106" s="13">
        <f>Tabl_B2_Melt_Shop!C164</f>
        <v>7.1265661927330916E-5</v>
      </c>
      <c r="F106" s="13">
        <f>Tabl_B2_Melt_Shop!D164</f>
        <v>7.1265661927330916E-5</v>
      </c>
      <c r="G106" t="s">
        <v>406</v>
      </c>
      <c r="I106" s="13">
        <f>Tabl_B2_Melt_Shop!E164</f>
        <v>51.311276587678257</v>
      </c>
      <c r="J106" s="13">
        <f>Tabl_B2_Melt_Shop!F164</f>
        <v>0.26368294913112439</v>
      </c>
      <c r="M106">
        <f>Tabl_B2_Melt_Shop!E161</f>
        <v>0</v>
      </c>
      <c r="N106" t="s">
        <v>422</v>
      </c>
      <c r="O106" t="str">
        <f t="shared" ref="O106:P106" si="9">O82</f>
        <v>Baghouse</v>
      </c>
      <c r="P106" t="str">
        <f t="shared" si="9"/>
        <v>Stack</v>
      </c>
      <c r="Q106" t="s">
        <v>48</v>
      </c>
      <c r="R106" s="169" t="s">
        <v>172</v>
      </c>
      <c r="S106" s="170" t="s">
        <v>445</v>
      </c>
      <c r="T106" s="171">
        <v>444518</v>
      </c>
      <c r="U106" s="172">
        <v>948000</v>
      </c>
      <c r="V106" s="173"/>
      <c r="W106" s="171">
        <v>3500</v>
      </c>
      <c r="X106" s="172">
        <v>3700</v>
      </c>
    </row>
    <row r="107" spans="1:24" x14ac:dyDescent="0.2">
      <c r="A107">
        <f t="shared" ref="A107:A121" si="10">M$106</f>
        <v>0</v>
      </c>
      <c r="B107" t="str">
        <f>Tabl_B2_Melt_Shop!A165</f>
        <v>7440-36-0</v>
      </c>
      <c r="D107">
        <f t="shared" si="8"/>
        <v>0.90249999999999997</v>
      </c>
      <c r="E107" s="13">
        <f>Tabl_B2_Melt_Shop!C165</f>
        <v>0</v>
      </c>
      <c r="F107" s="13">
        <f>Tabl_B2_Melt_Shop!D165</f>
        <v>0</v>
      </c>
      <c r="G107" t="s">
        <v>406</v>
      </c>
      <c r="I107" s="13">
        <f>Tabl_B2_Melt_Shop!E165</f>
        <v>0</v>
      </c>
      <c r="J107" s="13">
        <f>Tabl_B2_Melt_Shop!F165</f>
        <v>0</v>
      </c>
    </row>
    <row r="108" spans="1:24" x14ac:dyDescent="0.2">
      <c r="A108">
        <f t="shared" si="10"/>
        <v>0</v>
      </c>
      <c r="B108" t="str">
        <f>Tabl_B2_Melt_Shop!A166</f>
        <v>7440-38-2</v>
      </c>
      <c r="D108">
        <f t="shared" si="8"/>
        <v>0.90249999999999997</v>
      </c>
      <c r="E108" s="13">
        <f>Tabl_B2_Melt_Shop!C166</f>
        <v>0</v>
      </c>
      <c r="F108" s="13">
        <f>Tabl_B2_Melt_Shop!D166</f>
        <v>0</v>
      </c>
      <c r="G108" t="s">
        <v>406</v>
      </c>
      <c r="I108" s="13">
        <f>Tabl_B2_Melt_Shop!E166</f>
        <v>0</v>
      </c>
      <c r="J108" s="13">
        <f>Tabl_B2_Melt_Shop!F166</f>
        <v>0</v>
      </c>
    </row>
    <row r="109" spans="1:24" x14ac:dyDescent="0.2">
      <c r="A109">
        <f t="shared" si="10"/>
        <v>0</v>
      </c>
      <c r="B109" t="str">
        <f>Tabl_B2_Melt_Shop!A167</f>
        <v>7440-41-7</v>
      </c>
      <c r="D109">
        <f t="shared" si="8"/>
        <v>0.90249999999999997</v>
      </c>
      <c r="E109" s="13">
        <f>Tabl_B2_Melt_Shop!C167</f>
        <v>0</v>
      </c>
      <c r="F109" s="13">
        <f>Tabl_B2_Melt_Shop!D167</f>
        <v>0</v>
      </c>
      <c r="G109" t="s">
        <v>406</v>
      </c>
      <c r="I109" s="13">
        <f>Tabl_B2_Melt_Shop!E167</f>
        <v>0</v>
      </c>
      <c r="J109" s="13">
        <f>Tabl_B2_Melt_Shop!F167</f>
        <v>0</v>
      </c>
    </row>
    <row r="110" spans="1:24" x14ac:dyDescent="0.2">
      <c r="A110">
        <f t="shared" si="10"/>
        <v>0</v>
      </c>
      <c r="B110" t="str">
        <f>Tabl_B2_Melt_Shop!A168</f>
        <v>7440-43-9</v>
      </c>
      <c r="D110">
        <f t="shared" si="8"/>
        <v>0.90249999999999997</v>
      </c>
      <c r="E110" s="13">
        <f>Tabl_B2_Melt_Shop!C168</f>
        <v>0</v>
      </c>
      <c r="F110" s="13">
        <f>Tabl_B2_Melt_Shop!D168</f>
        <v>0</v>
      </c>
      <c r="G110" t="s">
        <v>406</v>
      </c>
      <c r="I110" s="13">
        <f>Tabl_B2_Melt_Shop!E168</f>
        <v>0</v>
      </c>
      <c r="J110" s="13">
        <f>Tabl_B2_Melt_Shop!F168</f>
        <v>0</v>
      </c>
    </row>
    <row r="111" spans="1:24" x14ac:dyDescent="0.2">
      <c r="A111">
        <f t="shared" si="10"/>
        <v>0</v>
      </c>
      <c r="B111" t="str">
        <f>Tabl_B2_Melt_Shop!A169</f>
        <v>18540-29-9</v>
      </c>
      <c r="D111">
        <f t="shared" si="8"/>
        <v>0.90249999999999997</v>
      </c>
      <c r="E111" s="13">
        <f>Tabl_B2_Melt_Shop!C169</f>
        <v>9.9109035253081598E-8</v>
      </c>
      <c r="F111" s="13">
        <f>Tabl_B2_Melt_Shop!D169</f>
        <v>4.8052865577251684E-6</v>
      </c>
      <c r="G111" t="s">
        <v>406</v>
      </c>
      <c r="I111" s="13">
        <f>Tabl_B2_Melt_Shop!E169</f>
        <v>7.1358505382218745E-2</v>
      </c>
      <c r="J111" s="13">
        <f>Tabl_B2_Melt_Shop!F169</f>
        <v>1.7779560263583124E-2</v>
      </c>
    </row>
    <row r="112" spans="1:24" x14ac:dyDescent="0.2">
      <c r="A112">
        <f t="shared" si="10"/>
        <v>0</v>
      </c>
      <c r="B112" t="str">
        <f>Tabl_B2_Melt_Shop!A170</f>
        <v>7440-48-4</v>
      </c>
      <c r="D112">
        <f t="shared" si="8"/>
        <v>0.90249999999999997</v>
      </c>
      <c r="E112" s="13">
        <f>Tabl_B2_Melt_Shop!C170</f>
        <v>0</v>
      </c>
      <c r="F112" s="13">
        <f>Tabl_B2_Melt_Shop!D170</f>
        <v>0</v>
      </c>
      <c r="G112" t="s">
        <v>406</v>
      </c>
      <c r="I112" s="13">
        <f>Tabl_B2_Melt_Shop!E170</f>
        <v>0</v>
      </c>
      <c r="J112" s="13">
        <f>Tabl_B2_Melt_Shop!F170</f>
        <v>0</v>
      </c>
    </row>
    <row r="113" spans="1:25" x14ac:dyDescent="0.2">
      <c r="A113">
        <f t="shared" si="10"/>
        <v>0</v>
      </c>
      <c r="B113" t="str">
        <f>Tabl_B2_Melt_Shop!A171</f>
        <v>7440-50-8</v>
      </c>
      <c r="D113">
        <f t="shared" si="8"/>
        <v>0.90249999999999997</v>
      </c>
      <c r="E113" s="13">
        <f>Tabl_B2_Melt_Shop!C171</f>
        <v>0</v>
      </c>
      <c r="F113" s="13">
        <f>Tabl_B2_Melt_Shop!D171</f>
        <v>0</v>
      </c>
      <c r="G113" t="s">
        <v>406</v>
      </c>
      <c r="I113" s="13">
        <f>Tabl_B2_Melt_Shop!E171</f>
        <v>0</v>
      </c>
      <c r="J113" s="13">
        <f>Tabl_B2_Melt_Shop!F171</f>
        <v>0</v>
      </c>
    </row>
    <row r="114" spans="1:25" x14ac:dyDescent="0.2">
      <c r="A114">
        <f t="shared" si="10"/>
        <v>0</v>
      </c>
      <c r="B114" t="str">
        <f>Tabl_B2_Melt_Shop!A172</f>
        <v>7439-92-1</v>
      </c>
      <c r="D114">
        <f t="shared" si="8"/>
        <v>0.90249999999999997</v>
      </c>
      <c r="E114" s="13">
        <f>Tabl_B2_Melt_Shop!C172</f>
        <v>3.140520695102718E-6</v>
      </c>
      <c r="F114" s="13">
        <f>Tabl_B2_Melt_Shop!D172</f>
        <v>3.140520695102718E-6</v>
      </c>
      <c r="G114" t="s">
        <v>406</v>
      </c>
      <c r="I114" s="13">
        <f>Tabl_B2_Melt_Shop!E172</f>
        <v>2.2611749004739572</v>
      </c>
      <c r="J114" s="13">
        <f>Tabl_B2_Melt_Shop!F172</f>
        <v>1.1619926571880056E-2</v>
      </c>
    </row>
    <row r="115" spans="1:25" x14ac:dyDescent="0.2">
      <c r="A115">
        <f t="shared" si="10"/>
        <v>0</v>
      </c>
      <c r="B115" t="str">
        <f>Tabl_B2_Melt_Shop!A173</f>
        <v>7439-96-5</v>
      </c>
      <c r="D115">
        <f t="shared" si="8"/>
        <v>0.90249999999999997</v>
      </c>
      <c r="E115" s="13">
        <f>Tabl_B2_Melt_Shop!C173</f>
        <v>5.1939380726698815E-6</v>
      </c>
      <c r="F115" s="13">
        <f>Tabl_B2_Melt_Shop!D173</f>
        <v>5.1939380726698815E-6</v>
      </c>
      <c r="G115" t="s">
        <v>406</v>
      </c>
      <c r="I115" s="13">
        <f>Tabl_B2_Melt_Shop!E173</f>
        <v>3.7396354123223148</v>
      </c>
      <c r="J115" s="13">
        <f>Tabl_B2_Melt_Shop!F173</f>
        <v>1.9217570868878563E-2</v>
      </c>
    </row>
    <row r="116" spans="1:25" x14ac:dyDescent="0.2">
      <c r="A116">
        <f t="shared" si="10"/>
        <v>0</v>
      </c>
      <c r="B116" t="str">
        <f>Tabl_B2_Melt_Shop!A174</f>
        <v>7439-97-6</v>
      </c>
      <c r="D116">
        <f t="shared" si="8"/>
        <v>0.90249999999999997</v>
      </c>
      <c r="E116" s="13">
        <f>Tabl_B2_Melt_Shop!C174</f>
        <v>5.3992798104265958E-8</v>
      </c>
      <c r="F116" s="13">
        <f>Tabl_B2_Melt_Shop!D174</f>
        <v>5.3992798104265958E-8</v>
      </c>
      <c r="G116" t="s">
        <v>406</v>
      </c>
      <c r="I116" s="13">
        <f>Tabl_B2_Melt_Shop!E174</f>
        <v>3.8874814635071489E-2</v>
      </c>
      <c r="J116" s="13">
        <f>Tabl_B2_Melt_Shop!F174</f>
        <v>1.9977335298578403E-4</v>
      </c>
    </row>
    <row r="117" spans="1:25" x14ac:dyDescent="0.2">
      <c r="A117">
        <f t="shared" si="10"/>
        <v>0</v>
      </c>
      <c r="B117">
        <f>Tabl_B2_Melt_Shop!A175</f>
        <v>365</v>
      </c>
      <c r="D117">
        <f t="shared" si="8"/>
        <v>0.90249999999999997</v>
      </c>
      <c r="E117" s="13">
        <f>Tabl_B2_Melt_Shop!C175</f>
        <v>0</v>
      </c>
      <c r="F117" s="13">
        <f>Tabl_B2_Melt_Shop!D175</f>
        <v>0</v>
      </c>
      <c r="G117" t="s">
        <v>406</v>
      </c>
      <c r="I117" s="13">
        <f>Tabl_B2_Melt_Shop!E175</f>
        <v>0</v>
      </c>
      <c r="J117" s="13">
        <f>Tabl_B2_Melt_Shop!F175</f>
        <v>0</v>
      </c>
    </row>
    <row r="118" spans="1:25" x14ac:dyDescent="0.2">
      <c r="A118">
        <f t="shared" si="10"/>
        <v>0</v>
      </c>
      <c r="B118">
        <f>Tabl_B2_Melt_Shop!A176</f>
        <v>504</v>
      </c>
      <c r="D118">
        <f t="shared" si="8"/>
        <v>0.90249999999999997</v>
      </c>
      <c r="E118" s="13">
        <f>Tabl_B2_Melt_Shop!C176</f>
        <v>0</v>
      </c>
      <c r="F118" s="13">
        <f>Tabl_B2_Melt_Shop!D176</f>
        <v>0</v>
      </c>
      <c r="G118" t="s">
        <v>406</v>
      </c>
      <c r="I118" s="13">
        <f>Tabl_B2_Melt_Shop!E176</f>
        <v>0</v>
      </c>
      <c r="J118" s="13">
        <f>Tabl_B2_Melt_Shop!F176</f>
        <v>0</v>
      </c>
    </row>
    <row r="119" spans="1:25" x14ac:dyDescent="0.2">
      <c r="A119">
        <f t="shared" si="10"/>
        <v>0</v>
      </c>
      <c r="B119" t="str">
        <f>Tabl_B2_Melt_Shop!A177</f>
        <v>7782-49-2</v>
      </c>
      <c r="D119">
        <f t="shared" si="8"/>
        <v>0.90249999999999997</v>
      </c>
      <c r="E119" s="13">
        <f>Tabl_B2_Melt_Shop!C177</f>
        <v>0</v>
      </c>
      <c r="F119" s="13">
        <f>Tabl_B2_Melt_Shop!D177</f>
        <v>0</v>
      </c>
      <c r="G119" t="s">
        <v>406</v>
      </c>
      <c r="I119" s="13">
        <f>Tabl_B2_Melt_Shop!E177</f>
        <v>0</v>
      </c>
      <c r="J119" s="13">
        <f>Tabl_B2_Melt_Shop!F177</f>
        <v>0</v>
      </c>
    </row>
    <row r="120" spans="1:25" x14ac:dyDescent="0.2">
      <c r="A120">
        <f t="shared" si="10"/>
        <v>0</v>
      </c>
      <c r="B120" t="str">
        <f>Tabl_B2_Melt_Shop!A178</f>
        <v>7440-62-2</v>
      </c>
      <c r="D120">
        <f t="shared" si="8"/>
        <v>0.90249999999999997</v>
      </c>
      <c r="E120" s="13">
        <f>Tabl_B2_Melt_Shop!C178</f>
        <v>0</v>
      </c>
      <c r="F120" s="13">
        <f>Tabl_B2_Melt_Shop!D178</f>
        <v>0</v>
      </c>
      <c r="G120" t="s">
        <v>406</v>
      </c>
      <c r="I120" s="13">
        <f>Tabl_B2_Melt_Shop!E178</f>
        <v>0</v>
      </c>
      <c r="J120" s="13">
        <f>Tabl_B2_Melt_Shop!F178</f>
        <v>0</v>
      </c>
    </row>
    <row r="121" spans="1:25" x14ac:dyDescent="0.2">
      <c r="A121">
        <f t="shared" si="10"/>
        <v>0</v>
      </c>
      <c r="B121" t="str">
        <f>Tabl_B2_Melt_Shop!A179</f>
        <v>7440-66-6</v>
      </c>
      <c r="D121">
        <f t="shared" si="8"/>
        <v>0.90249999999999997</v>
      </c>
      <c r="E121" s="13">
        <f>Tabl_B2_Melt_Shop!C179</f>
        <v>3.8410983886256321E-5</v>
      </c>
      <c r="F121" s="13">
        <f>Tabl_B2_Melt_Shop!D179</f>
        <v>3.8410983886256321E-5</v>
      </c>
      <c r="G121" t="s">
        <v>406</v>
      </c>
      <c r="I121" s="13">
        <f>Tabl_B2_Melt_Shop!E179</f>
        <v>27.65590839810455</v>
      </c>
      <c r="J121" s="13">
        <f>Tabl_B2_Melt_Shop!F179</f>
        <v>0.1421206403791484</v>
      </c>
    </row>
    <row r="122" spans="1:25" x14ac:dyDescent="0.2">
      <c r="A122">
        <f>M$122</f>
        <v>0</v>
      </c>
      <c r="B122" t="str">
        <f>Tabl_B2_Melt_Shop!A215</f>
        <v>7429-90-5</v>
      </c>
      <c r="D122">
        <v>0</v>
      </c>
      <c r="E122">
        <f>Tabl_B2_Melt_Shop!C215</f>
        <v>1.2495558566714793E-3</v>
      </c>
      <c r="F122">
        <f>Tabl_B2_Melt_Shop!D215</f>
        <v>1.2495558566714793E-3</v>
      </c>
      <c r="G122" t="s">
        <v>406</v>
      </c>
      <c r="I122">
        <f>Tabl_B2_Melt_Shop!E215</f>
        <v>899.6802168034651</v>
      </c>
      <c r="J122">
        <f>Tabl_B2_Melt_Shop!F215</f>
        <v>4.6233566696844735</v>
      </c>
      <c r="M122">
        <f>Tabl_B2_Melt_Shop!E212</f>
        <v>0</v>
      </c>
      <c r="N122" t="s">
        <v>423</v>
      </c>
      <c r="O122" t="s">
        <v>413</v>
      </c>
      <c r="P122" t="s">
        <v>412</v>
      </c>
      <c r="Q122" t="str">
        <f>Tabl_B2_Melt_Shop!C12</f>
        <v>RMELT</v>
      </c>
      <c r="R122" s="169" t="s">
        <v>172</v>
      </c>
      <c r="S122" s="170" t="s">
        <v>445</v>
      </c>
      <c r="T122" s="171">
        <v>444518</v>
      </c>
      <c r="U122" s="172">
        <v>948000</v>
      </c>
      <c r="V122" s="173"/>
      <c r="W122" s="171">
        <v>3500</v>
      </c>
      <c r="X122" s="172">
        <v>3700</v>
      </c>
      <c r="Y122" s="173"/>
    </row>
    <row r="123" spans="1:25" x14ac:dyDescent="0.2">
      <c r="A123">
        <f t="shared" ref="A123:A136" si="11">M$122</f>
        <v>0</v>
      </c>
      <c r="B123" t="str">
        <f>Tabl_B2_Melt_Shop!A216</f>
        <v>7440-36-0</v>
      </c>
      <c r="D123">
        <v>0</v>
      </c>
      <c r="E123">
        <f>Tabl_B2_Melt_Shop!C216</f>
        <v>3.295274407672407E-6</v>
      </c>
      <c r="F123">
        <f>Tabl_B2_Melt_Shop!D216</f>
        <v>3.295274407672407E-6</v>
      </c>
      <c r="G123" t="s">
        <v>406</v>
      </c>
      <c r="I123">
        <f>Tabl_B2_Melt_Shop!E216</f>
        <v>2.3725975735241329</v>
      </c>
      <c r="J123">
        <f>Tabl_B2_Melt_Shop!F216</f>
        <v>1.2192515308387906E-2</v>
      </c>
    </row>
    <row r="124" spans="1:25" x14ac:dyDescent="0.2">
      <c r="A124">
        <f t="shared" si="11"/>
        <v>0</v>
      </c>
      <c r="B124" t="str">
        <f>Tabl_B2_Melt_Shop!A217</f>
        <v>7440-38-2</v>
      </c>
      <c r="D124">
        <v>0</v>
      </c>
      <c r="E124">
        <f>Tabl_B2_Melt_Shop!C217</f>
        <v>5.8613547291817884E-6</v>
      </c>
      <c r="F124">
        <f>Tabl_B2_Melt_Shop!D217</f>
        <v>5.8613547291817884E-6</v>
      </c>
      <c r="G124" t="s">
        <v>406</v>
      </c>
      <c r="I124">
        <f>Tabl_B2_Melt_Shop!E217</f>
        <v>4.2201754050108873</v>
      </c>
      <c r="J124">
        <f>Tabl_B2_Melt_Shop!F217</f>
        <v>2.1687012497972617E-2</v>
      </c>
    </row>
    <row r="125" spans="1:25" x14ac:dyDescent="0.2">
      <c r="A125">
        <f t="shared" si="11"/>
        <v>0</v>
      </c>
      <c r="B125" t="str">
        <f>Tabl_B2_Melt_Shop!A218</f>
        <v>7440-41-7</v>
      </c>
      <c r="D125">
        <v>0</v>
      </c>
      <c r="E125">
        <f>Tabl_B2_Melt_Shop!C218</f>
        <v>0</v>
      </c>
      <c r="F125">
        <f>Tabl_B2_Melt_Shop!D218</f>
        <v>0</v>
      </c>
      <c r="G125" t="s">
        <v>406</v>
      </c>
      <c r="I125">
        <f>Tabl_B2_Melt_Shop!E218</f>
        <v>0</v>
      </c>
      <c r="J125">
        <f>Tabl_B2_Melt_Shop!F218</f>
        <v>0</v>
      </c>
    </row>
    <row r="126" spans="1:25" x14ac:dyDescent="0.2">
      <c r="A126">
        <f t="shared" si="11"/>
        <v>0</v>
      </c>
      <c r="B126" t="str">
        <f>Tabl_B2_Melt_Shop!A219</f>
        <v>7440-43-9</v>
      </c>
      <c r="D126">
        <v>0</v>
      </c>
      <c r="E126">
        <f>Tabl_B2_Melt_Shop!C219</f>
        <v>4.4485441743042429E-7</v>
      </c>
      <c r="F126">
        <f>Tabl_B2_Melt_Shop!D219</f>
        <v>4.4485441743042429E-7</v>
      </c>
      <c r="G126" t="s">
        <v>406</v>
      </c>
      <c r="I126">
        <f>Tabl_B2_Melt_Shop!E219</f>
        <v>0.32029518054990547</v>
      </c>
      <c r="J126">
        <f>Tabl_B2_Melt_Shop!F219</f>
        <v>1.6459613444925699E-3</v>
      </c>
    </row>
    <row r="127" spans="1:25" x14ac:dyDescent="0.2">
      <c r="A127">
        <f t="shared" si="11"/>
        <v>0</v>
      </c>
      <c r="B127" t="str">
        <f>Tabl_B2_Melt_Shop!A220</f>
        <v>18540-29-9</v>
      </c>
      <c r="D127">
        <v>0</v>
      </c>
      <c r="E127">
        <f>Tabl_B2_Melt_Shop!C220</f>
        <v>2.989356135825218E-6</v>
      </c>
      <c r="F127">
        <f>Tabl_B2_Melt_Shop!D220</f>
        <v>1.4493847931273783E-4</v>
      </c>
      <c r="G127" t="s">
        <v>406</v>
      </c>
      <c r="I127">
        <f>Tabl_B2_Melt_Shop!E220</f>
        <v>2.1523364177941571</v>
      </c>
      <c r="J127">
        <f>Tabl_B2_Melt_Shop!F220</f>
        <v>0.53627237345712997</v>
      </c>
    </row>
    <row r="128" spans="1:25" x14ac:dyDescent="0.2">
      <c r="A128">
        <f t="shared" si="11"/>
        <v>0</v>
      </c>
      <c r="B128" t="str">
        <f>Tabl_B2_Melt_Shop!A221</f>
        <v>7440-48-4</v>
      </c>
      <c r="D128">
        <v>0</v>
      </c>
      <c r="E128">
        <f>Tabl_B2_Melt_Shop!C221</f>
        <v>3.3132470932010284E-6</v>
      </c>
      <c r="F128">
        <f>Tabl_B2_Melt_Shop!D221</f>
        <v>3.3132470932010284E-6</v>
      </c>
      <c r="G128" t="s">
        <v>406</v>
      </c>
      <c r="I128">
        <f>Tabl_B2_Melt_Shop!E221</f>
        <v>2.3855379071047405</v>
      </c>
      <c r="J128">
        <f>Tabl_B2_Melt_Shop!F221</f>
        <v>1.2259014244843805E-2</v>
      </c>
    </row>
    <row r="129" spans="1:25" x14ac:dyDescent="0.2">
      <c r="A129">
        <f t="shared" si="11"/>
        <v>0</v>
      </c>
      <c r="B129" t="str">
        <f>Tabl_B2_Melt_Shop!A222</f>
        <v>7440-50-8</v>
      </c>
      <c r="D129">
        <v>0</v>
      </c>
      <c r="E129">
        <f>Tabl_B2_Melt_Shop!C222</f>
        <v>1.4157965546488841E-4</v>
      </c>
      <c r="F129">
        <f>Tabl_B2_Melt_Shop!D222</f>
        <v>1.4157965546488841E-4</v>
      </c>
      <c r="G129" t="s">
        <v>406</v>
      </c>
      <c r="I129">
        <f>Tabl_B2_Melt_Shop!E222</f>
        <v>101.93735193471966</v>
      </c>
      <c r="J129">
        <f>Tabl_B2_Melt_Shop!F222</f>
        <v>0.52384472522008718</v>
      </c>
    </row>
    <row r="130" spans="1:25" x14ac:dyDescent="0.2">
      <c r="A130">
        <f t="shared" si="11"/>
        <v>0</v>
      </c>
      <c r="B130" t="str">
        <f>Tabl_B2_Melt_Shop!A223</f>
        <v>7439-92-1</v>
      </c>
      <c r="D130">
        <v>0</v>
      </c>
      <c r="E130">
        <f>Tabl_B2_Melt_Shop!C223</f>
        <v>2.4534061329270593E-4</v>
      </c>
      <c r="F130">
        <f>Tabl_B2_Melt_Shop!D223</f>
        <v>2.4534061329270593E-4</v>
      </c>
      <c r="G130" t="s">
        <v>406</v>
      </c>
      <c r="I130">
        <f>Tabl_B2_Melt_Shop!E223</f>
        <v>176.64524157074828</v>
      </c>
      <c r="J130">
        <f>Tabl_B2_Melt_Shop!F223</f>
        <v>0.907760269183012</v>
      </c>
    </row>
    <row r="131" spans="1:25" x14ac:dyDescent="0.2">
      <c r="A131">
        <f t="shared" si="11"/>
        <v>0</v>
      </c>
      <c r="B131" t="str">
        <f>Tabl_B2_Melt_Shop!A224</f>
        <v>7439-96-5</v>
      </c>
      <c r="D131">
        <v>0</v>
      </c>
      <c r="E131">
        <f>Tabl_B2_Melt_Shop!C224</f>
        <v>1.9034543912406507E-3</v>
      </c>
      <c r="F131">
        <f>Tabl_B2_Melt_Shop!D224</f>
        <v>1.9034543912406507E-3</v>
      </c>
      <c r="G131" t="s">
        <v>406</v>
      </c>
      <c r="I131">
        <f>Tabl_B2_Melt_Shop!E224</f>
        <v>1370.4871616932685</v>
      </c>
      <c r="J131">
        <f>Tabl_B2_Melt_Shop!F224</f>
        <v>7.0427812475904075</v>
      </c>
    </row>
    <row r="132" spans="1:25" x14ac:dyDescent="0.2">
      <c r="A132">
        <f t="shared" si="11"/>
        <v>0</v>
      </c>
      <c r="B132">
        <f>Tabl_B2_Melt_Shop!A225</f>
        <v>365</v>
      </c>
      <c r="D132">
        <v>0</v>
      </c>
      <c r="E132">
        <f>Tabl_B2_Melt_Shop!C225</f>
        <v>1.8874318334702646E-5</v>
      </c>
      <c r="F132">
        <f>Tabl_B2_Melt_Shop!D225</f>
        <v>1.8874318334702646E-5</v>
      </c>
      <c r="G132" t="s">
        <v>406</v>
      </c>
      <c r="I132">
        <f>Tabl_B2_Melt_Shop!E225</f>
        <v>13.589509200985905</v>
      </c>
      <c r="J132">
        <f>Tabl_B2_Melt_Shop!F225</f>
        <v>6.9834977838399787E-2</v>
      </c>
    </row>
    <row r="133" spans="1:25" x14ac:dyDescent="0.2">
      <c r="A133">
        <f t="shared" si="11"/>
        <v>0</v>
      </c>
      <c r="B133">
        <f>Tabl_B2_Melt_Shop!A226</f>
        <v>504</v>
      </c>
      <c r="D133">
        <v>0</v>
      </c>
      <c r="E133">
        <f>Tabl_B2_Melt_Shop!C226</f>
        <v>3.386806336595755E-5</v>
      </c>
      <c r="F133">
        <f>Tabl_B2_Melt_Shop!D226</f>
        <v>3.386806336595755E-5</v>
      </c>
      <c r="G133" t="s">
        <v>406</v>
      </c>
      <c r="I133">
        <f>Tabl_B2_Melt_Shop!E226</f>
        <v>24.385005623489437</v>
      </c>
      <c r="J133">
        <f>Tabl_B2_Melt_Shop!F226</f>
        <v>0.12531183445404293</v>
      </c>
    </row>
    <row r="134" spans="1:25" x14ac:dyDescent="0.2">
      <c r="A134">
        <f t="shared" si="11"/>
        <v>0</v>
      </c>
      <c r="B134" t="str">
        <f>Tabl_B2_Melt_Shop!A227</f>
        <v>7782-49-2</v>
      </c>
      <c r="D134">
        <v>0</v>
      </c>
      <c r="E134">
        <f>Tabl_B2_Melt_Shop!C227</f>
        <v>6.0218199366659483E-6</v>
      </c>
      <c r="F134">
        <f>Tabl_B2_Melt_Shop!D227</f>
        <v>6.0218199366659483E-6</v>
      </c>
      <c r="G134" t="s">
        <v>406</v>
      </c>
      <c r="I134">
        <f>Tabl_B2_Melt_Shop!E227</f>
        <v>4.3357103543994828</v>
      </c>
      <c r="J134">
        <f>Tabl_B2_Melt_Shop!F227</f>
        <v>2.2280733765664008E-2</v>
      </c>
    </row>
    <row r="135" spans="1:25" x14ac:dyDescent="0.2">
      <c r="A135">
        <f t="shared" si="11"/>
        <v>0</v>
      </c>
      <c r="B135" t="str">
        <f>Tabl_B2_Melt_Shop!A228</f>
        <v>7440-62-2</v>
      </c>
      <c r="D135">
        <v>0</v>
      </c>
      <c r="E135">
        <f>Tabl_B2_Melt_Shop!C228</f>
        <v>5.6696871319140342E-6</v>
      </c>
      <c r="F135">
        <f>Tabl_B2_Melt_Shop!D228</f>
        <v>5.6696871319140342E-6</v>
      </c>
      <c r="G135" t="s">
        <v>406</v>
      </c>
      <c r="I135">
        <f>Tabl_B2_Melt_Shop!E228</f>
        <v>4.0821747349781043</v>
      </c>
      <c r="J135">
        <f>Tabl_B2_Melt_Shop!F228</f>
        <v>2.0977842388081928E-2</v>
      </c>
    </row>
    <row r="136" spans="1:25" x14ac:dyDescent="0.2">
      <c r="A136">
        <f t="shared" si="11"/>
        <v>0</v>
      </c>
      <c r="B136" t="str">
        <f>Tabl_B2_Melt_Shop!A229</f>
        <v>7440-66-6</v>
      </c>
      <c r="D136">
        <v>0</v>
      </c>
      <c r="E136">
        <f>Tabl_B2_Melt_Shop!C229</f>
        <v>1.5423214774754653E-3</v>
      </c>
      <c r="F136">
        <f>Tabl_B2_Melt_Shop!D229</f>
        <v>1.5423214774754653E-3</v>
      </c>
      <c r="G136" t="s">
        <v>406</v>
      </c>
      <c r="I136">
        <f>Tabl_B2_Melt_Shop!E229</f>
        <v>1110.4714637823351</v>
      </c>
      <c r="J136">
        <f>Tabl_B2_Melt_Shop!F229</f>
        <v>5.7065894666592216</v>
      </c>
    </row>
    <row r="137" spans="1:25" x14ac:dyDescent="0.2">
      <c r="A137">
        <f>M$122</f>
        <v>0</v>
      </c>
      <c r="B137" t="e">
        <f>Tabl_B2_Melt_Shop!#REF!</f>
        <v>#REF!</v>
      </c>
      <c r="D137">
        <v>0</v>
      </c>
      <c r="E137" t="e">
        <f>Tabl_B2_Melt_Shop!#REF!</f>
        <v>#REF!</v>
      </c>
      <c r="F137" t="e">
        <f>Tabl_B2_Melt_Shop!#REF!</f>
        <v>#REF!</v>
      </c>
      <c r="G137" t="s">
        <v>407</v>
      </c>
      <c r="I137" t="e">
        <f>Tabl_B2_Melt_Shop!#REF!</f>
        <v>#REF!</v>
      </c>
      <c r="J137" t="e">
        <f>Tabl_B2_Melt_Shop!#REF!</f>
        <v>#REF!</v>
      </c>
      <c r="M137" t="s">
        <v>393</v>
      </c>
      <c r="N137" t="s">
        <v>450</v>
      </c>
      <c r="O137" t="s">
        <v>413</v>
      </c>
      <c r="P137" t="s">
        <v>412</v>
      </c>
      <c r="Q137" t="s">
        <v>354</v>
      </c>
      <c r="R137" s="169" t="s">
        <v>446</v>
      </c>
      <c r="S137" s="170" t="s">
        <v>447</v>
      </c>
      <c r="T137" s="171">
        <v>5600</v>
      </c>
      <c r="U137" s="172">
        <v>7000</v>
      </c>
      <c r="V137" s="173"/>
      <c r="W137" s="171">
        <v>560</v>
      </c>
      <c r="X137" s="172">
        <v>700</v>
      </c>
    </row>
    <row r="138" spans="1:25" x14ac:dyDescent="0.2">
      <c r="A138">
        <f>M$138</f>
        <v>0</v>
      </c>
      <c r="B138" t="str">
        <f>Tabl_B2_Melt_Shop!A247</f>
        <v>7429-90-5</v>
      </c>
      <c r="D138">
        <v>0</v>
      </c>
      <c r="E138">
        <f>Tabl_B2_Melt_Shop!C247</f>
        <v>6.2477792833573971E-5</v>
      </c>
      <c r="F138">
        <f>Tabl_B2_Melt_Shop!D247</f>
        <v>6.2477792833573971E-5</v>
      </c>
      <c r="G138" t="s">
        <v>406</v>
      </c>
      <c r="I138">
        <f>Tabl_B2_Melt_Shop!E247</f>
        <v>44.984010840173262</v>
      </c>
      <c r="J138">
        <f>Tabl_B2_Melt_Shop!F247</f>
        <v>0.23116783348422371</v>
      </c>
      <c r="M138">
        <f>Tabl_B2_Melt_Shop!E244</f>
        <v>0</v>
      </c>
      <c r="N138" t="s">
        <v>424</v>
      </c>
      <c r="O138" t="str">
        <f>O122</f>
        <v>None</v>
      </c>
      <c r="P138" t="s">
        <v>412</v>
      </c>
      <c r="Q138" t="s">
        <v>46</v>
      </c>
      <c r="R138" s="169" t="s">
        <v>172</v>
      </c>
      <c r="S138" s="170" t="s">
        <v>445</v>
      </c>
      <c r="T138" s="171">
        <v>444518</v>
      </c>
      <c r="U138" s="172">
        <v>948000</v>
      </c>
      <c r="V138" s="173"/>
      <c r="W138" s="171">
        <v>3500</v>
      </c>
      <c r="X138" s="172">
        <v>3700</v>
      </c>
      <c r="Y138" s="173"/>
    </row>
    <row r="139" spans="1:25" x14ac:dyDescent="0.2">
      <c r="A139">
        <f t="shared" ref="A139:A153" si="12">M$138</f>
        <v>0</v>
      </c>
      <c r="B139" t="str">
        <f>Tabl_B2_Melt_Shop!A248</f>
        <v>7440-36-0</v>
      </c>
      <c r="D139">
        <v>0</v>
      </c>
      <c r="E139">
        <f>Tabl_B2_Melt_Shop!C248</f>
        <v>1.6476372038362037E-7</v>
      </c>
      <c r="F139">
        <f>Tabl_B2_Melt_Shop!D248</f>
        <v>1.6476372038362037E-7</v>
      </c>
      <c r="G139" t="s">
        <v>406</v>
      </c>
      <c r="I139">
        <f>Tabl_B2_Melt_Shop!E248</f>
        <v>0.11862987867620667</v>
      </c>
      <c r="J139">
        <f>Tabl_B2_Melt_Shop!F248</f>
        <v>6.0962576541939532E-4</v>
      </c>
    </row>
    <row r="140" spans="1:25" x14ac:dyDescent="0.2">
      <c r="A140">
        <f t="shared" si="12"/>
        <v>0</v>
      </c>
      <c r="B140" t="str">
        <f>Tabl_B2_Melt_Shop!A249</f>
        <v>7440-38-2</v>
      </c>
      <c r="D140">
        <v>0</v>
      </c>
      <c r="E140">
        <f>Tabl_B2_Melt_Shop!C249</f>
        <v>2.9306773645908943E-7</v>
      </c>
      <c r="F140">
        <f>Tabl_B2_Melt_Shop!D249</f>
        <v>2.9306773645908943E-7</v>
      </c>
      <c r="G140" t="s">
        <v>406</v>
      </c>
      <c r="I140">
        <f>Tabl_B2_Melt_Shop!E249</f>
        <v>0.2110087702505444</v>
      </c>
      <c r="J140">
        <f>Tabl_B2_Melt_Shop!F249</f>
        <v>1.0843506248986309E-3</v>
      </c>
    </row>
    <row r="141" spans="1:25" x14ac:dyDescent="0.2">
      <c r="A141">
        <f t="shared" si="12"/>
        <v>0</v>
      </c>
      <c r="B141" t="str">
        <f>Tabl_B2_Melt_Shop!A250</f>
        <v>7440-41-7</v>
      </c>
      <c r="D141">
        <v>0</v>
      </c>
      <c r="E141">
        <f>Tabl_B2_Melt_Shop!C250</f>
        <v>0</v>
      </c>
      <c r="F141">
        <f>Tabl_B2_Melt_Shop!D250</f>
        <v>0</v>
      </c>
      <c r="G141" t="s">
        <v>406</v>
      </c>
      <c r="I141">
        <f>Tabl_B2_Melt_Shop!E250</f>
        <v>0</v>
      </c>
      <c r="J141">
        <f>Tabl_B2_Melt_Shop!F250</f>
        <v>0</v>
      </c>
    </row>
    <row r="142" spans="1:25" x14ac:dyDescent="0.2">
      <c r="A142">
        <f t="shared" si="12"/>
        <v>0</v>
      </c>
      <c r="B142" t="str">
        <f>Tabl_B2_Melt_Shop!A251</f>
        <v>7440-43-9</v>
      </c>
      <c r="D142">
        <v>0</v>
      </c>
      <c r="E142">
        <f>Tabl_B2_Melt_Shop!C251</f>
        <v>2.2242720871521215E-8</v>
      </c>
      <c r="F142">
        <f>Tabl_B2_Melt_Shop!D251</f>
        <v>2.2242720871521215E-8</v>
      </c>
      <c r="G142" t="s">
        <v>406</v>
      </c>
      <c r="I142">
        <f>Tabl_B2_Melt_Shop!E251</f>
        <v>1.6014759027495273E-2</v>
      </c>
      <c r="J142">
        <f>Tabl_B2_Melt_Shop!F251</f>
        <v>8.2298067224628496E-5</v>
      </c>
    </row>
    <row r="143" spans="1:25" x14ac:dyDescent="0.2">
      <c r="A143">
        <f t="shared" si="12"/>
        <v>0</v>
      </c>
      <c r="B143" t="str">
        <f>Tabl_B2_Melt_Shop!A252</f>
        <v>18540-29-9</v>
      </c>
      <c r="D143">
        <v>0</v>
      </c>
      <c r="E143">
        <f>Tabl_B2_Melt_Shop!C252</f>
        <v>1.4946780679126092E-7</v>
      </c>
      <c r="F143">
        <f>Tabl_B2_Melt_Shop!D252</f>
        <v>7.2469239656368921E-6</v>
      </c>
      <c r="G143" t="s">
        <v>406</v>
      </c>
      <c r="I143">
        <f>Tabl_B2_Melt_Shop!E252</f>
        <v>0.10761682088970786</v>
      </c>
      <c r="J143">
        <f>Tabl_B2_Melt_Shop!F252</f>
        <v>2.6813618672856501E-2</v>
      </c>
    </row>
    <row r="144" spans="1:25" x14ac:dyDescent="0.2">
      <c r="A144">
        <f t="shared" si="12"/>
        <v>0</v>
      </c>
      <c r="B144" t="str">
        <f>Tabl_B2_Melt_Shop!A253</f>
        <v>7440-48-4</v>
      </c>
      <c r="D144">
        <v>0</v>
      </c>
      <c r="E144">
        <f>Tabl_B2_Melt_Shop!C253</f>
        <v>1.6566235466005144E-7</v>
      </c>
      <c r="F144">
        <f>Tabl_B2_Melt_Shop!D253</f>
        <v>1.6566235466005144E-7</v>
      </c>
      <c r="G144" t="s">
        <v>406</v>
      </c>
      <c r="I144">
        <f>Tabl_B2_Melt_Shop!E253</f>
        <v>0.11927689535523703</v>
      </c>
      <c r="J144">
        <f>Tabl_B2_Melt_Shop!F253</f>
        <v>6.1295071224219027E-4</v>
      </c>
    </row>
    <row r="145" spans="1:25" x14ac:dyDescent="0.2">
      <c r="A145">
        <f t="shared" si="12"/>
        <v>0</v>
      </c>
      <c r="B145" t="str">
        <f>Tabl_B2_Melt_Shop!A254</f>
        <v>7440-50-8</v>
      </c>
      <c r="D145">
        <v>0</v>
      </c>
      <c r="E145">
        <f>Tabl_B2_Melt_Shop!C254</f>
        <v>7.0789827732444211E-6</v>
      </c>
      <c r="F145">
        <f>Tabl_B2_Melt_Shop!D254</f>
        <v>7.0789827732444211E-6</v>
      </c>
      <c r="G145" t="s">
        <v>406</v>
      </c>
      <c r="I145">
        <f>Tabl_B2_Melt_Shop!E254</f>
        <v>5.0968675967359829</v>
      </c>
      <c r="J145">
        <f>Tabl_B2_Melt_Shop!F254</f>
        <v>2.6192236261004358E-2</v>
      </c>
    </row>
    <row r="146" spans="1:25" x14ac:dyDescent="0.2">
      <c r="A146">
        <f t="shared" si="12"/>
        <v>0</v>
      </c>
      <c r="B146" t="str">
        <f>Tabl_B2_Melt_Shop!A255</f>
        <v>7439-92-1</v>
      </c>
      <c r="D146">
        <v>0</v>
      </c>
      <c r="E146">
        <f>Tabl_B2_Melt_Shop!C255</f>
        <v>1.2267030664635297E-5</v>
      </c>
      <c r="F146">
        <f>Tabl_B2_Melt_Shop!D255</f>
        <v>1.2267030664635297E-5</v>
      </c>
      <c r="G146" t="s">
        <v>406</v>
      </c>
      <c r="I146">
        <f>Tabl_B2_Melt_Shop!E255</f>
        <v>8.8322620785374131</v>
      </c>
      <c r="J146">
        <f>Tabl_B2_Melt_Shop!F255</f>
        <v>4.5388013459150597E-2</v>
      </c>
    </row>
    <row r="147" spans="1:25" x14ac:dyDescent="0.2">
      <c r="A147">
        <f t="shared" si="12"/>
        <v>0</v>
      </c>
      <c r="B147" t="str">
        <f>Tabl_B2_Melt_Shop!A256</f>
        <v>7439-96-5</v>
      </c>
      <c r="D147">
        <v>0</v>
      </c>
      <c r="E147">
        <f>Tabl_B2_Melt_Shop!C256</f>
        <v>9.5172719562032547E-5</v>
      </c>
      <c r="F147">
        <f>Tabl_B2_Melt_Shop!D256</f>
        <v>9.5172719562032547E-5</v>
      </c>
      <c r="G147" t="s">
        <v>406</v>
      </c>
      <c r="I147">
        <f>Tabl_B2_Melt_Shop!E256</f>
        <v>68.524358084663433</v>
      </c>
      <c r="J147">
        <f>Tabl_B2_Melt_Shop!F256</f>
        <v>0.35213906237952042</v>
      </c>
    </row>
    <row r="148" spans="1:25" x14ac:dyDescent="0.2">
      <c r="A148">
        <f t="shared" si="12"/>
        <v>0</v>
      </c>
      <c r="B148">
        <f>Tabl_B2_Melt_Shop!A257</f>
        <v>365</v>
      </c>
      <c r="D148">
        <v>0</v>
      </c>
      <c r="E148">
        <f>Tabl_B2_Melt_Shop!C257</f>
        <v>9.4371591673513237E-7</v>
      </c>
      <c r="F148">
        <f>Tabl_B2_Melt_Shop!D257</f>
        <v>9.4371591673513237E-7</v>
      </c>
      <c r="G148" t="s">
        <v>406</v>
      </c>
      <c r="I148">
        <f>Tabl_B2_Melt_Shop!E257</f>
        <v>0.67947546004929527</v>
      </c>
      <c r="J148">
        <f>Tabl_B2_Melt_Shop!F257</f>
        <v>3.4917488919199899E-3</v>
      </c>
    </row>
    <row r="149" spans="1:25" x14ac:dyDescent="0.2">
      <c r="A149">
        <f t="shared" si="12"/>
        <v>0</v>
      </c>
      <c r="B149">
        <f>Tabl_B2_Melt_Shop!A258</f>
        <v>504</v>
      </c>
      <c r="D149">
        <v>0</v>
      </c>
      <c r="E149">
        <f>Tabl_B2_Melt_Shop!C258</f>
        <v>1.6934031682978776E-6</v>
      </c>
      <c r="F149">
        <f>Tabl_B2_Melt_Shop!D258</f>
        <v>1.6934031682978776E-6</v>
      </c>
      <c r="G149" t="s">
        <v>406</v>
      </c>
      <c r="I149">
        <f>Tabl_B2_Melt_Shop!E258</f>
        <v>1.2192502811744719</v>
      </c>
      <c r="J149">
        <f>Tabl_B2_Melt_Shop!F258</f>
        <v>6.2655917227021473E-3</v>
      </c>
    </row>
    <row r="150" spans="1:25" x14ac:dyDescent="0.2">
      <c r="A150">
        <f t="shared" si="12"/>
        <v>0</v>
      </c>
      <c r="B150" t="str">
        <f>Tabl_B2_Melt_Shop!A259</f>
        <v>7782-49-2</v>
      </c>
      <c r="D150">
        <v>0</v>
      </c>
      <c r="E150">
        <f>Tabl_B2_Melt_Shop!C259</f>
        <v>3.0109099683329743E-7</v>
      </c>
      <c r="F150">
        <f>Tabl_B2_Melt_Shop!D259</f>
        <v>3.0109099683329743E-7</v>
      </c>
      <c r="G150" t="s">
        <v>406</v>
      </c>
      <c r="I150">
        <f>Tabl_B2_Melt_Shop!E259</f>
        <v>0.21678551771997415</v>
      </c>
      <c r="J150">
        <f>Tabl_B2_Melt_Shop!F259</f>
        <v>1.1140366882832005E-3</v>
      </c>
    </row>
    <row r="151" spans="1:25" x14ac:dyDescent="0.2">
      <c r="A151">
        <f t="shared" si="12"/>
        <v>0</v>
      </c>
      <c r="B151" t="str">
        <f>Tabl_B2_Melt_Shop!A260</f>
        <v>7440-62-2</v>
      </c>
      <c r="D151">
        <v>0</v>
      </c>
      <c r="E151">
        <f>Tabl_B2_Melt_Shop!C260</f>
        <v>2.8348435659570172E-7</v>
      </c>
      <c r="F151">
        <f>Tabl_B2_Melt_Shop!D260</f>
        <v>2.8348435659570172E-7</v>
      </c>
      <c r="G151" t="s">
        <v>406</v>
      </c>
      <c r="I151">
        <f>Tabl_B2_Melt_Shop!E260</f>
        <v>0.20410873674890523</v>
      </c>
      <c r="J151">
        <f>Tabl_B2_Melt_Shop!F260</f>
        <v>1.0488921194040965E-3</v>
      </c>
    </row>
    <row r="152" spans="1:25" x14ac:dyDescent="0.2">
      <c r="A152">
        <f t="shared" si="12"/>
        <v>0</v>
      </c>
      <c r="B152" t="str">
        <f>Tabl_B2_Melt_Shop!A261</f>
        <v>7440-66-6</v>
      </c>
      <c r="D152">
        <v>0</v>
      </c>
      <c r="E152">
        <f>Tabl_B2_Melt_Shop!C261</f>
        <v>7.7116073873773267E-5</v>
      </c>
      <c r="F152">
        <f>Tabl_B2_Melt_Shop!D261</f>
        <v>7.7116073873773267E-5</v>
      </c>
      <c r="G152" t="s">
        <v>406</v>
      </c>
      <c r="I152">
        <f>Tabl_B2_Melt_Shop!E261</f>
        <v>55.523573189116753</v>
      </c>
      <c r="J152">
        <f>Tabl_B2_Melt_Shop!F261</f>
        <v>0.2853294733329611</v>
      </c>
    </row>
    <row r="153" spans="1:25" x14ac:dyDescent="0.2">
      <c r="A153">
        <f t="shared" si="12"/>
        <v>0</v>
      </c>
      <c r="B153">
        <f>Tabl_B2_Melt_Shop!A284</f>
        <v>239</v>
      </c>
      <c r="D153">
        <v>0</v>
      </c>
      <c r="E153">
        <f>Tabl_B2_Melt_Shop!C284</f>
        <v>3.5000000000000001E-3</v>
      </c>
      <c r="F153">
        <f>Tabl_B2_Melt_Shop!D284</f>
        <v>3.5000000000000001E-3</v>
      </c>
      <c r="G153" t="s">
        <v>407</v>
      </c>
      <c r="I153">
        <f>Tabl_B2_Melt_Shop!E284</f>
        <v>2520</v>
      </c>
      <c r="J153">
        <f>Tabl_B2_Melt_Shop!F284</f>
        <v>12.950000000000001</v>
      </c>
      <c r="M153" t="s">
        <v>394</v>
      </c>
      <c r="N153" t="s">
        <v>451</v>
      </c>
      <c r="O153" t="str">
        <f>O137</f>
        <v>None</v>
      </c>
      <c r="P153" t="s">
        <v>412</v>
      </c>
      <c r="Q153" t="s">
        <v>46</v>
      </c>
      <c r="R153" s="169" t="s">
        <v>446</v>
      </c>
      <c r="S153" s="170" t="s">
        <v>447</v>
      </c>
      <c r="T153" s="171">
        <v>5600</v>
      </c>
      <c r="U153" s="172">
        <v>7000</v>
      </c>
      <c r="V153" s="173"/>
      <c r="W153" s="171">
        <v>560</v>
      </c>
      <c r="X153" s="172">
        <v>700</v>
      </c>
    </row>
    <row r="154" spans="1:25" x14ac:dyDescent="0.2">
      <c r="A154" t="str">
        <f>M$154</f>
        <v>EU-4</v>
      </c>
      <c r="B154" t="str">
        <f>Tabl_B2_Melt_Shop!A324</f>
        <v>71-43-2</v>
      </c>
      <c r="D154">
        <v>0</v>
      </c>
      <c r="E154">
        <f>Tabl_B2_Melt_Shop!C324</f>
        <v>8.0000000000000002E-3</v>
      </c>
      <c r="F154">
        <f>E154</f>
        <v>8.0000000000000002E-3</v>
      </c>
      <c r="G154" t="s">
        <v>408</v>
      </c>
      <c r="I154">
        <f>Tabl_B2_Melt_Shop!D324</f>
        <v>0.51529411764705879</v>
      </c>
      <c r="J154">
        <f>Tabl_B2_Melt_Shop!E324</f>
        <v>1.411764705882353E-3</v>
      </c>
      <c r="M154" t="str">
        <f>Tabl_B2_Melt_Shop!D321</f>
        <v>EU-4</v>
      </c>
      <c r="N154" t="s">
        <v>425</v>
      </c>
      <c r="O154" t="s">
        <v>413</v>
      </c>
      <c r="P154" t="s">
        <v>410</v>
      </c>
      <c r="Q154" t="str">
        <f>Tabl_B2_Melt_Shop!C20</f>
        <v>VERTP</v>
      </c>
      <c r="R154" s="169" t="s">
        <v>172</v>
      </c>
      <c r="S154" s="170" t="s">
        <v>445</v>
      </c>
      <c r="T154" s="171">
        <v>444518</v>
      </c>
      <c r="U154" s="172">
        <v>948000</v>
      </c>
      <c r="V154" s="173"/>
      <c r="W154" s="171">
        <v>3500</v>
      </c>
      <c r="X154" s="172">
        <v>3700</v>
      </c>
      <c r="Y154" s="173"/>
    </row>
    <row r="155" spans="1:25" x14ac:dyDescent="0.2">
      <c r="A155" t="str">
        <f t="shared" ref="A155:A179" si="13">M$154</f>
        <v>EU-4</v>
      </c>
      <c r="B155" t="str">
        <f>Tabl_B2_Melt_Shop!A325</f>
        <v>50-00-0</v>
      </c>
      <c r="D155">
        <v>0</v>
      </c>
      <c r="E155">
        <f>Tabl_B2_Melt_Shop!C325</f>
        <v>1.7000000000000001E-2</v>
      </c>
      <c r="F155">
        <f t="shared" ref="F155:F180" si="14">E155</f>
        <v>1.7000000000000001E-2</v>
      </c>
      <c r="G155" t="s">
        <v>408</v>
      </c>
      <c r="I155">
        <f>Tabl_B2_Melt_Shop!D325</f>
        <v>1.095</v>
      </c>
      <c r="J155">
        <f>Tabl_B2_Melt_Shop!E325</f>
        <v>3.0000000000000005E-3</v>
      </c>
    </row>
    <row r="156" spans="1:25" x14ac:dyDescent="0.2">
      <c r="A156" t="str">
        <f t="shared" si="13"/>
        <v>EU-4</v>
      </c>
      <c r="B156">
        <f>Tabl_B2_Melt_Shop!A326</f>
        <v>401</v>
      </c>
      <c r="D156">
        <v>0</v>
      </c>
      <c r="E156">
        <f>Tabl_B2_Melt_Shop!C326</f>
        <v>1E-4</v>
      </c>
      <c r="F156">
        <f t="shared" si="14"/>
        <v>1E-4</v>
      </c>
      <c r="G156" t="s">
        <v>408</v>
      </c>
      <c r="I156">
        <f>Tabl_B2_Melt_Shop!D326</f>
        <v>6.4411764705882349E-3</v>
      </c>
      <c r="J156">
        <f>Tabl_B2_Melt_Shop!E326</f>
        <v>1.7647058823529414E-5</v>
      </c>
    </row>
    <row r="157" spans="1:25" x14ac:dyDescent="0.2">
      <c r="A157" t="str">
        <f t="shared" si="13"/>
        <v>EU-4</v>
      </c>
      <c r="B157" t="str">
        <f>Tabl_B2_Melt_Shop!A327</f>
        <v>50-32-8</v>
      </c>
      <c r="D157">
        <v>0</v>
      </c>
      <c r="E157">
        <f>Tabl_B2_Melt_Shop!C327</f>
        <v>1.1999999999999999E-6</v>
      </c>
      <c r="F157">
        <f t="shared" si="14"/>
        <v>1.1999999999999999E-6</v>
      </c>
      <c r="G157" t="s">
        <v>408</v>
      </c>
      <c r="I157">
        <f>Tabl_B2_Melt_Shop!D327</f>
        <v>7.7294117647058811E-5</v>
      </c>
      <c r="J157">
        <f>Tabl_B2_Melt_Shop!E327</f>
        <v>2.1176470588235296E-7</v>
      </c>
    </row>
    <row r="158" spans="1:25" x14ac:dyDescent="0.2">
      <c r="A158" t="str">
        <f t="shared" si="13"/>
        <v>EU-4</v>
      </c>
      <c r="B158" t="str">
        <f>Tabl_B2_Melt_Shop!A328</f>
        <v>91-20-3</v>
      </c>
      <c r="D158">
        <v>0</v>
      </c>
      <c r="E158">
        <f>Tabl_B2_Melt_Shop!C328</f>
        <v>2.9999999999999997E-4</v>
      </c>
      <c r="F158">
        <f t="shared" si="14"/>
        <v>2.9999999999999997E-4</v>
      </c>
      <c r="G158" t="s">
        <v>408</v>
      </c>
      <c r="I158">
        <f>Tabl_B2_Melt_Shop!D328</f>
        <v>1.9323529411764701E-2</v>
      </c>
      <c r="J158">
        <f>Tabl_B2_Melt_Shop!E328</f>
        <v>5.2941176470588237E-5</v>
      </c>
    </row>
    <row r="159" spans="1:25" x14ac:dyDescent="0.2">
      <c r="A159" t="str">
        <f t="shared" si="13"/>
        <v>EU-4</v>
      </c>
      <c r="B159" t="str">
        <f>Tabl_B2_Melt_Shop!A329</f>
        <v>75-07-0</v>
      </c>
      <c r="D159">
        <v>0</v>
      </c>
      <c r="E159">
        <f>Tabl_B2_Melt_Shop!C329</f>
        <v>4.3E-3</v>
      </c>
      <c r="F159">
        <f t="shared" si="14"/>
        <v>4.3E-3</v>
      </c>
      <c r="G159" t="s">
        <v>408</v>
      </c>
      <c r="I159">
        <f>Tabl_B2_Melt_Shop!D329</f>
        <v>0.27697058823529408</v>
      </c>
      <c r="J159">
        <f>Tabl_B2_Melt_Shop!E329</f>
        <v>7.588235294117648E-4</v>
      </c>
    </row>
    <row r="160" spans="1:25" x14ac:dyDescent="0.2">
      <c r="A160" t="str">
        <f t="shared" si="13"/>
        <v>EU-4</v>
      </c>
      <c r="B160" t="str">
        <f>Tabl_B2_Melt_Shop!A330</f>
        <v>107-02-8</v>
      </c>
      <c r="D160">
        <v>0</v>
      </c>
      <c r="E160">
        <f>Tabl_B2_Melt_Shop!C330</f>
        <v>2.7000000000000001E-3</v>
      </c>
      <c r="F160">
        <f t="shared" si="14"/>
        <v>2.7000000000000001E-3</v>
      </c>
      <c r="G160" t="s">
        <v>408</v>
      </c>
      <c r="I160">
        <f>Tabl_B2_Melt_Shop!D330</f>
        <v>0.17391176470588235</v>
      </c>
      <c r="J160">
        <f>Tabl_B2_Melt_Shop!E330</f>
        <v>4.7647058823529418E-4</v>
      </c>
    </row>
    <row r="161" spans="1:10" x14ac:dyDescent="0.2">
      <c r="A161" t="str">
        <f t="shared" si="13"/>
        <v>EU-4</v>
      </c>
      <c r="B161" t="str">
        <f>Tabl_B2_Melt_Shop!A331</f>
        <v>7664-41-7</v>
      </c>
      <c r="D161">
        <v>0</v>
      </c>
      <c r="E161">
        <f>Tabl_B2_Melt_Shop!C331</f>
        <v>18</v>
      </c>
      <c r="F161">
        <f t="shared" si="14"/>
        <v>18</v>
      </c>
      <c r="G161" t="s">
        <v>408</v>
      </c>
      <c r="I161">
        <f>Tabl_B2_Melt_Shop!D331</f>
        <v>1159.4117647058822</v>
      </c>
      <c r="J161">
        <f>Tabl_B2_Melt_Shop!E331</f>
        <v>3.1764705882352944</v>
      </c>
    </row>
    <row r="162" spans="1:10" x14ac:dyDescent="0.2">
      <c r="A162" t="str">
        <f t="shared" si="13"/>
        <v>EU-4</v>
      </c>
      <c r="B162" t="str">
        <f>Tabl_B2_Melt_Shop!A332</f>
        <v>7440-38-2</v>
      </c>
      <c r="D162">
        <v>0</v>
      </c>
      <c r="E162">
        <f>Tabl_B2_Melt_Shop!C332</f>
        <v>2.0000000000000001E-4</v>
      </c>
      <c r="F162">
        <f t="shared" si="14"/>
        <v>2.0000000000000001E-4</v>
      </c>
      <c r="G162" t="s">
        <v>408</v>
      </c>
      <c r="I162">
        <f>Tabl_B2_Melt_Shop!D332</f>
        <v>1.288235294117647E-2</v>
      </c>
      <c r="J162">
        <f>Tabl_B2_Melt_Shop!E332</f>
        <v>3.5294117647058827E-5</v>
      </c>
    </row>
    <row r="163" spans="1:10" x14ac:dyDescent="0.2">
      <c r="A163" t="str">
        <f t="shared" si="13"/>
        <v>EU-4</v>
      </c>
      <c r="B163" t="str">
        <f>Tabl_B2_Melt_Shop!A333</f>
        <v>7440-39-3</v>
      </c>
      <c r="D163">
        <v>0</v>
      </c>
      <c r="E163">
        <f>Tabl_B2_Melt_Shop!C333</f>
        <v>4.4000000000000003E-3</v>
      </c>
      <c r="F163">
        <f t="shared" si="14"/>
        <v>4.4000000000000003E-3</v>
      </c>
      <c r="G163" t="s">
        <v>408</v>
      </c>
      <c r="I163">
        <f>Tabl_B2_Melt_Shop!D333</f>
        <v>0.28341176470588236</v>
      </c>
      <c r="J163">
        <f>Tabl_B2_Melt_Shop!E333</f>
        <v>7.7647058823529427E-4</v>
      </c>
    </row>
    <row r="164" spans="1:10" x14ac:dyDescent="0.2">
      <c r="A164" t="str">
        <f t="shared" si="13"/>
        <v>EU-4</v>
      </c>
      <c r="B164" t="str">
        <f>Tabl_B2_Melt_Shop!A334</f>
        <v>7440-41-7</v>
      </c>
      <c r="D164">
        <v>0</v>
      </c>
      <c r="E164">
        <f>Tabl_B2_Melt_Shop!C334</f>
        <v>1.2E-5</v>
      </c>
      <c r="F164">
        <f t="shared" si="14"/>
        <v>1.2E-5</v>
      </c>
      <c r="G164" t="s">
        <v>408</v>
      </c>
      <c r="I164">
        <f>Tabl_B2_Melt_Shop!D334</f>
        <v>7.7294117647058822E-4</v>
      </c>
      <c r="J164">
        <f>Tabl_B2_Melt_Shop!E334</f>
        <v>2.1176470588235296E-6</v>
      </c>
    </row>
    <row r="165" spans="1:10" x14ac:dyDescent="0.2">
      <c r="A165" t="str">
        <f t="shared" si="13"/>
        <v>EU-4</v>
      </c>
      <c r="B165" t="str">
        <f>Tabl_B2_Melt_Shop!A335</f>
        <v>7440-43-9</v>
      </c>
      <c r="D165">
        <v>0</v>
      </c>
      <c r="E165">
        <f>Tabl_B2_Melt_Shop!C335</f>
        <v>1.1000000000000001E-3</v>
      </c>
      <c r="F165">
        <f t="shared" si="14"/>
        <v>1.1000000000000001E-3</v>
      </c>
      <c r="G165" t="s">
        <v>408</v>
      </c>
      <c r="I165">
        <f>Tabl_B2_Melt_Shop!D335</f>
        <v>7.0852941176470591E-2</v>
      </c>
      <c r="J165">
        <f>Tabl_B2_Melt_Shop!E335</f>
        <v>1.9411764705882357E-4</v>
      </c>
    </row>
    <row r="166" spans="1:10" x14ac:dyDescent="0.2">
      <c r="A166" t="str">
        <f t="shared" si="13"/>
        <v>EU-4</v>
      </c>
      <c r="B166" t="str">
        <f>Tabl_B2_Melt_Shop!A336</f>
        <v>18540-29-9</v>
      </c>
      <c r="D166">
        <v>0</v>
      </c>
      <c r="E166">
        <f>Tabl_B2_Melt_Shop!C336</f>
        <v>1.4E-3</v>
      </c>
      <c r="F166">
        <f t="shared" si="14"/>
        <v>1.4E-3</v>
      </c>
      <c r="G166" t="s">
        <v>408</v>
      </c>
      <c r="I166">
        <f>Tabl_B2_Melt_Shop!D336</f>
        <v>9.0176470588235288E-2</v>
      </c>
      <c r="J166">
        <f>Tabl_B2_Melt_Shop!E336</f>
        <v>2.470588235294118E-4</v>
      </c>
    </row>
    <row r="167" spans="1:10" x14ac:dyDescent="0.2">
      <c r="A167" t="str">
        <f t="shared" si="13"/>
        <v>EU-4</v>
      </c>
      <c r="B167" t="str">
        <f>Tabl_B2_Melt_Shop!A337</f>
        <v>7440-48-4</v>
      </c>
      <c r="D167">
        <v>0</v>
      </c>
      <c r="E167">
        <f>Tabl_B2_Melt_Shop!C337</f>
        <v>8.3999999999999995E-5</v>
      </c>
      <c r="F167">
        <f t="shared" si="14"/>
        <v>8.3999999999999995E-5</v>
      </c>
      <c r="G167" t="s">
        <v>408</v>
      </c>
      <c r="I167">
        <f>Tabl_B2_Melt_Shop!D337</f>
        <v>5.4105882352941167E-3</v>
      </c>
      <c r="J167">
        <f>Tabl_B2_Melt_Shop!E337</f>
        <v>1.4823529411764705E-5</v>
      </c>
    </row>
    <row r="168" spans="1:10" x14ac:dyDescent="0.2">
      <c r="A168" t="str">
        <f t="shared" si="13"/>
        <v>EU-4</v>
      </c>
      <c r="B168" t="str">
        <f>Tabl_B2_Melt_Shop!A338</f>
        <v>7440-50-8</v>
      </c>
      <c r="D168">
        <v>0</v>
      </c>
      <c r="E168">
        <f>Tabl_B2_Melt_Shop!C338</f>
        <v>8.4999999999999995E-4</v>
      </c>
      <c r="F168">
        <f t="shared" si="14"/>
        <v>8.4999999999999995E-4</v>
      </c>
      <c r="G168" t="s">
        <v>408</v>
      </c>
      <c r="I168">
        <f>Tabl_B2_Melt_Shop!D338</f>
        <v>5.4749999999999993E-2</v>
      </c>
      <c r="J168">
        <f>Tabl_B2_Melt_Shop!E338</f>
        <v>1.5000000000000001E-4</v>
      </c>
    </row>
    <row r="169" spans="1:10" x14ac:dyDescent="0.2">
      <c r="A169" t="str">
        <f t="shared" si="13"/>
        <v>EU-4</v>
      </c>
      <c r="B169" t="str">
        <f>Tabl_B2_Melt_Shop!A339</f>
        <v>100-41-4</v>
      </c>
      <c r="D169">
        <v>0</v>
      </c>
      <c r="E169">
        <f>Tabl_B2_Melt_Shop!C339</f>
        <v>9.4999999999999998E-3</v>
      </c>
      <c r="F169">
        <f t="shared" si="14"/>
        <v>9.4999999999999998E-3</v>
      </c>
      <c r="G169" t="s">
        <v>408</v>
      </c>
      <c r="I169">
        <f>Tabl_B2_Melt_Shop!D339</f>
        <v>0.61191176470588227</v>
      </c>
      <c r="J169">
        <f>Tabl_B2_Melt_Shop!E339</f>
        <v>1.6764705882352942E-3</v>
      </c>
    </row>
    <row r="170" spans="1:10" x14ac:dyDescent="0.2">
      <c r="A170" t="str">
        <f t="shared" si="13"/>
        <v>EU-4</v>
      </c>
      <c r="B170" t="str">
        <f>Tabl_B2_Melt_Shop!A340</f>
        <v>110-54-3</v>
      </c>
      <c r="D170">
        <v>0</v>
      </c>
      <c r="E170">
        <f>Tabl_B2_Melt_Shop!C340</f>
        <v>6.3E-3</v>
      </c>
      <c r="F170">
        <f t="shared" si="14"/>
        <v>6.3E-3</v>
      </c>
      <c r="G170" t="s">
        <v>408</v>
      </c>
      <c r="I170">
        <f>Tabl_B2_Melt_Shop!D340</f>
        <v>0.40579411764705881</v>
      </c>
      <c r="J170">
        <f>Tabl_B2_Melt_Shop!E340</f>
        <v>1.1117647058823531E-3</v>
      </c>
    </row>
    <row r="171" spans="1:10" x14ac:dyDescent="0.2">
      <c r="A171" t="str">
        <f t="shared" si="13"/>
        <v>EU-4</v>
      </c>
      <c r="B171" t="str">
        <f>Tabl_B2_Melt_Shop!A341</f>
        <v>7439-92-1</v>
      </c>
      <c r="D171">
        <v>0</v>
      </c>
      <c r="E171">
        <f>Tabl_B2_Melt_Shop!C341</f>
        <v>5.0000000000000001E-4</v>
      </c>
      <c r="F171">
        <f t="shared" si="14"/>
        <v>5.0000000000000001E-4</v>
      </c>
      <c r="G171" t="s">
        <v>408</v>
      </c>
      <c r="I171">
        <f>Tabl_B2_Melt_Shop!D341</f>
        <v>3.2205882352941174E-2</v>
      </c>
      <c r="J171">
        <f>Tabl_B2_Melt_Shop!E341</f>
        <v>8.8235294117647065E-5</v>
      </c>
    </row>
    <row r="172" spans="1:10" x14ac:dyDescent="0.2">
      <c r="A172" t="str">
        <f t="shared" si="13"/>
        <v>EU-4</v>
      </c>
      <c r="B172" t="str">
        <f>Tabl_B2_Melt_Shop!A342</f>
        <v>7439-96-5</v>
      </c>
      <c r="D172">
        <v>0</v>
      </c>
      <c r="E172">
        <f>Tabl_B2_Melt_Shop!C342</f>
        <v>3.8000000000000002E-4</v>
      </c>
      <c r="F172">
        <f t="shared" si="14"/>
        <v>3.8000000000000002E-4</v>
      </c>
      <c r="G172" t="s">
        <v>408</v>
      </c>
      <c r="I172">
        <f>Tabl_B2_Melt_Shop!D342</f>
        <v>2.4476470588235294E-2</v>
      </c>
      <c r="J172">
        <f>Tabl_B2_Melt_Shop!E342</f>
        <v>6.7058823529411772E-5</v>
      </c>
    </row>
    <row r="173" spans="1:10" x14ac:dyDescent="0.2">
      <c r="A173" t="str">
        <f t="shared" si="13"/>
        <v>EU-4</v>
      </c>
      <c r="B173" t="str">
        <f>Tabl_B2_Melt_Shop!A343</f>
        <v>7439-97-6</v>
      </c>
      <c r="D173">
        <v>0</v>
      </c>
      <c r="E173">
        <f>Tabl_B2_Melt_Shop!C343</f>
        <v>2.5999999999999998E-4</v>
      </c>
      <c r="F173">
        <f t="shared" si="14"/>
        <v>2.5999999999999998E-4</v>
      </c>
      <c r="G173" t="s">
        <v>408</v>
      </c>
      <c r="I173">
        <f>Tabl_B2_Melt_Shop!D343</f>
        <v>1.674705882352941E-2</v>
      </c>
      <c r="J173">
        <f>Tabl_B2_Melt_Shop!E343</f>
        <v>4.5882352941176467E-5</v>
      </c>
    </row>
    <row r="174" spans="1:10" x14ac:dyDescent="0.2">
      <c r="A174" t="str">
        <f t="shared" si="13"/>
        <v>EU-4</v>
      </c>
      <c r="B174" t="str">
        <f>Tabl_B2_Melt_Shop!A344</f>
        <v>1313-27-5</v>
      </c>
      <c r="D174">
        <v>0</v>
      </c>
      <c r="E174">
        <f>Tabl_B2_Melt_Shop!C344</f>
        <v>1.65E-3</v>
      </c>
      <c r="F174">
        <f t="shared" si="14"/>
        <v>1.65E-3</v>
      </c>
      <c r="G174" t="s">
        <v>408</v>
      </c>
      <c r="I174">
        <f>Tabl_B2_Melt_Shop!D344</f>
        <v>0.10627941176470587</v>
      </c>
      <c r="J174">
        <f>Tabl_B2_Melt_Shop!E344</f>
        <v>2.911764705882353E-4</v>
      </c>
    </row>
    <row r="175" spans="1:10" x14ac:dyDescent="0.2">
      <c r="A175" t="str">
        <f t="shared" si="13"/>
        <v>EU-4</v>
      </c>
      <c r="B175">
        <f>Tabl_B2_Melt_Shop!A345</f>
        <v>365</v>
      </c>
      <c r="D175">
        <v>0</v>
      </c>
      <c r="E175">
        <f>Tabl_B2_Melt_Shop!C345</f>
        <v>2.0999999999999999E-3</v>
      </c>
      <c r="F175">
        <f t="shared" si="14"/>
        <v>2.0999999999999999E-3</v>
      </c>
      <c r="G175" t="s">
        <v>408</v>
      </c>
      <c r="I175">
        <f>Tabl_B2_Melt_Shop!D345</f>
        <v>0.13526470588235293</v>
      </c>
      <c r="J175">
        <f>Tabl_B2_Melt_Shop!E345</f>
        <v>3.7058823529411767E-4</v>
      </c>
    </row>
    <row r="176" spans="1:10" x14ac:dyDescent="0.2">
      <c r="A176" t="str">
        <f t="shared" si="13"/>
        <v>EU-4</v>
      </c>
      <c r="B176" t="str">
        <f>Tabl_B2_Melt_Shop!A346</f>
        <v>7782-49-2</v>
      </c>
      <c r="D176">
        <v>0</v>
      </c>
      <c r="E176">
        <f>Tabl_B2_Melt_Shop!C346</f>
        <v>2.4000000000000001E-5</v>
      </c>
      <c r="F176">
        <f t="shared" si="14"/>
        <v>2.4000000000000001E-5</v>
      </c>
      <c r="G176" t="s">
        <v>408</v>
      </c>
      <c r="I176">
        <f>Tabl_B2_Melt_Shop!D346</f>
        <v>1.5458823529411764E-3</v>
      </c>
      <c r="J176">
        <f>Tabl_B2_Melt_Shop!E346</f>
        <v>4.2352941176470591E-6</v>
      </c>
    </row>
    <row r="177" spans="1:24" x14ac:dyDescent="0.2">
      <c r="A177" t="str">
        <f t="shared" si="13"/>
        <v>EU-4</v>
      </c>
      <c r="B177" t="str">
        <f>Tabl_B2_Melt_Shop!A347</f>
        <v>108-88-3</v>
      </c>
      <c r="D177">
        <v>0</v>
      </c>
      <c r="E177">
        <f>Tabl_B2_Melt_Shop!C347</f>
        <v>3.6600000000000001E-2</v>
      </c>
      <c r="F177">
        <f t="shared" si="14"/>
        <v>3.6600000000000001E-2</v>
      </c>
      <c r="G177" t="s">
        <v>408</v>
      </c>
      <c r="I177">
        <f>Tabl_B2_Melt_Shop!D347</f>
        <v>2.357470588235294</v>
      </c>
      <c r="J177">
        <f>Tabl_B2_Melt_Shop!E347</f>
        <v>6.4588235294117651E-3</v>
      </c>
    </row>
    <row r="178" spans="1:24" x14ac:dyDescent="0.2">
      <c r="A178" t="str">
        <f t="shared" si="13"/>
        <v>EU-4</v>
      </c>
      <c r="B178" t="str">
        <f>Tabl_B2_Melt_Shop!A348</f>
        <v>7440-62-2</v>
      </c>
      <c r="D178">
        <v>0</v>
      </c>
      <c r="E178">
        <f>Tabl_B2_Melt_Shop!C348</f>
        <v>2.3E-3</v>
      </c>
      <c r="F178">
        <f t="shared" si="14"/>
        <v>2.3E-3</v>
      </c>
      <c r="G178" t="s">
        <v>408</v>
      </c>
      <c r="I178">
        <f>Tabl_B2_Melt_Shop!D348</f>
        <v>0.14814705882352941</v>
      </c>
      <c r="J178">
        <f>Tabl_B2_Melt_Shop!E348</f>
        <v>4.0588235294117649E-4</v>
      </c>
    </row>
    <row r="179" spans="1:24" x14ac:dyDescent="0.2">
      <c r="A179" t="str">
        <f t="shared" si="13"/>
        <v>EU-4</v>
      </c>
      <c r="B179" t="str">
        <f>Tabl_B2_Melt_Shop!A349</f>
        <v>1330-20-7</v>
      </c>
      <c r="D179">
        <v>0</v>
      </c>
      <c r="E179">
        <f>Tabl_B2_Melt_Shop!C349</f>
        <v>2.7199999999999998E-2</v>
      </c>
      <c r="F179">
        <f t="shared" si="14"/>
        <v>2.7199999999999998E-2</v>
      </c>
      <c r="G179" t="s">
        <v>408</v>
      </c>
      <c r="I179">
        <f>Tabl_B2_Melt_Shop!D349</f>
        <v>1.7519999999999998</v>
      </c>
      <c r="J179">
        <f>Tabl_B2_Melt_Shop!E349</f>
        <v>4.8000000000000004E-3</v>
      </c>
    </row>
    <row r="180" spans="1:24" x14ac:dyDescent="0.2">
      <c r="A180" t="str">
        <f t="shared" ref="A180" si="15">M$154</f>
        <v>EU-4</v>
      </c>
      <c r="B180" t="str">
        <f>Tabl_B2_Melt_Shop!A350</f>
        <v>7440-66-6</v>
      </c>
      <c r="D180">
        <v>0</v>
      </c>
      <c r="E180">
        <f>Tabl_B2_Melt_Shop!C350</f>
        <v>2.9000000000000001E-2</v>
      </c>
      <c r="F180">
        <f t="shared" si="14"/>
        <v>2.9000000000000001E-2</v>
      </c>
      <c r="G180" t="s">
        <v>408</v>
      </c>
      <c r="I180">
        <f>Tabl_B2_Melt_Shop!D350</f>
        <v>1.8679411764705882</v>
      </c>
      <c r="J180">
        <f>Tabl_B2_Melt_Shop!E350</f>
        <v>5.1176470588235297E-3</v>
      </c>
    </row>
    <row r="181" spans="1:24" x14ac:dyDescent="0.2">
      <c r="A181">
        <f>M$181</f>
        <v>0</v>
      </c>
      <c r="B181" t="str">
        <f>Tabl_B2_Melt_Shop!A362</f>
        <v>71-43-2</v>
      </c>
      <c r="D181">
        <v>0</v>
      </c>
      <c r="E181">
        <f>Tabl_B2_Melt_Shop!C362</f>
        <v>8.0000000000000002E-3</v>
      </c>
      <c r="F181">
        <f>E181</f>
        <v>8.0000000000000002E-3</v>
      </c>
      <c r="G181" t="s">
        <v>408</v>
      </c>
      <c r="I181">
        <f>Tabl_B2_Melt_Shop!D362</f>
        <v>2.5421176470588236</v>
      </c>
      <c r="J181">
        <f>Tabl_B2_Melt_Shop!E362</f>
        <v>6.9647058823529414E-3</v>
      </c>
      <c r="M181">
        <f>Tabl_B2_Melt_Shop!D357</f>
        <v>0</v>
      </c>
      <c r="N181" t="s">
        <v>426</v>
      </c>
      <c r="O181" t="s">
        <v>415</v>
      </c>
      <c r="P181" t="s">
        <v>410</v>
      </c>
      <c r="Q181" t="s">
        <v>335</v>
      </c>
      <c r="R181" s="169" t="s">
        <v>454</v>
      </c>
      <c r="S181" s="170" t="s">
        <v>444</v>
      </c>
      <c r="U181">
        <v>317.76470588235293</v>
      </c>
      <c r="X181">
        <v>0.87058823529411766</v>
      </c>
    </row>
    <row r="182" spans="1:24" x14ac:dyDescent="0.2">
      <c r="A182">
        <f t="shared" ref="A182:A200" si="16">M$181</f>
        <v>0</v>
      </c>
      <c r="B182" t="str">
        <f>Tabl_B2_Melt_Shop!A363</f>
        <v>50-00-0</v>
      </c>
      <c r="D182">
        <v>0</v>
      </c>
      <c r="E182">
        <f>Tabl_B2_Melt_Shop!C363</f>
        <v>1.7000000000000001E-2</v>
      </c>
      <c r="F182">
        <f t="shared" ref="F182:F207" si="17">E182</f>
        <v>1.7000000000000001E-2</v>
      </c>
      <c r="G182" t="s">
        <v>408</v>
      </c>
      <c r="I182">
        <f>Tabl_B2_Melt_Shop!D363</f>
        <v>5.4020000000000001</v>
      </c>
      <c r="J182">
        <f>Tabl_B2_Melt_Shop!E363</f>
        <v>1.4800000000000001E-2</v>
      </c>
    </row>
    <row r="183" spans="1:24" x14ac:dyDescent="0.2">
      <c r="A183">
        <f t="shared" si="16"/>
        <v>0</v>
      </c>
      <c r="B183">
        <f>Tabl_B2_Melt_Shop!A364</f>
        <v>401</v>
      </c>
      <c r="D183">
        <v>0</v>
      </c>
      <c r="E183">
        <f>Tabl_B2_Melt_Shop!C364</f>
        <v>1E-4</v>
      </c>
      <c r="F183">
        <f t="shared" si="17"/>
        <v>1E-4</v>
      </c>
      <c r="G183" t="s">
        <v>408</v>
      </c>
      <c r="I183">
        <f>Tabl_B2_Melt_Shop!D364</f>
        <v>3.1776470588235295E-2</v>
      </c>
      <c r="J183">
        <f>Tabl_B2_Melt_Shop!E364</f>
        <v>8.7058823529411771E-5</v>
      </c>
    </row>
    <row r="184" spans="1:24" x14ac:dyDescent="0.2">
      <c r="A184">
        <f t="shared" si="16"/>
        <v>0</v>
      </c>
      <c r="B184" t="str">
        <f>Tabl_B2_Melt_Shop!A365</f>
        <v>50-32-8</v>
      </c>
      <c r="D184">
        <v>0</v>
      </c>
      <c r="E184">
        <f>Tabl_B2_Melt_Shop!C365</f>
        <v>1.1999999999999999E-6</v>
      </c>
      <c r="F184">
        <f t="shared" si="17"/>
        <v>1.1999999999999999E-6</v>
      </c>
      <c r="G184" t="s">
        <v>408</v>
      </c>
      <c r="I184">
        <f>Tabl_B2_Melt_Shop!D365</f>
        <v>3.8131764705882351E-4</v>
      </c>
      <c r="J184">
        <f>Tabl_B2_Melt_Shop!E365</f>
        <v>1.0447058823529411E-6</v>
      </c>
    </row>
    <row r="185" spans="1:24" x14ac:dyDescent="0.2">
      <c r="A185">
        <f t="shared" si="16"/>
        <v>0</v>
      </c>
      <c r="B185" t="str">
        <f>Tabl_B2_Melt_Shop!A366</f>
        <v>91-20-3</v>
      </c>
      <c r="D185">
        <v>0</v>
      </c>
      <c r="E185">
        <f>Tabl_B2_Melt_Shop!C366</f>
        <v>2.9999999999999997E-4</v>
      </c>
      <c r="F185">
        <f t="shared" si="17"/>
        <v>2.9999999999999997E-4</v>
      </c>
      <c r="G185" t="s">
        <v>408</v>
      </c>
      <c r="I185">
        <f>Tabl_B2_Melt_Shop!D366</f>
        <v>9.5329411764705871E-2</v>
      </c>
      <c r="J185">
        <f>Tabl_B2_Melt_Shop!E366</f>
        <v>2.6117647058823527E-4</v>
      </c>
    </row>
    <row r="186" spans="1:24" x14ac:dyDescent="0.2">
      <c r="A186">
        <f t="shared" si="16"/>
        <v>0</v>
      </c>
      <c r="B186" t="str">
        <f>Tabl_B2_Melt_Shop!A367</f>
        <v>75-07-0</v>
      </c>
      <c r="D186">
        <v>0</v>
      </c>
      <c r="E186">
        <f>Tabl_B2_Melt_Shop!C367</f>
        <v>4.3E-3</v>
      </c>
      <c r="F186">
        <f t="shared" si="17"/>
        <v>4.3E-3</v>
      </c>
      <c r="G186" t="s">
        <v>408</v>
      </c>
      <c r="I186">
        <f>Tabl_B2_Melt_Shop!D367</f>
        <v>1.3663882352941177</v>
      </c>
      <c r="J186">
        <f>Tabl_B2_Melt_Shop!E367</f>
        <v>3.7435294117647059E-3</v>
      </c>
    </row>
    <row r="187" spans="1:24" x14ac:dyDescent="0.2">
      <c r="A187">
        <f t="shared" si="16"/>
        <v>0</v>
      </c>
      <c r="B187" t="str">
        <f>Tabl_B2_Melt_Shop!A368</f>
        <v>107-02-8</v>
      </c>
      <c r="D187">
        <v>0</v>
      </c>
      <c r="E187">
        <f>Tabl_B2_Melt_Shop!C368</f>
        <v>2.7000000000000001E-3</v>
      </c>
      <c r="F187">
        <f t="shared" si="17"/>
        <v>2.7000000000000001E-3</v>
      </c>
      <c r="G187" t="s">
        <v>408</v>
      </c>
      <c r="I187">
        <f>Tabl_B2_Melt_Shop!D368</f>
        <v>0.85796470588235296</v>
      </c>
      <c r="J187">
        <f>Tabl_B2_Melt_Shop!E368</f>
        <v>2.3505882352941178E-3</v>
      </c>
    </row>
    <row r="188" spans="1:24" x14ac:dyDescent="0.2">
      <c r="A188">
        <f t="shared" si="16"/>
        <v>0</v>
      </c>
      <c r="B188" t="str">
        <f>Tabl_B2_Melt_Shop!A369</f>
        <v>7664-41-7</v>
      </c>
      <c r="D188">
        <v>0</v>
      </c>
      <c r="E188">
        <f>Tabl_B2_Melt_Shop!C369</f>
        <v>18</v>
      </c>
      <c r="F188">
        <f t="shared" si="17"/>
        <v>18</v>
      </c>
      <c r="G188" t="s">
        <v>408</v>
      </c>
      <c r="I188">
        <f>Tabl_B2_Melt_Shop!D369</f>
        <v>5719.7647058823532</v>
      </c>
      <c r="J188">
        <f>Tabl_B2_Melt_Shop!E369</f>
        <v>15.670588235294119</v>
      </c>
    </row>
    <row r="189" spans="1:24" x14ac:dyDescent="0.2">
      <c r="A189">
        <f t="shared" si="16"/>
        <v>0</v>
      </c>
      <c r="B189" t="str">
        <f>Tabl_B2_Melt_Shop!A370</f>
        <v>7440-38-2</v>
      </c>
      <c r="D189">
        <v>0</v>
      </c>
      <c r="E189">
        <f>Tabl_B2_Melt_Shop!C370</f>
        <v>2.0000000000000001E-4</v>
      </c>
      <c r="F189">
        <f t="shared" si="17"/>
        <v>2.0000000000000001E-4</v>
      </c>
      <c r="G189" t="s">
        <v>408</v>
      </c>
      <c r="I189">
        <f>Tabl_B2_Melt_Shop!D370</f>
        <v>6.355294117647059E-2</v>
      </c>
      <c r="J189">
        <f>Tabl_B2_Melt_Shop!E370</f>
        <v>1.7411764705882354E-4</v>
      </c>
    </row>
    <row r="190" spans="1:24" x14ac:dyDescent="0.2">
      <c r="A190">
        <f t="shared" si="16"/>
        <v>0</v>
      </c>
      <c r="B190" t="str">
        <f>Tabl_B2_Melt_Shop!A371</f>
        <v>7440-39-3</v>
      </c>
      <c r="D190">
        <v>0</v>
      </c>
      <c r="E190">
        <f>Tabl_B2_Melt_Shop!C371</f>
        <v>4.4000000000000003E-3</v>
      </c>
      <c r="F190">
        <f t="shared" si="17"/>
        <v>4.4000000000000003E-3</v>
      </c>
      <c r="G190" t="s">
        <v>408</v>
      </c>
      <c r="I190">
        <f>Tabl_B2_Melt_Shop!D371</f>
        <v>1.398164705882353</v>
      </c>
      <c r="J190">
        <f>Tabl_B2_Melt_Shop!E371</f>
        <v>3.8305882352941177E-3</v>
      </c>
    </row>
    <row r="191" spans="1:24" x14ac:dyDescent="0.2">
      <c r="A191">
        <f t="shared" si="16"/>
        <v>0</v>
      </c>
      <c r="B191" t="str">
        <f>Tabl_B2_Melt_Shop!A372</f>
        <v>7440-41-7</v>
      </c>
      <c r="D191">
        <v>0</v>
      </c>
      <c r="E191">
        <f>Tabl_B2_Melt_Shop!C372</f>
        <v>1.2E-5</v>
      </c>
      <c r="F191">
        <f t="shared" si="17"/>
        <v>1.2E-5</v>
      </c>
      <c r="G191" t="s">
        <v>408</v>
      </c>
      <c r="I191">
        <f>Tabl_B2_Melt_Shop!D372</f>
        <v>3.8131764705882352E-3</v>
      </c>
      <c r="J191">
        <f>Tabl_B2_Melt_Shop!E372</f>
        <v>1.0447058823529411E-5</v>
      </c>
    </row>
    <row r="192" spans="1:24" x14ac:dyDescent="0.2">
      <c r="A192">
        <f t="shared" si="16"/>
        <v>0</v>
      </c>
      <c r="B192" t="str">
        <f>Tabl_B2_Melt_Shop!A373</f>
        <v>7440-43-9</v>
      </c>
      <c r="D192">
        <v>0</v>
      </c>
      <c r="E192">
        <f>Tabl_B2_Melt_Shop!C373</f>
        <v>1.1000000000000001E-3</v>
      </c>
      <c r="F192">
        <f t="shared" si="17"/>
        <v>1.1000000000000001E-3</v>
      </c>
      <c r="G192" t="s">
        <v>408</v>
      </c>
      <c r="I192">
        <f>Tabl_B2_Melt_Shop!D373</f>
        <v>0.34954117647058824</v>
      </c>
      <c r="J192">
        <f>Tabl_B2_Melt_Shop!E373</f>
        <v>9.5764705882352944E-4</v>
      </c>
    </row>
    <row r="193" spans="1:24" x14ac:dyDescent="0.2">
      <c r="A193">
        <f t="shared" si="16"/>
        <v>0</v>
      </c>
      <c r="B193" t="str">
        <f>Tabl_B2_Melt_Shop!A374</f>
        <v>18540-29-9</v>
      </c>
      <c r="D193">
        <v>0</v>
      </c>
      <c r="E193">
        <f>Tabl_B2_Melt_Shop!C374</f>
        <v>1.4E-3</v>
      </c>
      <c r="F193">
        <f t="shared" si="17"/>
        <v>1.4E-3</v>
      </c>
      <c r="G193" t="s">
        <v>408</v>
      </c>
      <c r="I193">
        <f>Tabl_B2_Melt_Shop!D374</f>
        <v>0.44487058823529407</v>
      </c>
      <c r="J193">
        <f>Tabl_B2_Melt_Shop!E374</f>
        <v>1.2188235294117648E-3</v>
      </c>
    </row>
    <row r="194" spans="1:24" x14ac:dyDescent="0.2">
      <c r="A194">
        <f t="shared" si="16"/>
        <v>0</v>
      </c>
      <c r="B194" t="str">
        <f>Tabl_B2_Melt_Shop!A375</f>
        <v>7440-48-4</v>
      </c>
      <c r="D194">
        <v>0</v>
      </c>
      <c r="E194">
        <f>Tabl_B2_Melt_Shop!C375</f>
        <v>8.3999999999999995E-5</v>
      </c>
      <c r="F194">
        <f t="shared" si="17"/>
        <v>8.3999999999999995E-5</v>
      </c>
      <c r="G194" t="s">
        <v>408</v>
      </c>
      <c r="I194">
        <f>Tabl_B2_Melt_Shop!D375</f>
        <v>2.6692235294117645E-2</v>
      </c>
      <c r="J194">
        <f>Tabl_B2_Melt_Shop!E375</f>
        <v>7.312941176470588E-5</v>
      </c>
    </row>
    <row r="195" spans="1:24" x14ac:dyDescent="0.2">
      <c r="A195">
        <f t="shared" si="16"/>
        <v>0</v>
      </c>
      <c r="B195" t="str">
        <f>Tabl_B2_Melt_Shop!A376</f>
        <v>7440-50-8</v>
      </c>
      <c r="D195">
        <v>0</v>
      </c>
      <c r="E195">
        <f>Tabl_B2_Melt_Shop!C376</f>
        <v>8.4999999999999995E-4</v>
      </c>
      <c r="F195">
        <f t="shared" si="17"/>
        <v>8.4999999999999995E-4</v>
      </c>
      <c r="G195" t="s">
        <v>408</v>
      </c>
      <c r="I195">
        <f>Tabl_B2_Melt_Shop!D376</f>
        <v>0.27009999999999995</v>
      </c>
      <c r="J195">
        <f>Tabl_B2_Melt_Shop!E376</f>
        <v>7.3999999999999999E-4</v>
      </c>
    </row>
    <row r="196" spans="1:24" x14ac:dyDescent="0.2">
      <c r="A196">
        <f t="shared" si="16"/>
        <v>0</v>
      </c>
      <c r="B196" t="str">
        <f>Tabl_B2_Melt_Shop!A377</f>
        <v>100-41-4</v>
      </c>
      <c r="D196">
        <v>0</v>
      </c>
      <c r="E196">
        <f>Tabl_B2_Melt_Shop!C377</f>
        <v>9.4999999999999998E-3</v>
      </c>
      <c r="F196">
        <f t="shared" si="17"/>
        <v>9.4999999999999998E-3</v>
      </c>
      <c r="G196" t="s">
        <v>408</v>
      </c>
      <c r="I196">
        <f>Tabl_B2_Melt_Shop!D377</f>
        <v>3.0187647058823526</v>
      </c>
      <c r="J196">
        <f>Tabl_B2_Melt_Shop!E377</f>
        <v>8.2705882352941181E-3</v>
      </c>
    </row>
    <row r="197" spans="1:24" x14ac:dyDescent="0.2">
      <c r="A197">
        <f t="shared" si="16"/>
        <v>0</v>
      </c>
      <c r="B197" t="str">
        <f>Tabl_B2_Melt_Shop!A378</f>
        <v>110-54-3</v>
      </c>
      <c r="D197">
        <v>0</v>
      </c>
      <c r="E197">
        <f>Tabl_B2_Melt_Shop!C378</f>
        <v>6.3E-3</v>
      </c>
      <c r="F197">
        <f t="shared" si="17"/>
        <v>6.3E-3</v>
      </c>
      <c r="G197" t="s">
        <v>408</v>
      </c>
      <c r="I197">
        <f>Tabl_B2_Melt_Shop!D378</f>
        <v>2.0019176470588236</v>
      </c>
      <c r="J197">
        <f>Tabl_B2_Melt_Shop!E378</f>
        <v>5.484705882352941E-3</v>
      </c>
    </row>
    <row r="198" spans="1:24" x14ac:dyDescent="0.2">
      <c r="A198">
        <f t="shared" si="16"/>
        <v>0</v>
      </c>
      <c r="B198" t="str">
        <f>Tabl_B2_Melt_Shop!A379</f>
        <v>7439-92-1</v>
      </c>
      <c r="D198">
        <v>0</v>
      </c>
      <c r="E198">
        <f>Tabl_B2_Melt_Shop!C379</f>
        <v>5.0000000000000001E-4</v>
      </c>
      <c r="F198">
        <f t="shared" si="17"/>
        <v>5.0000000000000001E-4</v>
      </c>
      <c r="G198" t="s">
        <v>408</v>
      </c>
      <c r="I198">
        <f>Tabl_B2_Melt_Shop!D379</f>
        <v>0.15888235294117647</v>
      </c>
      <c r="J198">
        <f>Tabl_B2_Melt_Shop!E379</f>
        <v>4.3529411764705884E-4</v>
      </c>
    </row>
    <row r="199" spans="1:24" x14ac:dyDescent="0.2">
      <c r="A199">
        <f t="shared" si="16"/>
        <v>0</v>
      </c>
      <c r="B199" t="str">
        <f>Tabl_B2_Melt_Shop!A380</f>
        <v>7439-96-5</v>
      </c>
      <c r="D199">
        <v>0</v>
      </c>
      <c r="E199">
        <f>Tabl_B2_Melt_Shop!C380</f>
        <v>3.8000000000000002E-4</v>
      </c>
      <c r="F199">
        <f t="shared" si="17"/>
        <v>3.8000000000000002E-4</v>
      </c>
      <c r="G199" t="s">
        <v>408</v>
      </c>
      <c r="I199">
        <f>Tabl_B2_Melt_Shop!D380</f>
        <v>0.12075058823529412</v>
      </c>
      <c r="J199">
        <f>Tabl_B2_Melt_Shop!E380</f>
        <v>3.3082352941176475E-4</v>
      </c>
    </row>
    <row r="200" spans="1:24" x14ac:dyDescent="0.2">
      <c r="A200">
        <f t="shared" si="16"/>
        <v>0</v>
      </c>
      <c r="B200" t="str">
        <f>Tabl_B2_Melt_Shop!A381</f>
        <v>7439-97-6</v>
      </c>
      <c r="D200">
        <v>0</v>
      </c>
      <c r="E200">
        <f>Tabl_B2_Melt_Shop!C381</f>
        <v>2.5999999999999998E-4</v>
      </c>
      <c r="F200">
        <f t="shared" si="17"/>
        <v>2.5999999999999998E-4</v>
      </c>
      <c r="G200" t="s">
        <v>408</v>
      </c>
      <c r="I200">
        <f>Tabl_B2_Melt_Shop!D381</f>
        <v>8.2618823529411758E-2</v>
      </c>
      <c r="J200">
        <f>Tabl_B2_Melt_Shop!E381</f>
        <v>2.2635294117647058E-4</v>
      </c>
    </row>
    <row r="201" spans="1:24" x14ac:dyDescent="0.2">
      <c r="A201">
        <f t="shared" ref="A201:A207" si="18">M$181</f>
        <v>0</v>
      </c>
      <c r="B201" t="str">
        <f>Tabl_B2_Melt_Shop!A382</f>
        <v>1313-27-5</v>
      </c>
      <c r="D201">
        <v>0</v>
      </c>
      <c r="E201">
        <f>Tabl_B2_Melt_Shop!C382</f>
        <v>1.65E-3</v>
      </c>
      <c r="F201">
        <f t="shared" si="17"/>
        <v>1.65E-3</v>
      </c>
      <c r="G201" t="s">
        <v>408</v>
      </c>
      <c r="I201">
        <f>Tabl_B2_Melt_Shop!D382</f>
        <v>0.52431176470588237</v>
      </c>
      <c r="J201">
        <f>Tabl_B2_Melt_Shop!E382</f>
        <v>1.436470588235294E-3</v>
      </c>
    </row>
    <row r="202" spans="1:24" x14ac:dyDescent="0.2">
      <c r="A202">
        <f t="shared" si="18"/>
        <v>0</v>
      </c>
      <c r="B202">
        <f>Tabl_B2_Melt_Shop!A383</f>
        <v>365</v>
      </c>
      <c r="D202">
        <v>0</v>
      </c>
      <c r="E202">
        <f>Tabl_B2_Melt_Shop!C383</f>
        <v>2.0999999999999999E-3</v>
      </c>
      <c r="F202">
        <f t="shared" si="17"/>
        <v>2.0999999999999999E-3</v>
      </c>
      <c r="G202" t="s">
        <v>408</v>
      </c>
      <c r="I202">
        <f>Tabl_B2_Melt_Shop!D383</f>
        <v>0.66730588235294108</v>
      </c>
      <c r="J202">
        <f>Tabl_B2_Melt_Shop!E383</f>
        <v>1.828235294117647E-3</v>
      </c>
    </row>
    <row r="203" spans="1:24" x14ac:dyDescent="0.2">
      <c r="A203">
        <f t="shared" si="18"/>
        <v>0</v>
      </c>
      <c r="B203" t="str">
        <f>Tabl_B2_Melt_Shop!A384</f>
        <v>7782-49-2</v>
      </c>
      <c r="D203">
        <v>0</v>
      </c>
      <c r="E203">
        <f>Tabl_B2_Melt_Shop!C384</f>
        <v>2.4000000000000001E-5</v>
      </c>
      <c r="F203">
        <f t="shared" si="17"/>
        <v>2.4000000000000001E-5</v>
      </c>
      <c r="G203" t="s">
        <v>408</v>
      </c>
      <c r="I203">
        <f>Tabl_B2_Melt_Shop!D384</f>
        <v>7.6263529411764704E-3</v>
      </c>
      <c r="J203">
        <f>Tabl_B2_Melt_Shop!E384</f>
        <v>2.0894117647058823E-5</v>
      </c>
    </row>
    <row r="204" spans="1:24" x14ac:dyDescent="0.2">
      <c r="A204">
        <f t="shared" si="18"/>
        <v>0</v>
      </c>
      <c r="B204" t="str">
        <f>Tabl_B2_Melt_Shop!A385</f>
        <v>108-88-3</v>
      </c>
      <c r="D204">
        <v>0</v>
      </c>
      <c r="E204">
        <f>Tabl_B2_Melt_Shop!C385</f>
        <v>3.6600000000000001E-2</v>
      </c>
      <c r="F204">
        <f t="shared" si="17"/>
        <v>3.6600000000000001E-2</v>
      </c>
      <c r="G204" t="s">
        <v>408</v>
      </c>
      <c r="I204">
        <f>Tabl_B2_Melt_Shop!D385</f>
        <v>11.630188235294117</v>
      </c>
      <c r="J204">
        <f>Tabl_B2_Melt_Shop!E385</f>
        <v>3.1863529411764707E-2</v>
      </c>
    </row>
    <row r="205" spans="1:24" x14ac:dyDescent="0.2">
      <c r="A205">
        <f t="shared" si="18"/>
        <v>0</v>
      </c>
      <c r="B205" t="str">
        <f>Tabl_B2_Melt_Shop!A386</f>
        <v>7440-62-2</v>
      </c>
      <c r="D205">
        <v>0</v>
      </c>
      <c r="E205">
        <f>Tabl_B2_Melt_Shop!C386</f>
        <v>2.3E-3</v>
      </c>
      <c r="F205">
        <f t="shared" si="17"/>
        <v>2.3E-3</v>
      </c>
      <c r="G205" t="s">
        <v>408</v>
      </c>
      <c r="I205">
        <f>Tabl_B2_Melt_Shop!D386</f>
        <v>0.73085882352941167</v>
      </c>
      <c r="J205">
        <f>Tabl_B2_Melt_Shop!E386</f>
        <v>2.0023529411764707E-3</v>
      </c>
    </row>
    <row r="206" spans="1:24" x14ac:dyDescent="0.2">
      <c r="A206">
        <f t="shared" si="18"/>
        <v>0</v>
      </c>
      <c r="B206" t="str">
        <f>Tabl_B2_Melt_Shop!A387</f>
        <v>1330-20-7</v>
      </c>
      <c r="D206">
        <v>0</v>
      </c>
      <c r="E206">
        <f>Tabl_B2_Melt_Shop!C387</f>
        <v>2.7199999999999998E-2</v>
      </c>
      <c r="F206">
        <f t="shared" si="17"/>
        <v>2.7199999999999998E-2</v>
      </c>
      <c r="G206" t="s">
        <v>408</v>
      </c>
      <c r="I206">
        <f>Tabl_B2_Melt_Shop!D387</f>
        <v>8.6431999999999984</v>
      </c>
      <c r="J206">
        <f>Tabl_B2_Melt_Shop!E387</f>
        <v>2.368E-2</v>
      </c>
    </row>
    <row r="207" spans="1:24" x14ac:dyDescent="0.2">
      <c r="A207">
        <f t="shared" si="18"/>
        <v>0</v>
      </c>
      <c r="B207" t="str">
        <f>Tabl_B2_Melt_Shop!A388</f>
        <v>7440-66-6</v>
      </c>
      <c r="D207">
        <v>0</v>
      </c>
      <c r="E207">
        <f>Tabl_B2_Melt_Shop!C388</f>
        <v>2.9000000000000001E-2</v>
      </c>
      <c r="F207">
        <f t="shared" si="17"/>
        <v>2.9000000000000001E-2</v>
      </c>
      <c r="G207" t="s">
        <v>408</v>
      </c>
      <c r="I207">
        <f>Tabl_B2_Melt_Shop!D388</f>
        <v>9.2151764705882346</v>
      </c>
      <c r="J207">
        <f>Tabl_B2_Melt_Shop!E388</f>
        <v>2.5247058823529414E-2</v>
      </c>
    </row>
    <row r="208" spans="1:24" x14ac:dyDescent="0.2">
      <c r="A208" t="str">
        <f>M$208</f>
        <v>EU-16ng_RMELT</v>
      </c>
      <c r="B208" t="str">
        <f>Tabl_B2_Melt_Shop!A399</f>
        <v>71-43-2</v>
      </c>
      <c r="D208">
        <v>0</v>
      </c>
      <c r="E208">
        <f>Tabl_B2_Melt_Shop!C399</f>
        <v>8.0000000000000002E-3</v>
      </c>
      <c r="F208">
        <f>E208</f>
        <v>8.0000000000000002E-3</v>
      </c>
      <c r="G208" t="s">
        <v>408</v>
      </c>
      <c r="I208">
        <f>Tabl_B2_Melt_Shop!D399</f>
        <v>1.7863529411764705</v>
      </c>
      <c r="J208">
        <f>Tabl_B2_Melt_Shop!E399</f>
        <v>4.894117647058824E-3</v>
      </c>
      <c r="M208" t="str">
        <f>Tabl_B2_Melt_Shop!D396</f>
        <v>EU-16ng_RMELT</v>
      </c>
      <c r="N208" t="s">
        <v>427</v>
      </c>
      <c r="O208" t="s">
        <v>413</v>
      </c>
      <c r="P208" t="s">
        <v>412</v>
      </c>
      <c r="Q208" t="s">
        <v>354</v>
      </c>
      <c r="R208" s="169" t="s">
        <v>454</v>
      </c>
      <c r="S208" s="170" t="s">
        <v>444</v>
      </c>
      <c r="U208">
        <f>Tabl_B2_Melt_Shop!E318</f>
        <v>0</v>
      </c>
      <c r="X208">
        <f>Tabl_B2_Melt_Shop!F318</f>
        <v>0</v>
      </c>
    </row>
    <row r="209" spans="1:10" x14ac:dyDescent="0.2">
      <c r="A209" t="str">
        <f t="shared" ref="A209:A234" si="19">M$208</f>
        <v>EU-16ng_RMELT</v>
      </c>
      <c r="B209" t="str">
        <f>Tabl_B2_Melt_Shop!A400</f>
        <v>50-00-0</v>
      </c>
      <c r="D209">
        <v>0</v>
      </c>
      <c r="E209">
        <f>Tabl_B2_Melt_Shop!C400</f>
        <v>1.7000000000000001E-2</v>
      </c>
      <c r="F209">
        <f t="shared" ref="F209:F234" si="20">E209</f>
        <v>1.7000000000000001E-2</v>
      </c>
      <c r="G209" t="s">
        <v>408</v>
      </c>
      <c r="I209">
        <f>Tabl_B2_Melt_Shop!D400</f>
        <v>3.7960000000000003</v>
      </c>
      <c r="J209">
        <f>Tabl_B2_Melt_Shop!E400</f>
        <v>1.0400000000000001E-2</v>
      </c>
    </row>
    <row r="210" spans="1:10" x14ac:dyDescent="0.2">
      <c r="A210" t="str">
        <f t="shared" si="19"/>
        <v>EU-16ng_RMELT</v>
      </c>
      <c r="B210">
        <f>Tabl_B2_Melt_Shop!A401</f>
        <v>401</v>
      </c>
      <c r="D210">
        <v>0</v>
      </c>
      <c r="E210">
        <f>Tabl_B2_Melt_Shop!C401</f>
        <v>1E-4</v>
      </c>
      <c r="F210">
        <f t="shared" si="20"/>
        <v>1E-4</v>
      </c>
      <c r="G210" t="s">
        <v>408</v>
      </c>
      <c r="I210">
        <f>Tabl_B2_Melt_Shop!D401</f>
        <v>2.2329411764705882E-2</v>
      </c>
      <c r="J210">
        <f>Tabl_B2_Melt_Shop!E401</f>
        <v>6.1176470588235302E-5</v>
      </c>
    </row>
    <row r="211" spans="1:10" x14ac:dyDescent="0.2">
      <c r="A211" t="str">
        <f t="shared" si="19"/>
        <v>EU-16ng_RMELT</v>
      </c>
      <c r="B211" t="str">
        <f>Tabl_B2_Melt_Shop!A402</f>
        <v>50-32-8</v>
      </c>
      <c r="D211">
        <v>0</v>
      </c>
      <c r="E211">
        <f>Tabl_B2_Melt_Shop!C402</f>
        <v>1.1999999999999999E-6</v>
      </c>
      <c r="F211">
        <f t="shared" si="20"/>
        <v>1.1999999999999999E-6</v>
      </c>
      <c r="G211" t="s">
        <v>408</v>
      </c>
      <c r="I211">
        <f>Tabl_B2_Melt_Shop!D402</f>
        <v>2.6795294117647054E-4</v>
      </c>
      <c r="J211">
        <f>Tabl_B2_Melt_Shop!E402</f>
        <v>7.3411764705882353E-7</v>
      </c>
    </row>
    <row r="212" spans="1:10" x14ac:dyDescent="0.2">
      <c r="A212" t="str">
        <f t="shared" si="19"/>
        <v>EU-16ng_RMELT</v>
      </c>
      <c r="B212" t="str">
        <f>Tabl_B2_Melt_Shop!A403</f>
        <v>91-20-3</v>
      </c>
      <c r="D212">
        <v>0</v>
      </c>
      <c r="E212">
        <f>Tabl_B2_Melt_Shop!C403</f>
        <v>2.9999999999999997E-4</v>
      </c>
      <c r="F212">
        <f t="shared" si="20"/>
        <v>2.9999999999999997E-4</v>
      </c>
      <c r="G212" t="s">
        <v>408</v>
      </c>
      <c r="I212">
        <f>Tabl_B2_Melt_Shop!D403</f>
        <v>6.698823529411764E-2</v>
      </c>
      <c r="J212">
        <f>Tabl_B2_Melt_Shop!E403</f>
        <v>1.8352941176470589E-4</v>
      </c>
    </row>
    <row r="213" spans="1:10" x14ac:dyDescent="0.2">
      <c r="A213" t="str">
        <f t="shared" si="19"/>
        <v>EU-16ng_RMELT</v>
      </c>
      <c r="B213" t="str">
        <f>Tabl_B2_Melt_Shop!A404</f>
        <v>75-07-0</v>
      </c>
      <c r="D213">
        <v>0</v>
      </c>
      <c r="E213">
        <f>Tabl_B2_Melt_Shop!C404</f>
        <v>4.3E-3</v>
      </c>
      <c r="F213">
        <f t="shared" si="20"/>
        <v>4.3E-3</v>
      </c>
      <c r="G213" t="s">
        <v>408</v>
      </c>
      <c r="I213">
        <f>Tabl_B2_Melt_Shop!D404</f>
        <v>0.96016470588235292</v>
      </c>
      <c r="J213">
        <f>Tabl_B2_Melt_Shop!E404</f>
        <v>2.6305882352941181E-3</v>
      </c>
    </row>
    <row r="214" spans="1:10" x14ac:dyDescent="0.2">
      <c r="A214" t="str">
        <f t="shared" si="19"/>
        <v>EU-16ng_RMELT</v>
      </c>
      <c r="B214" t="str">
        <f>Tabl_B2_Melt_Shop!A405</f>
        <v>107-02-8</v>
      </c>
      <c r="D214">
        <v>0</v>
      </c>
      <c r="E214">
        <f>Tabl_B2_Melt_Shop!C405</f>
        <v>2.7000000000000001E-3</v>
      </c>
      <c r="F214">
        <f t="shared" si="20"/>
        <v>2.7000000000000001E-3</v>
      </c>
      <c r="G214" t="s">
        <v>408</v>
      </c>
      <c r="I214">
        <f>Tabl_B2_Melt_Shop!D405</f>
        <v>0.6028941176470588</v>
      </c>
      <c r="J214">
        <f>Tabl_B2_Melt_Shop!E405</f>
        <v>1.6517647058823532E-3</v>
      </c>
    </row>
    <row r="215" spans="1:10" x14ac:dyDescent="0.2">
      <c r="A215" t="str">
        <f t="shared" si="19"/>
        <v>EU-16ng_RMELT</v>
      </c>
      <c r="B215" t="str">
        <f>Tabl_B2_Melt_Shop!A406</f>
        <v>7664-41-7</v>
      </c>
      <c r="D215">
        <v>0</v>
      </c>
      <c r="E215">
        <f>Tabl_B2_Melt_Shop!C406</f>
        <v>18</v>
      </c>
      <c r="F215">
        <f t="shared" si="20"/>
        <v>18</v>
      </c>
      <c r="G215" t="s">
        <v>408</v>
      </c>
      <c r="I215">
        <f>Tabl_B2_Melt_Shop!D406</f>
        <v>4019.2941176470586</v>
      </c>
      <c r="J215">
        <f>Tabl_B2_Melt_Shop!E406</f>
        <v>11.011764705882353</v>
      </c>
    </row>
    <row r="216" spans="1:10" x14ac:dyDescent="0.2">
      <c r="A216" t="str">
        <f t="shared" si="19"/>
        <v>EU-16ng_RMELT</v>
      </c>
      <c r="B216" t="str">
        <f>Tabl_B2_Melt_Shop!A407</f>
        <v>7440-38-2</v>
      </c>
      <c r="D216">
        <v>0</v>
      </c>
      <c r="E216">
        <f>Tabl_B2_Melt_Shop!C407</f>
        <v>2.0000000000000001E-4</v>
      </c>
      <c r="F216">
        <f t="shared" si="20"/>
        <v>2.0000000000000001E-4</v>
      </c>
      <c r="G216" t="s">
        <v>408</v>
      </c>
      <c r="I216">
        <f>Tabl_B2_Melt_Shop!D407</f>
        <v>4.4658823529411765E-2</v>
      </c>
      <c r="J216">
        <f>Tabl_B2_Melt_Shop!E407</f>
        <v>1.223529411764706E-4</v>
      </c>
    </row>
    <row r="217" spans="1:10" x14ac:dyDescent="0.2">
      <c r="A217" t="str">
        <f t="shared" si="19"/>
        <v>EU-16ng_RMELT</v>
      </c>
      <c r="B217" t="str">
        <f>Tabl_B2_Melt_Shop!A408</f>
        <v>7440-39-3</v>
      </c>
      <c r="D217">
        <v>0</v>
      </c>
      <c r="E217">
        <f>Tabl_B2_Melt_Shop!C408</f>
        <v>4.4000000000000003E-3</v>
      </c>
      <c r="F217">
        <f t="shared" si="20"/>
        <v>4.4000000000000003E-3</v>
      </c>
      <c r="G217" t="s">
        <v>408</v>
      </c>
      <c r="I217">
        <f>Tabl_B2_Melt_Shop!D408</f>
        <v>0.98249411764705885</v>
      </c>
      <c r="J217">
        <f>Tabl_B2_Melt_Shop!E408</f>
        <v>2.6917647058823531E-3</v>
      </c>
    </row>
    <row r="218" spans="1:10" x14ac:dyDescent="0.2">
      <c r="A218" t="str">
        <f t="shared" si="19"/>
        <v>EU-16ng_RMELT</v>
      </c>
      <c r="B218" t="str">
        <f>Tabl_B2_Melt_Shop!A409</f>
        <v>7440-41-7</v>
      </c>
      <c r="D218">
        <v>0</v>
      </c>
      <c r="E218">
        <f>Tabl_B2_Melt_Shop!C409</f>
        <v>1.2E-5</v>
      </c>
      <c r="F218">
        <f t="shared" si="20"/>
        <v>1.2E-5</v>
      </c>
      <c r="G218" t="s">
        <v>408</v>
      </c>
      <c r="I218">
        <f>Tabl_B2_Melt_Shop!D409</f>
        <v>2.6795294117647056E-3</v>
      </c>
      <c r="J218">
        <f>Tabl_B2_Melt_Shop!E409</f>
        <v>7.3411764705882361E-6</v>
      </c>
    </row>
    <row r="219" spans="1:10" x14ac:dyDescent="0.2">
      <c r="A219" t="str">
        <f t="shared" si="19"/>
        <v>EU-16ng_RMELT</v>
      </c>
      <c r="B219" t="str">
        <f>Tabl_B2_Melt_Shop!A410</f>
        <v>7440-43-9</v>
      </c>
      <c r="D219">
        <v>0</v>
      </c>
      <c r="E219">
        <f>Tabl_B2_Melt_Shop!C410</f>
        <v>1.1000000000000001E-3</v>
      </c>
      <c r="F219">
        <f t="shared" si="20"/>
        <v>1.1000000000000001E-3</v>
      </c>
      <c r="G219" t="s">
        <v>408</v>
      </c>
      <c r="I219">
        <f>Tabl_B2_Melt_Shop!D410</f>
        <v>0.24562352941176471</v>
      </c>
      <c r="J219">
        <f>Tabl_B2_Melt_Shop!E410</f>
        <v>6.7294117647058828E-4</v>
      </c>
    </row>
    <row r="220" spans="1:10" x14ac:dyDescent="0.2">
      <c r="A220" t="str">
        <f t="shared" si="19"/>
        <v>EU-16ng_RMELT</v>
      </c>
      <c r="B220" t="str">
        <f>Tabl_B2_Melt_Shop!A411</f>
        <v>18540-29-9</v>
      </c>
      <c r="D220">
        <v>0</v>
      </c>
      <c r="E220">
        <f>Tabl_B2_Melt_Shop!C411</f>
        <v>1.4E-3</v>
      </c>
      <c r="F220">
        <f t="shared" si="20"/>
        <v>1.4E-3</v>
      </c>
      <c r="G220" t="s">
        <v>408</v>
      </c>
      <c r="I220">
        <f>Tabl_B2_Melt_Shop!D411</f>
        <v>0.31261176470588231</v>
      </c>
      <c r="J220">
        <f>Tabl_B2_Melt_Shop!E411</f>
        <v>8.5647058823529415E-4</v>
      </c>
    </row>
    <row r="221" spans="1:10" x14ac:dyDescent="0.2">
      <c r="A221" t="str">
        <f t="shared" si="19"/>
        <v>EU-16ng_RMELT</v>
      </c>
      <c r="B221" t="str">
        <f>Tabl_B2_Melt_Shop!A412</f>
        <v>7440-48-4</v>
      </c>
      <c r="D221">
        <v>0</v>
      </c>
      <c r="E221">
        <f>Tabl_B2_Melt_Shop!C412</f>
        <v>8.3999999999999995E-5</v>
      </c>
      <c r="F221">
        <f t="shared" si="20"/>
        <v>8.3999999999999995E-5</v>
      </c>
      <c r="G221" t="s">
        <v>408</v>
      </c>
      <c r="I221">
        <f>Tabl_B2_Melt_Shop!D412</f>
        <v>1.8756705882352939E-2</v>
      </c>
      <c r="J221">
        <f>Tabl_B2_Melt_Shop!E412</f>
        <v>5.1388235294117649E-5</v>
      </c>
    </row>
    <row r="222" spans="1:10" x14ac:dyDescent="0.2">
      <c r="A222" t="str">
        <f t="shared" si="19"/>
        <v>EU-16ng_RMELT</v>
      </c>
      <c r="B222" t="str">
        <f>Tabl_B2_Melt_Shop!A413</f>
        <v>7440-50-8</v>
      </c>
      <c r="D222">
        <v>0</v>
      </c>
      <c r="E222">
        <f>Tabl_B2_Melt_Shop!C413</f>
        <v>8.4999999999999995E-4</v>
      </c>
      <c r="F222">
        <f t="shared" si="20"/>
        <v>8.4999999999999995E-4</v>
      </c>
      <c r="G222" t="s">
        <v>408</v>
      </c>
      <c r="I222">
        <f>Tabl_B2_Melt_Shop!D413</f>
        <v>0.18979999999999997</v>
      </c>
      <c r="J222">
        <f>Tabl_B2_Melt_Shop!E413</f>
        <v>5.2000000000000006E-4</v>
      </c>
    </row>
    <row r="223" spans="1:10" x14ac:dyDescent="0.2">
      <c r="A223" t="str">
        <f t="shared" si="19"/>
        <v>EU-16ng_RMELT</v>
      </c>
      <c r="B223" t="str">
        <f>Tabl_B2_Melt_Shop!A414</f>
        <v>100-41-4</v>
      </c>
      <c r="D223">
        <v>0</v>
      </c>
      <c r="E223">
        <f>Tabl_B2_Melt_Shop!C414</f>
        <v>9.4999999999999998E-3</v>
      </c>
      <c r="F223">
        <f t="shared" si="20"/>
        <v>9.4999999999999998E-3</v>
      </c>
      <c r="G223" t="s">
        <v>408</v>
      </c>
      <c r="I223">
        <f>Tabl_B2_Melt_Shop!D414</f>
        <v>2.1212941176470586</v>
      </c>
      <c r="J223">
        <f>Tabl_B2_Melt_Shop!E414</f>
        <v>5.8117647058823531E-3</v>
      </c>
    </row>
    <row r="224" spans="1:10" x14ac:dyDescent="0.2">
      <c r="A224" t="str">
        <f t="shared" si="19"/>
        <v>EU-16ng_RMELT</v>
      </c>
      <c r="B224" t="str">
        <f>Tabl_B2_Melt_Shop!A415</f>
        <v>110-54-3</v>
      </c>
      <c r="D224">
        <v>0</v>
      </c>
      <c r="E224">
        <f>Tabl_B2_Melt_Shop!C415</f>
        <v>6.3E-3</v>
      </c>
      <c r="F224">
        <f t="shared" si="20"/>
        <v>6.3E-3</v>
      </c>
      <c r="G224" t="s">
        <v>408</v>
      </c>
      <c r="I224">
        <f>Tabl_B2_Melt_Shop!D415</f>
        <v>1.4067529411764705</v>
      </c>
      <c r="J224">
        <f>Tabl_B2_Melt_Shop!E415</f>
        <v>3.8541176470588238E-3</v>
      </c>
    </row>
    <row r="225" spans="1:17" x14ac:dyDescent="0.2">
      <c r="A225" t="str">
        <f t="shared" si="19"/>
        <v>EU-16ng_RMELT</v>
      </c>
      <c r="B225" t="str">
        <f>Tabl_B2_Melt_Shop!A416</f>
        <v>7439-92-1</v>
      </c>
      <c r="D225">
        <v>0</v>
      </c>
      <c r="E225">
        <f>Tabl_B2_Melt_Shop!C416</f>
        <v>5.0000000000000001E-4</v>
      </c>
      <c r="F225">
        <f t="shared" si="20"/>
        <v>5.0000000000000001E-4</v>
      </c>
      <c r="G225" t="s">
        <v>408</v>
      </c>
      <c r="I225">
        <f>Tabl_B2_Melt_Shop!D416</f>
        <v>0.1116470588235294</v>
      </c>
      <c r="J225">
        <f>Tabl_B2_Melt_Shop!E416</f>
        <v>3.058823529411765E-4</v>
      </c>
    </row>
    <row r="226" spans="1:17" x14ac:dyDescent="0.2">
      <c r="A226" t="str">
        <f t="shared" si="19"/>
        <v>EU-16ng_RMELT</v>
      </c>
      <c r="B226" t="str">
        <f>Tabl_B2_Melt_Shop!A417</f>
        <v>7439-96-5</v>
      </c>
      <c r="D226">
        <v>0</v>
      </c>
      <c r="E226">
        <f>Tabl_B2_Melt_Shop!C417</f>
        <v>3.8000000000000002E-4</v>
      </c>
      <c r="F226">
        <f t="shared" si="20"/>
        <v>3.8000000000000002E-4</v>
      </c>
      <c r="G226" t="s">
        <v>408</v>
      </c>
      <c r="I226">
        <f>Tabl_B2_Melt_Shop!D417</f>
        <v>8.4851764705882349E-2</v>
      </c>
      <c r="J226">
        <f>Tabl_B2_Melt_Shop!E417</f>
        <v>2.3247058823529414E-4</v>
      </c>
    </row>
    <row r="227" spans="1:17" x14ac:dyDescent="0.2">
      <c r="A227" t="str">
        <f t="shared" si="19"/>
        <v>EU-16ng_RMELT</v>
      </c>
      <c r="B227" t="str">
        <f>Tabl_B2_Melt_Shop!A418</f>
        <v>7439-97-6</v>
      </c>
      <c r="D227">
        <v>0</v>
      </c>
      <c r="E227">
        <f>Tabl_B2_Melt_Shop!C418</f>
        <v>2.5999999999999998E-4</v>
      </c>
      <c r="F227">
        <f t="shared" si="20"/>
        <v>2.5999999999999998E-4</v>
      </c>
      <c r="G227" t="s">
        <v>408</v>
      </c>
      <c r="I227">
        <f>Tabl_B2_Melt_Shop!D418</f>
        <v>5.8056470588235286E-2</v>
      </c>
      <c r="J227">
        <f>Tabl_B2_Melt_Shop!E418</f>
        <v>1.5905882352941177E-4</v>
      </c>
    </row>
    <row r="228" spans="1:17" x14ac:dyDescent="0.2">
      <c r="A228" t="str">
        <f t="shared" si="19"/>
        <v>EU-16ng_RMELT</v>
      </c>
      <c r="B228" t="str">
        <f>Tabl_B2_Melt_Shop!A419</f>
        <v>1313-27-5</v>
      </c>
      <c r="D228">
        <v>0</v>
      </c>
      <c r="E228">
        <f>Tabl_B2_Melt_Shop!C419</f>
        <v>1.65E-3</v>
      </c>
      <c r="F228">
        <f t="shared" si="20"/>
        <v>1.65E-3</v>
      </c>
      <c r="G228" t="s">
        <v>408</v>
      </c>
      <c r="I228">
        <f>Tabl_B2_Melt_Shop!D419</f>
        <v>0.36843529411764703</v>
      </c>
      <c r="J228">
        <f>Tabl_B2_Melt_Shop!E419</f>
        <v>1.0094117647058824E-3</v>
      </c>
    </row>
    <row r="229" spans="1:17" x14ac:dyDescent="0.2">
      <c r="A229" t="str">
        <f t="shared" si="19"/>
        <v>EU-16ng_RMELT</v>
      </c>
      <c r="B229">
        <f>Tabl_B2_Melt_Shop!A420</f>
        <v>365</v>
      </c>
      <c r="D229">
        <v>0</v>
      </c>
      <c r="E229">
        <f>Tabl_B2_Melt_Shop!C420</f>
        <v>2.0999999999999999E-3</v>
      </c>
      <c r="F229">
        <f t="shared" si="20"/>
        <v>2.0999999999999999E-3</v>
      </c>
      <c r="G229" t="s">
        <v>408</v>
      </c>
      <c r="I229">
        <f>Tabl_B2_Melt_Shop!D420</f>
        <v>0.46891764705882349</v>
      </c>
      <c r="J229">
        <f>Tabl_B2_Melt_Shop!E420</f>
        <v>1.2847058823529413E-3</v>
      </c>
    </row>
    <row r="230" spans="1:17" x14ac:dyDescent="0.2">
      <c r="A230" t="str">
        <f t="shared" si="19"/>
        <v>EU-16ng_RMELT</v>
      </c>
      <c r="B230" t="str">
        <f>Tabl_B2_Melt_Shop!A421</f>
        <v>7782-49-2</v>
      </c>
      <c r="D230">
        <v>0</v>
      </c>
      <c r="E230">
        <f>Tabl_B2_Melt_Shop!C421</f>
        <v>2.4000000000000001E-5</v>
      </c>
      <c r="F230">
        <f t="shared" si="20"/>
        <v>2.4000000000000001E-5</v>
      </c>
      <c r="G230" t="s">
        <v>408</v>
      </c>
      <c r="I230">
        <f>Tabl_B2_Melt_Shop!D421</f>
        <v>5.3590588235294112E-3</v>
      </c>
      <c r="J230">
        <f>Tabl_B2_Melt_Shop!E421</f>
        <v>1.4682352941176472E-5</v>
      </c>
    </row>
    <row r="231" spans="1:17" x14ac:dyDescent="0.2">
      <c r="A231" t="str">
        <f t="shared" si="19"/>
        <v>EU-16ng_RMELT</v>
      </c>
      <c r="B231" t="str">
        <f>Tabl_B2_Melt_Shop!A422</f>
        <v>108-88-3</v>
      </c>
      <c r="D231">
        <v>0</v>
      </c>
      <c r="E231">
        <f>Tabl_B2_Melt_Shop!C422</f>
        <v>3.6600000000000001E-2</v>
      </c>
      <c r="F231">
        <f t="shared" si="20"/>
        <v>3.6600000000000001E-2</v>
      </c>
      <c r="G231" t="s">
        <v>408</v>
      </c>
      <c r="I231">
        <f>Tabl_B2_Melt_Shop!D422</f>
        <v>8.172564705882353</v>
      </c>
      <c r="J231">
        <f>Tabl_B2_Melt_Shop!E422</f>
        <v>2.239058823529412E-2</v>
      </c>
    </row>
    <row r="232" spans="1:17" x14ac:dyDescent="0.2">
      <c r="A232" t="str">
        <f t="shared" si="19"/>
        <v>EU-16ng_RMELT</v>
      </c>
      <c r="B232" t="str">
        <f>Tabl_B2_Melt_Shop!A423</f>
        <v>7440-62-2</v>
      </c>
      <c r="D232">
        <v>0</v>
      </c>
      <c r="E232">
        <f>Tabl_B2_Melt_Shop!C423</f>
        <v>2.3E-3</v>
      </c>
      <c r="F232">
        <f t="shared" si="20"/>
        <v>2.3E-3</v>
      </c>
      <c r="G232" t="s">
        <v>408</v>
      </c>
      <c r="I232">
        <f>Tabl_B2_Melt_Shop!D423</f>
        <v>0.5135764705882353</v>
      </c>
      <c r="J232">
        <f>Tabl_B2_Melt_Shop!E423</f>
        <v>1.4070588235294119E-3</v>
      </c>
    </row>
    <row r="233" spans="1:17" x14ac:dyDescent="0.2">
      <c r="A233" t="str">
        <f t="shared" si="19"/>
        <v>EU-16ng_RMELT</v>
      </c>
      <c r="B233" t="str">
        <f>Tabl_B2_Melt_Shop!A424</f>
        <v>1330-20-7</v>
      </c>
      <c r="D233">
        <v>0</v>
      </c>
      <c r="E233">
        <f>Tabl_B2_Melt_Shop!C424</f>
        <v>2.7199999999999998E-2</v>
      </c>
      <c r="F233">
        <f t="shared" si="20"/>
        <v>2.7199999999999998E-2</v>
      </c>
      <c r="G233" t="s">
        <v>408</v>
      </c>
      <c r="I233">
        <f>Tabl_B2_Melt_Shop!D424</f>
        <v>6.073599999999999</v>
      </c>
      <c r="J233">
        <f>Tabl_B2_Melt_Shop!E424</f>
        <v>1.6640000000000002E-2</v>
      </c>
    </row>
    <row r="234" spans="1:17" x14ac:dyDescent="0.2">
      <c r="A234" t="str">
        <f t="shared" si="19"/>
        <v>EU-16ng_RMELT</v>
      </c>
      <c r="B234" t="str">
        <f>Tabl_B2_Melt_Shop!A425</f>
        <v>7440-66-6</v>
      </c>
      <c r="D234">
        <v>0</v>
      </c>
      <c r="E234">
        <f>Tabl_B2_Melt_Shop!C425</f>
        <v>2.9000000000000001E-2</v>
      </c>
      <c r="F234">
        <f t="shared" si="20"/>
        <v>2.9000000000000001E-2</v>
      </c>
      <c r="G234" t="s">
        <v>408</v>
      </c>
      <c r="I234">
        <f>Tabl_B2_Melt_Shop!D425</f>
        <v>6.4755294117647058</v>
      </c>
      <c r="J234">
        <f>Tabl_B2_Melt_Shop!E425</f>
        <v>1.7741176470588236E-2</v>
      </c>
    </row>
    <row r="235" spans="1:17" x14ac:dyDescent="0.2">
      <c r="A235" t="str">
        <f>M$235</f>
        <v>EU-16ng_MELTFUG</v>
      </c>
      <c r="B235" t="str">
        <f>Tabl_B2_Melt_Shop!A438</f>
        <v>71-43-2</v>
      </c>
      <c r="D235">
        <v>0</v>
      </c>
      <c r="E235">
        <f>Tabl_B2_Melt_Shop!C438</f>
        <v>4.0000000000000002E-4</v>
      </c>
      <c r="F235">
        <f>E235</f>
        <v>4.0000000000000002E-4</v>
      </c>
      <c r="G235" t="s">
        <v>408</v>
      </c>
      <c r="I235">
        <f>Tabl_B2_Melt_Shop!D438</f>
        <v>8.9317647058823529E-2</v>
      </c>
      <c r="J235">
        <f>Tabl_B2_Melt_Shop!E438</f>
        <v>2.4470588235294121E-4</v>
      </c>
      <c r="M235" t="str">
        <f>Tabl_B2_Melt_Shop!D436</f>
        <v>EU-16ng_MELTFUG</v>
      </c>
      <c r="N235" t="s">
        <v>428</v>
      </c>
      <c r="O235" t="str">
        <f>O208</f>
        <v>None</v>
      </c>
      <c r="P235" t="str">
        <f>P208</f>
        <v>Fugitive</v>
      </c>
      <c r="Q235" t="s">
        <v>46</v>
      </c>
    </row>
    <row r="236" spans="1:17" x14ac:dyDescent="0.2">
      <c r="A236" t="str">
        <f t="shared" ref="A236:A261" si="21">M$235</f>
        <v>EU-16ng_MELTFUG</v>
      </c>
      <c r="B236" t="str">
        <f>Tabl_B2_Melt_Shop!A439</f>
        <v>50-00-0</v>
      </c>
      <c r="D236">
        <v>0</v>
      </c>
      <c r="E236">
        <f>Tabl_B2_Melt_Shop!C439</f>
        <v>8.5000000000000006E-4</v>
      </c>
      <c r="F236">
        <f t="shared" ref="F236:F261" si="22">E236</f>
        <v>8.5000000000000006E-4</v>
      </c>
      <c r="G236" t="s">
        <v>408</v>
      </c>
      <c r="I236">
        <f>Tabl_B2_Melt_Shop!D439</f>
        <v>0.1898</v>
      </c>
      <c r="J236">
        <f>Tabl_B2_Melt_Shop!E439</f>
        <v>5.2000000000000006E-4</v>
      </c>
    </row>
    <row r="237" spans="1:17" x14ac:dyDescent="0.2">
      <c r="A237" t="str">
        <f t="shared" si="21"/>
        <v>EU-16ng_MELTFUG</v>
      </c>
      <c r="B237">
        <f>Tabl_B2_Melt_Shop!A440</f>
        <v>401</v>
      </c>
      <c r="D237">
        <v>0</v>
      </c>
      <c r="E237">
        <f>Tabl_B2_Melt_Shop!C440</f>
        <v>5.0000000000000004E-6</v>
      </c>
      <c r="F237">
        <f t="shared" si="22"/>
        <v>5.0000000000000004E-6</v>
      </c>
      <c r="G237" t="s">
        <v>408</v>
      </c>
      <c r="I237">
        <f>Tabl_B2_Melt_Shop!D440</f>
        <v>1.1164705882352941E-3</v>
      </c>
      <c r="J237">
        <f>Tabl_B2_Melt_Shop!E440</f>
        <v>3.0588235294117651E-6</v>
      </c>
    </row>
    <row r="238" spans="1:17" x14ac:dyDescent="0.2">
      <c r="A238" t="str">
        <f t="shared" si="21"/>
        <v>EU-16ng_MELTFUG</v>
      </c>
      <c r="B238" t="str">
        <f>Tabl_B2_Melt_Shop!A441</f>
        <v>50-32-8</v>
      </c>
      <c r="D238">
        <v>0</v>
      </c>
      <c r="E238">
        <f>Tabl_B2_Melt_Shop!C441</f>
        <v>5.9999999999999995E-8</v>
      </c>
      <c r="F238">
        <f t="shared" si="22"/>
        <v>5.9999999999999995E-8</v>
      </c>
      <c r="G238" t="s">
        <v>408</v>
      </c>
      <c r="I238">
        <f>Tabl_B2_Melt_Shop!D441</f>
        <v>1.3397647058823528E-5</v>
      </c>
      <c r="J238">
        <f>Tabl_B2_Melt_Shop!E441</f>
        <v>3.6705882352941179E-8</v>
      </c>
    </row>
    <row r="239" spans="1:17" x14ac:dyDescent="0.2">
      <c r="A239" t="str">
        <f t="shared" si="21"/>
        <v>EU-16ng_MELTFUG</v>
      </c>
      <c r="B239" t="str">
        <f>Tabl_B2_Melt_Shop!A442</f>
        <v>91-20-3</v>
      </c>
      <c r="D239">
        <v>0</v>
      </c>
      <c r="E239">
        <f>Tabl_B2_Melt_Shop!C442</f>
        <v>1.4999999999999999E-5</v>
      </c>
      <c r="F239">
        <f t="shared" si="22"/>
        <v>1.4999999999999999E-5</v>
      </c>
      <c r="G239" t="s">
        <v>408</v>
      </c>
      <c r="I239">
        <f>Tabl_B2_Melt_Shop!D442</f>
        <v>3.349411764705882E-3</v>
      </c>
      <c r="J239">
        <f>Tabl_B2_Melt_Shop!E442</f>
        <v>9.1764705882352937E-6</v>
      </c>
    </row>
    <row r="240" spans="1:17" x14ac:dyDescent="0.2">
      <c r="A240" t="str">
        <f t="shared" si="21"/>
        <v>EU-16ng_MELTFUG</v>
      </c>
      <c r="B240" t="str">
        <f>Tabl_B2_Melt_Shop!A443</f>
        <v>75-07-0</v>
      </c>
      <c r="D240">
        <v>0</v>
      </c>
      <c r="E240">
        <f>Tabl_B2_Melt_Shop!C443</f>
        <v>2.1500000000000002E-4</v>
      </c>
      <c r="F240">
        <f t="shared" si="22"/>
        <v>2.1500000000000002E-4</v>
      </c>
      <c r="G240" t="s">
        <v>408</v>
      </c>
      <c r="I240">
        <f>Tabl_B2_Melt_Shop!D443</f>
        <v>4.800823529411765E-2</v>
      </c>
      <c r="J240">
        <f>Tabl_B2_Melt_Shop!E443</f>
        <v>1.315294117647059E-4</v>
      </c>
    </row>
    <row r="241" spans="1:10" x14ac:dyDescent="0.2">
      <c r="A241" t="str">
        <f t="shared" si="21"/>
        <v>EU-16ng_MELTFUG</v>
      </c>
      <c r="B241" t="str">
        <f>Tabl_B2_Melt_Shop!A444</f>
        <v>107-02-8</v>
      </c>
      <c r="D241">
        <v>0</v>
      </c>
      <c r="E241">
        <f>Tabl_B2_Melt_Shop!C444</f>
        <v>1.35E-4</v>
      </c>
      <c r="F241">
        <f t="shared" si="22"/>
        <v>1.35E-4</v>
      </c>
      <c r="G241" t="s">
        <v>408</v>
      </c>
      <c r="I241">
        <f>Tabl_B2_Melt_Shop!D444</f>
        <v>3.0144705882352942E-2</v>
      </c>
      <c r="J241">
        <f>Tabl_B2_Melt_Shop!E444</f>
        <v>8.2588235294117648E-5</v>
      </c>
    </row>
    <row r="242" spans="1:10" x14ac:dyDescent="0.2">
      <c r="A242" t="str">
        <f t="shared" si="21"/>
        <v>EU-16ng_MELTFUG</v>
      </c>
      <c r="B242" t="str">
        <f>Tabl_B2_Melt_Shop!A445</f>
        <v>7664-41-7</v>
      </c>
      <c r="D242">
        <v>0</v>
      </c>
      <c r="E242">
        <f>Tabl_B2_Melt_Shop!C445</f>
        <v>0.9</v>
      </c>
      <c r="F242">
        <f t="shared" si="22"/>
        <v>0.9</v>
      </c>
      <c r="G242" t="s">
        <v>408</v>
      </c>
      <c r="I242">
        <f>Tabl_B2_Melt_Shop!D445</f>
        <v>200.96470588235294</v>
      </c>
      <c r="J242">
        <f>Tabl_B2_Melt_Shop!E445</f>
        <v>0.55058823529411771</v>
      </c>
    </row>
    <row r="243" spans="1:10" x14ac:dyDescent="0.2">
      <c r="A243" t="str">
        <f t="shared" si="21"/>
        <v>EU-16ng_MELTFUG</v>
      </c>
      <c r="B243" t="str">
        <f>Tabl_B2_Melt_Shop!A446</f>
        <v>7440-38-2</v>
      </c>
      <c r="D243">
        <v>0</v>
      </c>
      <c r="E243">
        <f>Tabl_B2_Melt_Shop!C446</f>
        <v>1.0000000000000001E-5</v>
      </c>
      <c r="F243">
        <f t="shared" si="22"/>
        <v>1.0000000000000001E-5</v>
      </c>
      <c r="G243" t="s">
        <v>408</v>
      </c>
      <c r="I243">
        <f>Tabl_B2_Melt_Shop!D446</f>
        <v>2.2329411764705881E-3</v>
      </c>
      <c r="J243">
        <f>Tabl_B2_Melt_Shop!E446</f>
        <v>6.1176470588235302E-6</v>
      </c>
    </row>
    <row r="244" spans="1:10" x14ac:dyDescent="0.2">
      <c r="A244" t="str">
        <f t="shared" si="21"/>
        <v>EU-16ng_MELTFUG</v>
      </c>
      <c r="B244" t="str">
        <f>Tabl_B2_Melt_Shop!A447</f>
        <v>7440-39-3</v>
      </c>
      <c r="D244">
        <v>0</v>
      </c>
      <c r="E244">
        <f>Tabl_B2_Melt_Shop!C447</f>
        <v>2.2000000000000003E-4</v>
      </c>
      <c r="F244">
        <f t="shared" si="22"/>
        <v>2.2000000000000003E-4</v>
      </c>
      <c r="G244" t="s">
        <v>408</v>
      </c>
      <c r="I244">
        <f>Tabl_B2_Melt_Shop!D447</f>
        <v>4.9124705882352945E-2</v>
      </c>
      <c r="J244">
        <f>Tabl_B2_Melt_Shop!E447</f>
        <v>1.3458823529411768E-4</v>
      </c>
    </row>
    <row r="245" spans="1:10" x14ac:dyDescent="0.2">
      <c r="A245" t="str">
        <f t="shared" si="21"/>
        <v>EU-16ng_MELTFUG</v>
      </c>
      <c r="B245" t="str">
        <f>Tabl_B2_Melt_Shop!A448</f>
        <v>7440-41-7</v>
      </c>
      <c r="D245">
        <v>0</v>
      </c>
      <c r="E245">
        <f>Tabl_B2_Melt_Shop!C448</f>
        <v>6.0000000000000008E-7</v>
      </c>
      <c r="F245">
        <f t="shared" si="22"/>
        <v>6.0000000000000008E-7</v>
      </c>
      <c r="G245" t="s">
        <v>408</v>
      </c>
      <c r="I245">
        <f>Tabl_B2_Melt_Shop!D448</f>
        <v>1.339764705882353E-4</v>
      </c>
      <c r="J245">
        <f>Tabl_B2_Melt_Shop!E448</f>
        <v>3.6705882352941182E-7</v>
      </c>
    </row>
    <row r="246" spans="1:10" x14ac:dyDescent="0.2">
      <c r="A246" t="str">
        <f t="shared" si="21"/>
        <v>EU-16ng_MELTFUG</v>
      </c>
      <c r="B246" t="str">
        <f>Tabl_B2_Melt_Shop!A449</f>
        <v>7440-43-9</v>
      </c>
      <c r="D246">
        <v>0</v>
      </c>
      <c r="E246">
        <f>Tabl_B2_Melt_Shop!C449</f>
        <v>5.5000000000000009E-5</v>
      </c>
      <c r="F246">
        <f t="shared" si="22"/>
        <v>5.5000000000000009E-5</v>
      </c>
      <c r="G246" t="s">
        <v>408</v>
      </c>
      <c r="I246">
        <f>Tabl_B2_Melt_Shop!D449</f>
        <v>1.2281176470588236E-2</v>
      </c>
      <c r="J246">
        <f>Tabl_B2_Melt_Shop!E449</f>
        <v>3.364705882352942E-5</v>
      </c>
    </row>
    <row r="247" spans="1:10" x14ac:dyDescent="0.2">
      <c r="A247" t="str">
        <f t="shared" si="21"/>
        <v>EU-16ng_MELTFUG</v>
      </c>
      <c r="B247" t="str">
        <f>Tabl_B2_Melt_Shop!A450</f>
        <v>18540-29-9</v>
      </c>
      <c r="D247">
        <v>0</v>
      </c>
      <c r="E247">
        <f>Tabl_B2_Melt_Shop!C450</f>
        <v>7.0000000000000007E-5</v>
      </c>
      <c r="F247">
        <f t="shared" si="22"/>
        <v>7.0000000000000007E-5</v>
      </c>
      <c r="G247" t="s">
        <v>408</v>
      </c>
      <c r="I247">
        <f>Tabl_B2_Melt_Shop!D450</f>
        <v>1.5630588235294118E-2</v>
      </c>
      <c r="J247">
        <f>Tabl_B2_Melt_Shop!E450</f>
        <v>4.2823529411764712E-5</v>
      </c>
    </row>
    <row r="248" spans="1:10" x14ac:dyDescent="0.2">
      <c r="A248" t="str">
        <f t="shared" si="21"/>
        <v>EU-16ng_MELTFUG</v>
      </c>
      <c r="B248" t="str">
        <f>Tabl_B2_Melt_Shop!A451</f>
        <v>7440-48-4</v>
      </c>
      <c r="D248">
        <v>0</v>
      </c>
      <c r="E248">
        <f>Tabl_B2_Melt_Shop!C451</f>
        <v>4.1999999999999996E-6</v>
      </c>
      <c r="F248">
        <f t="shared" si="22"/>
        <v>4.1999999999999996E-6</v>
      </c>
      <c r="G248" t="s">
        <v>408</v>
      </c>
      <c r="I248">
        <f>Tabl_B2_Melt_Shop!D451</f>
        <v>9.3783529411764694E-4</v>
      </c>
      <c r="J248">
        <f>Tabl_B2_Melt_Shop!E451</f>
        <v>2.5694117647058823E-6</v>
      </c>
    </row>
    <row r="249" spans="1:10" x14ac:dyDescent="0.2">
      <c r="A249" t="str">
        <f t="shared" si="21"/>
        <v>EU-16ng_MELTFUG</v>
      </c>
      <c r="B249" t="str">
        <f>Tabl_B2_Melt_Shop!A452</f>
        <v>7440-50-8</v>
      </c>
      <c r="D249">
        <v>0</v>
      </c>
      <c r="E249">
        <f>Tabl_B2_Melt_Shop!C452</f>
        <v>4.2500000000000003E-5</v>
      </c>
      <c r="F249">
        <f t="shared" si="22"/>
        <v>4.2500000000000003E-5</v>
      </c>
      <c r="G249" t="s">
        <v>408</v>
      </c>
      <c r="I249">
        <f>Tabl_B2_Melt_Shop!D452</f>
        <v>9.4900000000000002E-3</v>
      </c>
      <c r="J249">
        <f>Tabl_B2_Melt_Shop!E452</f>
        <v>2.6000000000000005E-5</v>
      </c>
    </row>
    <row r="250" spans="1:10" x14ac:dyDescent="0.2">
      <c r="A250" t="str">
        <f t="shared" si="21"/>
        <v>EU-16ng_MELTFUG</v>
      </c>
      <c r="B250" t="str">
        <f>Tabl_B2_Melt_Shop!A453</f>
        <v>100-41-4</v>
      </c>
      <c r="D250">
        <v>0</v>
      </c>
      <c r="E250">
        <f>Tabl_B2_Melt_Shop!C453</f>
        <v>4.75E-4</v>
      </c>
      <c r="F250">
        <f t="shared" si="22"/>
        <v>4.75E-4</v>
      </c>
      <c r="G250" t="s">
        <v>408</v>
      </c>
      <c r="I250">
        <f>Tabl_B2_Melt_Shop!D453</f>
        <v>0.10606470588235294</v>
      </c>
      <c r="J250">
        <f>Tabl_B2_Melt_Shop!E453</f>
        <v>2.9058823529411768E-4</v>
      </c>
    </row>
    <row r="251" spans="1:10" x14ac:dyDescent="0.2">
      <c r="A251" t="str">
        <f t="shared" si="21"/>
        <v>EU-16ng_MELTFUG</v>
      </c>
      <c r="B251" t="str">
        <f>Tabl_B2_Melt_Shop!A454</f>
        <v>110-54-3</v>
      </c>
      <c r="D251">
        <v>0</v>
      </c>
      <c r="E251">
        <f>Tabl_B2_Melt_Shop!C454</f>
        <v>3.1500000000000001E-4</v>
      </c>
      <c r="F251">
        <f t="shared" si="22"/>
        <v>3.1500000000000001E-4</v>
      </c>
      <c r="G251" t="s">
        <v>408</v>
      </c>
      <c r="I251">
        <f>Tabl_B2_Melt_Shop!D454</f>
        <v>7.0337647058823533E-2</v>
      </c>
      <c r="J251">
        <f>Tabl_B2_Melt_Shop!E454</f>
        <v>1.9270588235294119E-4</v>
      </c>
    </row>
    <row r="252" spans="1:10" x14ac:dyDescent="0.2">
      <c r="A252" t="str">
        <f t="shared" si="21"/>
        <v>EU-16ng_MELTFUG</v>
      </c>
      <c r="B252" t="str">
        <f>Tabl_B2_Melt_Shop!A455</f>
        <v>7439-92-1</v>
      </c>
      <c r="D252">
        <v>0</v>
      </c>
      <c r="E252">
        <f>Tabl_B2_Melt_Shop!C455</f>
        <v>2.5000000000000001E-5</v>
      </c>
      <c r="F252">
        <f t="shared" si="22"/>
        <v>2.5000000000000001E-5</v>
      </c>
      <c r="G252" t="s">
        <v>408</v>
      </c>
      <c r="I252">
        <f>Tabl_B2_Melt_Shop!D455</f>
        <v>5.5823529411764706E-3</v>
      </c>
      <c r="J252">
        <f>Tabl_B2_Melt_Shop!E455</f>
        <v>1.5294117647058826E-5</v>
      </c>
    </row>
    <row r="253" spans="1:10" x14ac:dyDescent="0.2">
      <c r="A253" t="str">
        <f t="shared" si="21"/>
        <v>EU-16ng_MELTFUG</v>
      </c>
      <c r="B253" t="str">
        <f>Tabl_B2_Melt_Shop!A456</f>
        <v>7439-96-5</v>
      </c>
      <c r="D253">
        <v>0</v>
      </c>
      <c r="E253">
        <f>Tabl_B2_Melt_Shop!C456</f>
        <v>1.9000000000000001E-5</v>
      </c>
      <c r="F253">
        <f t="shared" si="22"/>
        <v>1.9000000000000001E-5</v>
      </c>
      <c r="G253" t="s">
        <v>408</v>
      </c>
      <c r="I253">
        <f>Tabl_B2_Melt_Shop!D456</f>
        <v>4.2425882352941178E-3</v>
      </c>
      <c r="J253">
        <f>Tabl_B2_Melt_Shop!E456</f>
        <v>1.1623529411764707E-5</v>
      </c>
    </row>
    <row r="254" spans="1:10" x14ac:dyDescent="0.2">
      <c r="A254" t="str">
        <f t="shared" si="21"/>
        <v>EU-16ng_MELTFUG</v>
      </c>
      <c r="B254" t="str">
        <f>Tabl_B2_Melt_Shop!A457</f>
        <v>7439-97-6</v>
      </c>
      <c r="D254">
        <v>0</v>
      </c>
      <c r="E254">
        <f>Tabl_B2_Melt_Shop!C457</f>
        <v>1.2999999999999999E-5</v>
      </c>
      <c r="F254">
        <f t="shared" si="22"/>
        <v>1.2999999999999999E-5</v>
      </c>
      <c r="G254" t="s">
        <v>408</v>
      </c>
      <c r="I254">
        <f>Tabl_B2_Melt_Shop!D457</f>
        <v>2.9028235294117645E-3</v>
      </c>
      <c r="J254">
        <f>Tabl_B2_Melt_Shop!E457</f>
        <v>7.9529411764705886E-6</v>
      </c>
    </row>
    <row r="255" spans="1:10" x14ac:dyDescent="0.2">
      <c r="A255" t="str">
        <f t="shared" si="21"/>
        <v>EU-16ng_MELTFUG</v>
      </c>
      <c r="B255" t="str">
        <f>Tabl_B2_Melt_Shop!A458</f>
        <v>1313-27-5</v>
      </c>
      <c r="D255">
        <v>0</v>
      </c>
      <c r="E255">
        <f>Tabl_B2_Melt_Shop!C458</f>
        <v>8.25E-5</v>
      </c>
      <c r="F255">
        <f t="shared" si="22"/>
        <v>8.25E-5</v>
      </c>
      <c r="G255" t="s">
        <v>408</v>
      </c>
      <c r="I255">
        <f>Tabl_B2_Melt_Shop!D458</f>
        <v>1.8421764705882353E-2</v>
      </c>
      <c r="J255">
        <f>Tabl_B2_Melt_Shop!E458</f>
        <v>5.0470588235294123E-5</v>
      </c>
    </row>
    <row r="256" spans="1:10" x14ac:dyDescent="0.2">
      <c r="A256" t="str">
        <f t="shared" si="21"/>
        <v>EU-16ng_MELTFUG</v>
      </c>
      <c r="B256">
        <f>Tabl_B2_Melt_Shop!A459</f>
        <v>365</v>
      </c>
      <c r="D256">
        <v>0</v>
      </c>
      <c r="E256">
        <f>Tabl_B2_Melt_Shop!C459</f>
        <v>1.05E-4</v>
      </c>
      <c r="F256">
        <f t="shared" si="22"/>
        <v>1.05E-4</v>
      </c>
      <c r="G256" t="s">
        <v>408</v>
      </c>
      <c r="I256">
        <f>Tabl_B2_Melt_Shop!D459</f>
        <v>2.3445882352941178E-2</v>
      </c>
      <c r="J256">
        <f>Tabl_B2_Melt_Shop!E459</f>
        <v>6.4235294117647064E-5</v>
      </c>
    </row>
    <row r="257" spans="1:24" x14ac:dyDescent="0.2">
      <c r="A257" t="str">
        <f t="shared" si="21"/>
        <v>EU-16ng_MELTFUG</v>
      </c>
      <c r="B257" t="str">
        <f>Tabl_B2_Melt_Shop!A460</f>
        <v>7782-49-2</v>
      </c>
      <c r="D257">
        <v>0</v>
      </c>
      <c r="E257">
        <f>Tabl_B2_Melt_Shop!C460</f>
        <v>1.2000000000000002E-6</v>
      </c>
      <c r="F257">
        <f t="shared" si="22"/>
        <v>1.2000000000000002E-6</v>
      </c>
      <c r="G257" t="s">
        <v>408</v>
      </c>
      <c r="I257">
        <f>Tabl_B2_Melt_Shop!D460</f>
        <v>2.6795294117647059E-4</v>
      </c>
      <c r="J257">
        <f>Tabl_B2_Melt_Shop!E460</f>
        <v>7.3411764705882363E-7</v>
      </c>
    </row>
    <row r="258" spans="1:24" x14ac:dyDescent="0.2">
      <c r="A258" t="str">
        <f t="shared" si="21"/>
        <v>EU-16ng_MELTFUG</v>
      </c>
      <c r="B258" t="str">
        <f>Tabl_B2_Melt_Shop!A461</f>
        <v>108-88-3</v>
      </c>
      <c r="D258">
        <v>0</v>
      </c>
      <c r="E258">
        <f>Tabl_B2_Melt_Shop!C461</f>
        <v>1.83E-3</v>
      </c>
      <c r="F258">
        <f t="shared" si="22"/>
        <v>1.83E-3</v>
      </c>
      <c r="G258" t="s">
        <v>408</v>
      </c>
      <c r="I258">
        <f>Tabl_B2_Melt_Shop!D461</f>
        <v>0.40862823529411763</v>
      </c>
      <c r="J258">
        <f>Tabl_B2_Melt_Shop!E461</f>
        <v>1.1195294117647061E-3</v>
      </c>
    </row>
    <row r="259" spans="1:24" x14ac:dyDescent="0.2">
      <c r="A259" t="str">
        <f t="shared" si="21"/>
        <v>EU-16ng_MELTFUG</v>
      </c>
      <c r="B259" t="str">
        <f>Tabl_B2_Melt_Shop!A462</f>
        <v>7440-62-2</v>
      </c>
      <c r="D259">
        <v>0</v>
      </c>
      <c r="E259">
        <f>Tabl_B2_Melt_Shop!C462</f>
        <v>1.15E-4</v>
      </c>
      <c r="F259">
        <f t="shared" si="22"/>
        <v>1.15E-4</v>
      </c>
      <c r="G259" t="s">
        <v>408</v>
      </c>
      <c r="I259">
        <f>Tabl_B2_Melt_Shop!D462</f>
        <v>2.5678823529411764E-2</v>
      </c>
      <c r="J259">
        <f>Tabl_B2_Melt_Shop!E462</f>
        <v>7.0352941176470601E-5</v>
      </c>
    </row>
    <row r="260" spans="1:24" x14ac:dyDescent="0.2">
      <c r="A260" t="str">
        <f t="shared" si="21"/>
        <v>EU-16ng_MELTFUG</v>
      </c>
      <c r="B260" t="str">
        <f>Tabl_B2_Melt_Shop!A463</f>
        <v>1330-20-7</v>
      </c>
      <c r="D260">
        <v>0</v>
      </c>
      <c r="E260">
        <f>Tabl_B2_Melt_Shop!C463</f>
        <v>1.3600000000000001E-3</v>
      </c>
      <c r="F260">
        <f t="shared" si="22"/>
        <v>1.3600000000000001E-3</v>
      </c>
      <c r="G260" t="s">
        <v>408</v>
      </c>
      <c r="I260">
        <f>Tabl_B2_Melt_Shop!D463</f>
        <v>0.30368000000000001</v>
      </c>
      <c r="J260">
        <f>Tabl_B2_Melt_Shop!E463</f>
        <v>8.3200000000000017E-4</v>
      </c>
    </row>
    <row r="261" spans="1:24" x14ac:dyDescent="0.2">
      <c r="A261" t="str">
        <f t="shared" si="21"/>
        <v>EU-16ng_MELTFUG</v>
      </c>
      <c r="B261" t="str">
        <f>Tabl_B2_Melt_Shop!A464</f>
        <v>7440-66-6</v>
      </c>
      <c r="D261">
        <v>0</v>
      </c>
      <c r="E261">
        <f>Tabl_B2_Melt_Shop!C464</f>
        <v>1.4500000000000001E-3</v>
      </c>
      <c r="F261">
        <f t="shared" si="22"/>
        <v>1.4500000000000001E-3</v>
      </c>
      <c r="G261" t="s">
        <v>408</v>
      </c>
      <c r="I261">
        <f>Tabl_B2_Melt_Shop!D464</f>
        <v>0.32377647058823528</v>
      </c>
      <c r="J261">
        <f>Tabl_B2_Melt_Shop!E464</f>
        <v>8.870588235294119E-4</v>
      </c>
    </row>
    <row r="262" spans="1:24" x14ac:dyDescent="0.2">
      <c r="A262">
        <f>M$262</f>
        <v>0</v>
      </c>
      <c r="B262" s="13" t="str">
        <f>Tabl_B3_Billet_Cut_Casting!A42</f>
        <v>7429-90-5</v>
      </c>
      <c r="C262" s="13"/>
      <c r="D262">
        <f>0.95*0.95</f>
        <v>0.90249999999999997</v>
      </c>
      <c r="E262" s="13">
        <f>Tabl_B3_Billet_Cut_Casting!C42</f>
        <v>9.0115021305090884E-5</v>
      </c>
      <c r="F262" s="13">
        <f>Tabl_B3_Billet_Cut_Casting!D42</f>
        <v>9.0115021305090884E-5</v>
      </c>
      <c r="G262" t="s">
        <v>409</v>
      </c>
      <c r="I262" s="13">
        <f>Tabl_B3_Billet_Cut_Casting!E42</f>
        <v>25.953126135866174</v>
      </c>
      <c r="J262" s="13">
        <f>Tabl_B3_Billet_Cut_Casting!F42</f>
        <v>0.13337023153153452</v>
      </c>
      <c r="M262">
        <f>Tabl_B3_Billet_Cut_Casting!E40</f>
        <v>0</v>
      </c>
      <c r="N262" t="s">
        <v>429</v>
      </c>
      <c r="O262" t="s">
        <v>414</v>
      </c>
      <c r="P262" t="s">
        <v>410</v>
      </c>
      <c r="Q262" t="s">
        <v>48</v>
      </c>
      <c r="R262" s="169" t="s">
        <v>446</v>
      </c>
      <c r="S262" s="170" t="s">
        <v>456</v>
      </c>
      <c r="T262" s="171">
        <v>177807</v>
      </c>
      <c r="U262" s="172">
        <v>379200</v>
      </c>
      <c r="V262" s="173"/>
      <c r="W262" s="171">
        <v>1400</v>
      </c>
      <c r="X262" s="172">
        <v>1480</v>
      </c>
    </row>
    <row r="263" spans="1:24" x14ac:dyDescent="0.2">
      <c r="A263">
        <f t="shared" ref="A263:A276" si="23">M$262</f>
        <v>0</v>
      </c>
      <c r="B263" s="13" t="str">
        <f>Tabl_B3_Billet_Cut_Casting!A43</f>
        <v>7440-36-0</v>
      </c>
      <c r="C263" s="13"/>
      <c r="D263">
        <f t="shared" ref="D263:D276" si="24">0.95*0.95</f>
        <v>0.90249999999999997</v>
      </c>
      <c r="E263" s="13">
        <f>Tabl_B3_Billet_Cut_Casting!C43</f>
        <v>5.1940762782501802E-6</v>
      </c>
      <c r="F263" s="13">
        <f>Tabl_B3_Billet_Cut_Casting!D43</f>
        <v>5.1940762782501802E-6</v>
      </c>
      <c r="G263" t="s">
        <v>409</v>
      </c>
      <c r="I263" s="13">
        <f>Tabl_B3_Billet_Cut_Casting!E43</f>
        <v>1.4958939681360519</v>
      </c>
      <c r="J263" s="13">
        <f>Tabl_B3_Billet_Cut_Casting!F43</f>
        <v>7.6872328918102667E-3</v>
      </c>
    </row>
    <row r="264" spans="1:24" x14ac:dyDescent="0.2">
      <c r="A264">
        <f t="shared" si="23"/>
        <v>0</v>
      </c>
      <c r="B264" s="13" t="str">
        <f>Tabl_B3_Billet_Cut_Casting!A44</f>
        <v>7440-38-2</v>
      </c>
      <c r="C264" s="13"/>
      <c r="D264">
        <f t="shared" si="24"/>
        <v>0.90249999999999997</v>
      </c>
      <c r="E264" s="13">
        <f>Tabl_B3_Billet_Cut_Casting!C44</f>
        <v>1.5314273512706227E-5</v>
      </c>
      <c r="F264" s="13">
        <f>Tabl_B3_Billet_Cut_Casting!D44</f>
        <v>1.5314273512706227E-5</v>
      </c>
      <c r="G264" t="s">
        <v>409</v>
      </c>
      <c r="I264" s="13">
        <f>Tabl_B3_Billet_Cut_Casting!E44</f>
        <v>4.4105107716593936</v>
      </c>
      <c r="J264" s="13">
        <f>Tabl_B3_Billet_Cut_Casting!F44</f>
        <v>2.2665124798805215E-2</v>
      </c>
    </row>
    <row r="265" spans="1:24" x14ac:dyDescent="0.2">
      <c r="A265">
        <f t="shared" si="23"/>
        <v>0</v>
      </c>
      <c r="B265" s="13" t="str">
        <f>Tabl_B3_Billet_Cut_Casting!A45</f>
        <v>7440-41-7</v>
      </c>
      <c r="C265" s="13"/>
      <c r="D265">
        <f t="shared" si="24"/>
        <v>0.90249999999999997</v>
      </c>
      <c r="E265" s="13">
        <f>Tabl_B3_Billet_Cut_Casting!C45</f>
        <v>0</v>
      </c>
      <c r="F265" s="13">
        <f>Tabl_B3_Billet_Cut_Casting!D45</f>
        <v>0</v>
      </c>
      <c r="G265" t="s">
        <v>409</v>
      </c>
      <c r="I265" s="13">
        <f>Tabl_B3_Billet_Cut_Casting!E45</f>
        <v>0</v>
      </c>
      <c r="J265" s="13">
        <f>Tabl_B3_Billet_Cut_Casting!F45</f>
        <v>0</v>
      </c>
    </row>
    <row r="266" spans="1:24" x14ac:dyDescent="0.2">
      <c r="A266">
        <f t="shared" si="23"/>
        <v>0</v>
      </c>
      <c r="B266" s="13" t="str">
        <f>Tabl_B3_Billet_Cut_Casting!A46</f>
        <v>18540-29-9</v>
      </c>
      <c r="C266" s="13"/>
      <c r="D266">
        <f t="shared" si="24"/>
        <v>0.90249999999999997</v>
      </c>
      <c r="E266" s="13">
        <f>Tabl_B3_Billet_Cut_Casting!C46</f>
        <v>4.2576160623084786E-5</v>
      </c>
      <c r="F266" s="13">
        <f>Tabl_B3_Billet_Cut_Casting!D46</f>
        <v>2.0642986968768379E-3</v>
      </c>
      <c r="G266" t="s">
        <v>409</v>
      </c>
      <c r="I266" s="13">
        <f>Tabl_B3_Billet_Cut_Casting!E46</f>
        <v>12.261934259448418</v>
      </c>
      <c r="J266" s="13">
        <f>Tabl_B3_Billet_Cut_Casting!F46</f>
        <v>3.0551620713777203</v>
      </c>
    </row>
    <row r="267" spans="1:24" x14ac:dyDescent="0.2">
      <c r="A267">
        <f t="shared" si="23"/>
        <v>0</v>
      </c>
      <c r="B267" s="13" t="str">
        <f>Tabl_B3_Billet_Cut_Casting!A47</f>
        <v>7440-48-4</v>
      </c>
      <c r="C267" s="13"/>
      <c r="D267">
        <f t="shared" si="24"/>
        <v>0.90249999999999997</v>
      </c>
      <c r="E267" s="13">
        <f>Tabl_B3_Billet_Cut_Casting!C47</f>
        <v>7.3514260302389135E-6</v>
      </c>
      <c r="F267" s="13">
        <f>Tabl_B3_Billet_Cut_Casting!D47</f>
        <v>7.3514260302389135E-6</v>
      </c>
      <c r="G267" t="s">
        <v>409</v>
      </c>
      <c r="I267" s="13">
        <f>Tabl_B3_Billet_Cut_Casting!E47</f>
        <v>2.1172106967088071</v>
      </c>
      <c r="J267" s="13">
        <f>Tabl_B3_Billet_Cut_Casting!F47</f>
        <v>1.0880110524753591E-2</v>
      </c>
    </row>
    <row r="268" spans="1:24" x14ac:dyDescent="0.2">
      <c r="A268">
        <f t="shared" si="23"/>
        <v>0</v>
      </c>
      <c r="B268" s="13" t="str">
        <f>Tabl_B3_Billet_Cut_Casting!A48</f>
        <v>7440-50-8</v>
      </c>
      <c r="C268" s="13"/>
      <c r="D268">
        <f t="shared" si="24"/>
        <v>0.90249999999999997</v>
      </c>
      <c r="E268" s="13">
        <f>Tabl_B3_Billet_Cut_Casting!C48</f>
        <v>4.8196960480493504E-4</v>
      </c>
      <c r="F268" s="13">
        <f>Tabl_B3_Billet_Cut_Casting!D48</f>
        <v>4.8196960480493504E-4</v>
      </c>
      <c r="G268" t="s">
        <v>409</v>
      </c>
      <c r="I268" s="13">
        <f>Tabl_B3_Billet_Cut_Casting!E48</f>
        <v>138.80724618382129</v>
      </c>
      <c r="J268" s="13">
        <f>Tabl_B3_Billet_Cut_Casting!F48</f>
        <v>0.71331501511130391</v>
      </c>
    </row>
    <row r="269" spans="1:24" x14ac:dyDescent="0.2">
      <c r="A269">
        <f t="shared" si="23"/>
        <v>0</v>
      </c>
      <c r="B269" s="13" t="str">
        <f>Tabl_B3_Billet_Cut_Casting!A49</f>
        <v>7439-92-1</v>
      </c>
      <c r="C269" s="13"/>
      <c r="D269">
        <f t="shared" si="24"/>
        <v>0.90249999999999997</v>
      </c>
      <c r="E269" s="13">
        <f>Tabl_B3_Billet_Cut_Casting!C49</f>
        <v>1.7518974565717735E-5</v>
      </c>
      <c r="F269" s="13">
        <f>Tabl_B3_Billet_Cut_Casting!D49</f>
        <v>1.7518974565717735E-5</v>
      </c>
      <c r="G269" t="s">
        <v>409</v>
      </c>
      <c r="I269" s="13">
        <f>Tabl_B3_Billet_Cut_Casting!E49</f>
        <v>5.0454646749267074</v>
      </c>
      <c r="J269" s="13">
        <f>Tabl_B3_Billet_Cut_Casting!F49</f>
        <v>2.5928082357262249E-2</v>
      </c>
    </row>
    <row r="270" spans="1:24" x14ac:dyDescent="0.2">
      <c r="A270">
        <f t="shared" si="23"/>
        <v>0</v>
      </c>
      <c r="B270" s="13" t="str">
        <f>Tabl_B3_Billet_Cut_Casting!A50</f>
        <v>7439-96-5</v>
      </c>
      <c r="C270" s="13"/>
      <c r="D270">
        <f t="shared" si="24"/>
        <v>0.90249999999999997</v>
      </c>
      <c r="E270" s="13">
        <f>Tabl_B3_Billet_Cut_Casting!C50</f>
        <v>3.2228368382128598E-4</v>
      </c>
      <c r="F270" s="13">
        <f>Tabl_B3_Billet_Cut_Casting!D50</f>
        <v>3.2228368382128598E-4</v>
      </c>
      <c r="G270" t="s">
        <v>409</v>
      </c>
      <c r="I270" s="13">
        <f>Tabl_B3_Billet_Cut_Casting!E50</f>
        <v>92.817700940530358</v>
      </c>
      <c r="J270" s="13">
        <f>Tabl_B3_Billet_Cut_Casting!F50</f>
        <v>0.47697985205550325</v>
      </c>
    </row>
    <row r="271" spans="1:24" x14ac:dyDescent="0.2">
      <c r="A271">
        <f t="shared" si="23"/>
        <v>0</v>
      </c>
      <c r="B271" s="13">
        <f>Tabl_B3_Billet_Cut_Casting!A51</f>
        <v>365</v>
      </c>
      <c r="C271" s="13"/>
      <c r="D271">
        <f t="shared" si="24"/>
        <v>0.90249999999999997</v>
      </c>
      <c r="E271" s="13">
        <f>Tabl_B3_Billet_Cut_Casting!C51</f>
        <v>7.4234519369005615E-5</v>
      </c>
      <c r="F271" s="13">
        <f>Tabl_B3_Billet_Cut_Casting!D51</f>
        <v>7.4234519369005615E-5</v>
      </c>
      <c r="G271" t="s">
        <v>409</v>
      </c>
      <c r="I271" s="13">
        <f>Tabl_B3_Billet_Cut_Casting!E51</f>
        <v>21.379541578273617</v>
      </c>
      <c r="J271" s="13">
        <f>Tabl_B3_Billet_Cut_Casting!F51</f>
        <v>0.10986708866612831</v>
      </c>
    </row>
    <row r="272" spans="1:24" x14ac:dyDescent="0.2">
      <c r="A272">
        <f t="shared" si="23"/>
        <v>0</v>
      </c>
      <c r="B272" s="13">
        <f>Tabl_B3_Billet_Cut_Casting!A52</f>
        <v>504</v>
      </c>
      <c r="C272" s="13"/>
      <c r="D272">
        <f t="shared" si="24"/>
        <v>0.90249999999999997</v>
      </c>
      <c r="E272" s="13">
        <f>Tabl_B3_Billet_Cut_Casting!C52</f>
        <v>2.5984534808909175E-5</v>
      </c>
      <c r="F272" s="13">
        <f>Tabl_B3_Billet_Cut_Casting!D52</f>
        <v>2.5984534808909175E-5</v>
      </c>
      <c r="G272" t="s">
        <v>409</v>
      </c>
      <c r="I272" s="13">
        <f>Tabl_B3_Billet_Cut_Casting!E52</f>
        <v>7.4835460249658423</v>
      </c>
      <c r="J272" s="13">
        <f>Tabl_B3_Billet_Cut_Casting!F52</f>
        <v>3.8457111517185581E-2</v>
      </c>
    </row>
    <row r="273" spans="1:24" x14ac:dyDescent="0.2">
      <c r="A273">
        <f t="shared" si="23"/>
        <v>0</v>
      </c>
      <c r="B273" s="13" t="str">
        <f>Tabl_B3_Billet_Cut_Casting!A53</f>
        <v>7782-49-2</v>
      </c>
      <c r="C273" s="13"/>
      <c r="D273">
        <f t="shared" si="24"/>
        <v>0.90249999999999997</v>
      </c>
      <c r="E273" s="13">
        <f>Tabl_B3_Billet_Cut_Casting!C53</f>
        <v>0</v>
      </c>
      <c r="F273" s="13">
        <f>Tabl_B3_Billet_Cut_Casting!D53</f>
        <v>0</v>
      </c>
      <c r="G273" t="s">
        <v>409</v>
      </c>
      <c r="I273" s="13">
        <f>Tabl_B3_Billet_Cut_Casting!E53</f>
        <v>0</v>
      </c>
      <c r="J273" s="13">
        <f>Tabl_B3_Billet_Cut_Casting!F53</f>
        <v>0</v>
      </c>
    </row>
    <row r="274" spans="1:24" x14ac:dyDescent="0.2">
      <c r="A274">
        <f t="shared" si="23"/>
        <v>0</v>
      </c>
      <c r="B274" s="13" t="str">
        <f>Tabl_B3_Billet_Cut_Casting!A54</f>
        <v>7440-66-6</v>
      </c>
      <c r="C274" s="13"/>
      <c r="D274">
        <f t="shared" si="24"/>
        <v>0.90249999999999997</v>
      </c>
      <c r="E274" s="13">
        <f>Tabl_B3_Billet_Cut_Casting!C54</f>
        <v>8.4663015312913168E-5</v>
      </c>
      <c r="F274" s="13">
        <f>Tabl_B3_Billet_Cut_Casting!D54</f>
        <v>8.4663015312913168E-5</v>
      </c>
      <c r="G274" t="s">
        <v>409</v>
      </c>
      <c r="I274" s="13">
        <f>Tabl_B3_Billet_Cut_Casting!E54</f>
        <v>24.382948410118992</v>
      </c>
      <c r="J274" s="13">
        <f>Tabl_B3_Billet_Cut_Casting!F54</f>
        <v>0.12530126266311148</v>
      </c>
    </row>
    <row r="275" spans="1:24" x14ac:dyDescent="0.2">
      <c r="A275">
        <f t="shared" si="23"/>
        <v>0</v>
      </c>
      <c r="B275" s="13" t="str">
        <f>Tabl_B3_Billet_Cut_Casting!A55</f>
        <v>7440-43-9</v>
      </c>
      <c r="C275" s="13"/>
      <c r="D275">
        <f t="shared" si="24"/>
        <v>0.90249999999999997</v>
      </c>
      <c r="E275" s="13">
        <f>Tabl_B3_Billet_Cut_Casting!C55</f>
        <v>0</v>
      </c>
      <c r="F275" s="13">
        <f>Tabl_B3_Billet_Cut_Casting!D55</f>
        <v>0</v>
      </c>
      <c r="G275" t="s">
        <v>409</v>
      </c>
      <c r="I275" s="13">
        <f>Tabl_B3_Billet_Cut_Casting!E55</f>
        <v>0</v>
      </c>
      <c r="J275" s="13">
        <f>Tabl_B3_Billet_Cut_Casting!F55</f>
        <v>0</v>
      </c>
    </row>
    <row r="276" spans="1:24" x14ac:dyDescent="0.2">
      <c r="A276">
        <f t="shared" si="23"/>
        <v>0</v>
      </c>
      <c r="B276" s="13" t="str">
        <f>Tabl_B3_Billet_Cut_Casting!A56</f>
        <v>7440-62-2</v>
      </c>
      <c r="C276" s="13"/>
      <c r="D276">
        <f t="shared" si="24"/>
        <v>0.90249999999999997</v>
      </c>
      <c r="E276" s="13">
        <f>Tabl_B3_Billet_Cut_Casting!C56</f>
        <v>5.7543489271521909E-6</v>
      </c>
      <c r="F276" s="13">
        <f>Tabl_B3_Billet_Cut_Casting!D56</f>
        <v>5.7543489271521909E-6</v>
      </c>
      <c r="G276" t="s">
        <v>409</v>
      </c>
      <c r="I276" s="13">
        <f>Tabl_B3_Billet_Cut_Casting!E56</f>
        <v>1.657252491019831</v>
      </c>
      <c r="J276" s="13">
        <f>Tabl_B3_Billet_Cut_Casting!F56</f>
        <v>8.516436412185243E-3</v>
      </c>
    </row>
    <row r="277" spans="1:24" x14ac:dyDescent="0.2">
      <c r="A277" t="e">
        <f>M$277</f>
        <v>#REF!</v>
      </c>
      <c r="B277" s="13" t="e">
        <f>Tabl_B3_Billet_Cut_Casting!#REF!</f>
        <v>#REF!</v>
      </c>
      <c r="C277" s="13"/>
      <c r="D277">
        <v>0</v>
      </c>
      <c r="E277" s="13" t="e">
        <f>Tabl_B3_Billet_Cut_Casting!#REF!</f>
        <v>#REF!</v>
      </c>
      <c r="F277" s="13" t="e">
        <f>Tabl_B3_Billet_Cut_Casting!#REF!</f>
        <v>#REF!</v>
      </c>
      <c r="G277" t="s">
        <v>409</v>
      </c>
      <c r="I277" s="13" t="e">
        <f>Tabl_B3_Billet_Cut_Casting!#REF!</f>
        <v>#REF!</v>
      </c>
      <c r="J277" s="13" t="e">
        <f>Tabl_B3_Billet_Cut_Casting!#REF!</f>
        <v>#REF!</v>
      </c>
      <c r="M277" t="e">
        <f>Tabl_B3_Billet_Cut_Casting!#REF!</f>
        <v>#REF!</v>
      </c>
      <c r="N277" t="s">
        <v>430</v>
      </c>
      <c r="O277" t="s">
        <v>413</v>
      </c>
      <c r="P277" t="s">
        <v>412</v>
      </c>
      <c r="Q277" t="s">
        <v>46</v>
      </c>
      <c r="R277" s="169" t="s">
        <v>446</v>
      </c>
      <c r="S277" s="170" t="s">
        <v>456</v>
      </c>
      <c r="T277" s="171">
        <v>177807</v>
      </c>
      <c r="U277" s="172">
        <v>379200</v>
      </c>
      <c r="V277" s="173"/>
      <c r="W277" s="171">
        <v>1400</v>
      </c>
      <c r="X277" s="172">
        <v>1480</v>
      </c>
    </row>
    <row r="278" spans="1:24" x14ac:dyDescent="0.2">
      <c r="A278" t="e">
        <f t="shared" ref="A278:A291" si="25">M$277</f>
        <v>#REF!</v>
      </c>
      <c r="B278" s="13" t="e">
        <f>Tabl_B3_Billet_Cut_Casting!#REF!</f>
        <v>#REF!</v>
      </c>
      <c r="C278" s="13"/>
      <c r="D278">
        <v>0</v>
      </c>
      <c r="E278" s="13" t="e">
        <f>Tabl_B3_Billet_Cut_Casting!#REF!</f>
        <v>#REF!</v>
      </c>
      <c r="F278" s="13" t="e">
        <f>Tabl_B3_Billet_Cut_Casting!#REF!</f>
        <v>#REF!</v>
      </c>
      <c r="G278" t="s">
        <v>409</v>
      </c>
      <c r="I278" s="13" t="e">
        <f>Tabl_B3_Billet_Cut_Casting!#REF!</f>
        <v>#REF!</v>
      </c>
      <c r="J278" s="13" t="e">
        <f>Tabl_B3_Billet_Cut_Casting!#REF!</f>
        <v>#REF!</v>
      </c>
    </row>
    <row r="279" spans="1:24" x14ac:dyDescent="0.2">
      <c r="A279" t="e">
        <f t="shared" si="25"/>
        <v>#REF!</v>
      </c>
      <c r="B279" s="13" t="e">
        <f>Tabl_B3_Billet_Cut_Casting!#REF!</f>
        <v>#REF!</v>
      </c>
      <c r="C279" s="13"/>
      <c r="D279">
        <v>0</v>
      </c>
      <c r="E279" s="13" t="e">
        <f>Tabl_B3_Billet_Cut_Casting!#REF!</f>
        <v>#REF!</v>
      </c>
      <c r="F279" s="13" t="e">
        <f>Tabl_B3_Billet_Cut_Casting!#REF!</f>
        <v>#REF!</v>
      </c>
      <c r="G279" t="s">
        <v>409</v>
      </c>
      <c r="I279" s="13" t="e">
        <f>Tabl_B3_Billet_Cut_Casting!#REF!</f>
        <v>#REF!</v>
      </c>
      <c r="J279" s="13" t="e">
        <f>Tabl_B3_Billet_Cut_Casting!#REF!</f>
        <v>#REF!</v>
      </c>
    </row>
    <row r="280" spans="1:24" x14ac:dyDescent="0.2">
      <c r="A280" t="e">
        <f t="shared" si="25"/>
        <v>#REF!</v>
      </c>
      <c r="B280" s="13" t="e">
        <f>Tabl_B3_Billet_Cut_Casting!#REF!</f>
        <v>#REF!</v>
      </c>
      <c r="C280" s="13"/>
      <c r="D280">
        <v>0</v>
      </c>
      <c r="E280" s="13" t="e">
        <f>Tabl_B3_Billet_Cut_Casting!#REF!</f>
        <v>#REF!</v>
      </c>
      <c r="F280" s="13" t="e">
        <f>Tabl_B3_Billet_Cut_Casting!#REF!</f>
        <v>#REF!</v>
      </c>
      <c r="G280" t="s">
        <v>409</v>
      </c>
      <c r="I280" s="13" t="e">
        <f>Tabl_B3_Billet_Cut_Casting!#REF!</f>
        <v>#REF!</v>
      </c>
      <c r="J280" s="13" t="e">
        <f>Tabl_B3_Billet_Cut_Casting!#REF!</f>
        <v>#REF!</v>
      </c>
    </row>
    <row r="281" spans="1:24" x14ac:dyDescent="0.2">
      <c r="A281" t="e">
        <f t="shared" si="25"/>
        <v>#REF!</v>
      </c>
      <c r="B281" s="13" t="e">
        <f>Tabl_B3_Billet_Cut_Casting!#REF!</f>
        <v>#REF!</v>
      </c>
      <c r="C281" s="13"/>
      <c r="D281">
        <v>0</v>
      </c>
      <c r="E281" s="13" t="e">
        <f>Tabl_B3_Billet_Cut_Casting!#REF!</f>
        <v>#REF!</v>
      </c>
      <c r="F281" s="13" t="e">
        <f>Tabl_B3_Billet_Cut_Casting!#REF!</f>
        <v>#REF!</v>
      </c>
      <c r="G281" t="s">
        <v>409</v>
      </c>
      <c r="I281" s="13" t="e">
        <f>Tabl_B3_Billet_Cut_Casting!#REF!</f>
        <v>#REF!</v>
      </c>
      <c r="J281" s="13" t="e">
        <f>Tabl_B3_Billet_Cut_Casting!#REF!</f>
        <v>#REF!</v>
      </c>
    </row>
    <row r="282" spans="1:24" x14ac:dyDescent="0.2">
      <c r="A282" t="e">
        <f t="shared" si="25"/>
        <v>#REF!</v>
      </c>
      <c r="B282" s="13" t="e">
        <f>Tabl_B3_Billet_Cut_Casting!#REF!</f>
        <v>#REF!</v>
      </c>
      <c r="C282" s="13"/>
      <c r="D282">
        <v>0</v>
      </c>
      <c r="E282" s="13" t="e">
        <f>Tabl_B3_Billet_Cut_Casting!#REF!</f>
        <v>#REF!</v>
      </c>
      <c r="F282" s="13" t="e">
        <f>Tabl_B3_Billet_Cut_Casting!#REF!</f>
        <v>#REF!</v>
      </c>
      <c r="G282" t="s">
        <v>409</v>
      </c>
      <c r="I282" s="13" t="e">
        <f>Tabl_B3_Billet_Cut_Casting!#REF!</f>
        <v>#REF!</v>
      </c>
      <c r="J282" s="13" t="e">
        <f>Tabl_B3_Billet_Cut_Casting!#REF!</f>
        <v>#REF!</v>
      </c>
    </row>
    <row r="283" spans="1:24" x14ac:dyDescent="0.2">
      <c r="A283" t="e">
        <f t="shared" si="25"/>
        <v>#REF!</v>
      </c>
      <c r="B283" s="13" t="e">
        <f>Tabl_B3_Billet_Cut_Casting!#REF!</f>
        <v>#REF!</v>
      </c>
      <c r="C283" s="13"/>
      <c r="D283">
        <v>0</v>
      </c>
      <c r="E283" s="13" t="e">
        <f>Tabl_B3_Billet_Cut_Casting!#REF!</f>
        <v>#REF!</v>
      </c>
      <c r="F283" s="13" t="e">
        <f>Tabl_B3_Billet_Cut_Casting!#REF!</f>
        <v>#REF!</v>
      </c>
      <c r="G283" t="s">
        <v>409</v>
      </c>
      <c r="I283" s="13" t="e">
        <f>Tabl_B3_Billet_Cut_Casting!#REF!</f>
        <v>#REF!</v>
      </c>
      <c r="J283" s="13" t="e">
        <f>Tabl_B3_Billet_Cut_Casting!#REF!</f>
        <v>#REF!</v>
      </c>
    </row>
    <row r="284" spans="1:24" x14ac:dyDescent="0.2">
      <c r="A284" t="e">
        <f t="shared" si="25"/>
        <v>#REF!</v>
      </c>
      <c r="B284" s="13" t="e">
        <f>Tabl_B3_Billet_Cut_Casting!#REF!</f>
        <v>#REF!</v>
      </c>
      <c r="C284" s="13"/>
      <c r="D284">
        <v>0</v>
      </c>
      <c r="E284" s="13" t="e">
        <f>Tabl_B3_Billet_Cut_Casting!#REF!</f>
        <v>#REF!</v>
      </c>
      <c r="F284" s="13" t="e">
        <f>Tabl_B3_Billet_Cut_Casting!#REF!</f>
        <v>#REF!</v>
      </c>
      <c r="G284" t="s">
        <v>409</v>
      </c>
      <c r="I284" s="13" t="e">
        <f>Tabl_B3_Billet_Cut_Casting!#REF!</f>
        <v>#REF!</v>
      </c>
      <c r="J284" s="13" t="e">
        <f>Tabl_B3_Billet_Cut_Casting!#REF!</f>
        <v>#REF!</v>
      </c>
    </row>
    <row r="285" spans="1:24" x14ac:dyDescent="0.2">
      <c r="A285" t="e">
        <f t="shared" si="25"/>
        <v>#REF!</v>
      </c>
      <c r="B285" s="13" t="e">
        <f>Tabl_B3_Billet_Cut_Casting!#REF!</f>
        <v>#REF!</v>
      </c>
      <c r="C285" s="13"/>
      <c r="D285">
        <v>0</v>
      </c>
      <c r="E285" s="13" t="e">
        <f>Tabl_B3_Billet_Cut_Casting!#REF!</f>
        <v>#REF!</v>
      </c>
      <c r="F285" s="13" t="e">
        <f>Tabl_B3_Billet_Cut_Casting!#REF!</f>
        <v>#REF!</v>
      </c>
      <c r="G285" t="s">
        <v>409</v>
      </c>
      <c r="I285" s="13" t="e">
        <f>Tabl_B3_Billet_Cut_Casting!#REF!</f>
        <v>#REF!</v>
      </c>
      <c r="J285" s="13" t="e">
        <f>Tabl_B3_Billet_Cut_Casting!#REF!</f>
        <v>#REF!</v>
      </c>
    </row>
    <row r="286" spans="1:24" x14ac:dyDescent="0.2">
      <c r="A286" t="e">
        <f t="shared" si="25"/>
        <v>#REF!</v>
      </c>
      <c r="B286" s="13" t="e">
        <f>Tabl_B3_Billet_Cut_Casting!#REF!</f>
        <v>#REF!</v>
      </c>
      <c r="C286" s="13"/>
      <c r="D286">
        <v>0</v>
      </c>
      <c r="E286" s="13" t="e">
        <f>Tabl_B3_Billet_Cut_Casting!#REF!</f>
        <v>#REF!</v>
      </c>
      <c r="F286" s="13" t="e">
        <f>Tabl_B3_Billet_Cut_Casting!#REF!</f>
        <v>#REF!</v>
      </c>
      <c r="G286" t="s">
        <v>409</v>
      </c>
      <c r="I286" s="13" t="e">
        <f>Tabl_B3_Billet_Cut_Casting!#REF!</f>
        <v>#REF!</v>
      </c>
      <c r="J286" s="13" t="e">
        <f>Tabl_B3_Billet_Cut_Casting!#REF!</f>
        <v>#REF!</v>
      </c>
    </row>
    <row r="287" spans="1:24" x14ac:dyDescent="0.2">
      <c r="A287" t="e">
        <f t="shared" si="25"/>
        <v>#REF!</v>
      </c>
      <c r="B287" s="13" t="e">
        <f>Tabl_B3_Billet_Cut_Casting!#REF!</f>
        <v>#REF!</v>
      </c>
      <c r="C287" s="13"/>
      <c r="D287">
        <v>0</v>
      </c>
      <c r="E287" s="13" t="e">
        <f>Tabl_B3_Billet_Cut_Casting!#REF!</f>
        <v>#REF!</v>
      </c>
      <c r="F287" s="13" t="e">
        <f>Tabl_B3_Billet_Cut_Casting!#REF!</f>
        <v>#REF!</v>
      </c>
      <c r="G287" t="s">
        <v>409</v>
      </c>
      <c r="I287" s="13" t="e">
        <f>Tabl_B3_Billet_Cut_Casting!#REF!</f>
        <v>#REF!</v>
      </c>
      <c r="J287" s="13" t="e">
        <f>Tabl_B3_Billet_Cut_Casting!#REF!</f>
        <v>#REF!</v>
      </c>
    </row>
    <row r="288" spans="1:24" x14ac:dyDescent="0.2">
      <c r="A288" t="e">
        <f t="shared" si="25"/>
        <v>#REF!</v>
      </c>
      <c r="B288" s="13" t="e">
        <f>Tabl_B3_Billet_Cut_Casting!#REF!</f>
        <v>#REF!</v>
      </c>
      <c r="C288" s="13"/>
      <c r="D288">
        <v>0</v>
      </c>
      <c r="E288" s="13" t="e">
        <f>Tabl_B3_Billet_Cut_Casting!#REF!</f>
        <v>#REF!</v>
      </c>
      <c r="F288" s="13" t="e">
        <f>Tabl_B3_Billet_Cut_Casting!#REF!</f>
        <v>#REF!</v>
      </c>
      <c r="G288" t="s">
        <v>409</v>
      </c>
      <c r="I288" s="13" t="e">
        <f>Tabl_B3_Billet_Cut_Casting!#REF!</f>
        <v>#REF!</v>
      </c>
      <c r="J288" s="13" t="e">
        <f>Tabl_B3_Billet_Cut_Casting!#REF!</f>
        <v>#REF!</v>
      </c>
    </row>
    <row r="289" spans="1:24" x14ac:dyDescent="0.2">
      <c r="A289" t="e">
        <f t="shared" si="25"/>
        <v>#REF!</v>
      </c>
      <c r="B289" s="13" t="e">
        <f>Tabl_B3_Billet_Cut_Casting!#REF!</f>
        <v>#REF!</v>
      </c>
      <c r="C289" s="13"/>
      <c r="D289">
        <v>0</v>
      </c>
      <c r="E289" s="13" t="e">
        <f>Tabl_B3_Billet_Cut_Casting!#REF!</f>
        <v>#REF!</v>
      </c>
      <c r="F289" s="13" t="e">
        <f>Tabl_B3_Billet_Cut_Casting!#REF!</f>
        <v>#REF!</v>
      </c>
      <c r="G289" t="s">
        <v>409</v>
      </c>
      <c r="I289" s="13" t="e">
        <f>Tabl_B3_Billet_Cut_Casting!#REF!</f>
        <v>#REF!</v>
      </c>
      <c r="J289" s="13" t="e">
        <f>Tabl_B3_Billet_Cut_Casting!#REF!</f>
        <v>#REF!</v>
      </c>
    </row>
    <row r="290" spans="1:24" x14ac:dyDescent="0.2">
      <c r="A290" t="e">
        <f t="shared" si="25"/>
        <v>#REF!</v>
      </c>
      <c r="B290" s="13" t="e">
        <f>Tabl_B3_Billet_Cut_Casting!#REF!</f>
        <v>#REF!</v>
      </c>
      <c r="C290" s="13"/>
      <c r="D290">
        <v>0</v>
      </c>
      <c r="E290" s="13" t="e">
        <f>Tabl_B3_Billet_Cut_Casting!#REF!</f>
        <v>#REF!</v>
      </c>
      <c r="F290" s="13" t="e">
        <f>Tabl_B3_Billet_Cut_Casting!#REF!</f>
        <v>#REF!</v>
      </c>
      <c r="G290" t="s">
        <v>409</v>
      </c>
      <c r="I290" s="13" t="e">
        <f>Tabl_B3_Billet_Cut_Casting!#REF!</f>
        <v>#REF!</v>
      </c>
      <c r="J290" s="13" t="e">
        <f>Tabl_B3_Billet_Cut_Casting!#REF!</f>
        <v>#REF!</v>
      </c>
    </row>
    <row r="291" spans="1:24" x14ac:dyDescent="0.2">
      <c r="A291" t="e">
        <f t="shared" si="25"/>
        <v>#REF!</v>
      </c>
      <c r="B291" s="13" t="e">
        <f>Tabl_B3_Billet_Cut_Casting!#REF!</f>
        <v>#REF!</v>
      </c>
      <c r="C291" s="13"/>
      <c r="D291">
        <v>0</v>
      </c>
      <c r="E291" s="13" t="e">
        <f>Tabl_B3_Billet_Cut_Casting!#REF!</f>
        <v>#REF!</v>
      </c>
      <c r="F291" s="13" t="e">
        <f>Tabl_B3_Billet_Cut_Casting!#REF!</f>
        <v>#REF!</v>
      </c>
      <c r="G291" t="s">
        <v>409</v>
      </c>
      <c r="I291" s="13" t="e">
        <f>Tabl_B3_Billet_Cut_Casting!#REF!</f>
        <v>#REF!</v>
      </c>
      <c r="J291" s="13" t="e">
        <f>Tabl_B3_Billet_Cut_Casting!#REF!</f>
        <v>#REF!</v>
      </c>
    </row>
    <row r="292" spans="1:24" x14ac:dyDescent="0.2">
      <c r="A292">
        <f>M$292</f>
        <v>0</v>
      </c>
      <c r="B292" s="13" t="str">
        <f>Tabl_B3_Billet_Cut_Casting!A74</f>
        <v>71-43-2</v>
      </c>
      <c r="C292" s="13"/>
      <c r="D292">
        <v>0</v>
      </c>
      <c r="E292" s="13">
        <f>Tabl_B3_Billet_Cut_Casting!C74</f>
        <v>8.0000000000000002E-3</v>
      </c>
      <c r="F292" s="13">
        <f>E292</f>
        <v>8.0000000000000002E-3</v>
      </c>
      <c r="G292" t="s">
        <v>408</v>
      </c>
      <c r="I292" s="13">
        <f>Tabl_B3_Billet_Cut_Casting!D74</f>
        <v>1.0512000000000001E-2</v>
      </c>
      <c r="J292" s="13">
        <f>Tabl_B3_Billet_Cut_Casting!E74</f>
        <v>2.8800000000000002E-5</v>
      </c>
      <c r="M292">
        <f>Tabl_B3_Billet_Cut_Casting!D72</f>
        <v>0</v>
      </c>
      <c r="N292" t="s">
        <v>431</v>
      </c>
      <c r="O292" t="s">
        <v>415</v>
      </c>
      <c r="P292" t="s">
        <v>410</v>
      </c>
      <c r="Q292" t="s">
        <v>48</v>
      </c>
      <c r="R292" s="169" t="s">
        <v>443</v>
      </c>
      <c r="S292" s="170" t="s">
        <v>444</v>
      </c>
      <c r="T292" s="171">
        <v>1051200</v>
      </c>
      <c r="U292" s="172">
        <v>1314000</v>
      </c>
      <c r="V292" s="173"/>
      <c r="W292" s="171">
        <v>2880</v>
      </c>
      <c r="X292" s="172">
        <v>3600</v>
      </c>
    </row>
    <row r="293" spans="1:24" x14ac:dyDescent="0.2">
      <c r="A293">
        <f t="shared" ref="A293:A306" si="26">M$292</f>
        <v>0</v>
      </c>
      <c r="B293" s="13" t="str">
        <f>Tabl_B3_Billet_Cut_Casting!A75</f>
        <v>50-00-0</v>
      </c>
      <c r="C293" s="13"/>
      <c r="D293">
        <v>0</v>
      </c>
      <c r="E293" s="13">
        <f>Tabl_B3_Billet_Cut_Casting!C75</f>
        <v>1.7000000000000001E-2</v>
      </c>
      <c r="F293" s="13">
        <f t="shared" ref="F293:F356" si="27">E293</f>
        <v>1.7000000000000001E-2</v>
      </c>
      <c r="G293" t="s">
        <v>408</v>
      </c>
      <c r="I293" s="13">
        <f>Tabl_B3_Billet_Cut_Casting!D75</f>
        <v>2.2338E-2</v>
      </c>
      <c r="J293" s="13">
        <f>Tabl_B3_Billet_Cut_Casting!E75</f>
        <v>6.1199999999999997E-5</v>
      </c>
    </row>
    <row r="294" spans="1:24" x14ac:dyDescent="0.2">
      <c r="A294">
        <f t="shared" si="26"/>
        <v>0</v>
      </c>
      <c r="B294" s="13">
        <f>Tabl_B3_Billet_Cut_Casting!A76</f>
        <v>401</v>
      </c>
      <c r="C294" s="13"/>
      <c r="D294">
        <v>0</v>
      </c>
      <c r="E294" s="13">
        <f>Tabl_B3_Billet_Cut_Casting!C76</f>
        <v>1E-4</v>
      </c>
      <c r="F294" s="13">
        <f t="shared" si="27"/>
        <v>1E-4</v>
      </c>
      <c r="G294" t="s">
        <v>408</v>
      </c>
      <c r="I294" s="13">
        <f>Tabl_B3_Billet_Cut_Casting!D76</f>
        <v>1.314E-4</v>
      </c>
      <c r="J294" s="13">
        <f>Tabl_B3_Billet_Cut_Casting!E76</f>
        <v>3.6000000000000005E-7</v>
      </c>
    </row>
    <row r="295" spans="1:24" x14ac:dyDescent="0.2">
      <c r="A295">
        <f t="shared" si="26"/>
        <v>0</v>
      </c>
      <c r="B295" s="13" t="str">
        <f>Tabl_B3_Billet_Cut_Casting!A77</f>
        <v>50-32-8</v>
      </c>
      <c r="C295" s="13"/>
      <c r="D295">
        <v>0</v>
      </c>
      <c r="E295" s="13">
        <f>Tabl_B3_Billet_Cut_Casting!C77</f>
        <v>1.1999999999999999E-6</v>
      </c>
      <c r="F295" s="13">
        <f t="shared" si="27"/>
        <v>1.1999999999999999E-6</v>
      </c>
      <c r="G295" t="s">
        <v>408</v>
      </c>
      <c r="I295" s="13">
        <f>Tabl_B3_Billet_Cut_Casting!D77</f>
        <v>1.5767999999999999E-6</v>
      </c>
      <c r="J295" s="13">
        <f>Tabl_B3_Billet_Cut_Casting!E77</f>
        <v>4.32E-9</v>
      </c>
    </row>
    <row r="296" spans="1:24" x14ac:dyDescent="0.2">
      <c r="A296">
        <f t="shared" si="26"/>
        <v>0</v>
      </c>
      <c r="B296" s="13" t="str">
        <f>Tabl_B3_Billet_Cut_Casting!A78</f>
        <v>91-20-3</v>
      </c>
      <c r="C296" s="13"/>
      <c r="D296">
        <v>0</v>
      </c>
      <c r="E296" s="13">
        <f>Tabl_B3_Billet_Cut_Casting!C78</f>
        <v>2.9999999999999997E-4</v>
      </c>
      <c r="F296" s="13">
        <f t="shared" si="27"/>
        <v>2.9999999999999997E-4</v>
      </c>
      <c r="G296" t="s">
        <v>408</v>
      </c>
      <c r="I296" s="13">
        <f>Tabl_B3_Billet_Cut_Casting!D78</f>
        <v>3.9419999999999999E-4</v>
      </c>
      <c r="J296" s="13">
        <f>Tabl_B3_Billet_Cut_Casting!E78</f>
        <v>1.0799999999999998E-6</v>
      </c>
    </row>
    <row r="297" spans="1:24" x14ac:dyDescent="0.2">
      <c r="A297">
        <f t="shared" si="26"/>
        <v>0</v>
      </c>
      <c r="B297" s="13" t="str">
        <f>Tabl_B3_Billet_Cut_Casting!A79</f>
        <v>75-07-0</v>
      </c>
      <c r="C297" s="13"/>
      <c r="D297">
        <v>0</v>
      </c>
      <c r="E297" s="13">
        <f>Tabl_B3_Billet_Cut_Casting!C79</f>
        <v>4.3E-3</v>
      </c>
      <c r="F297" s="13">
        <f t="shared" si="27"/>
        <v>4.3E-3</v>
      </c>
      <c r="G297" t="s">
        <v>408</v>
      </c>
      <c r="I297" s="13">
        <f>Tabl_B3_Billet_Cut_Casting!D79</f>
        <v>5.6502000000000002E-3</v>
      </c>
      <c r="J297" s="13">
        <f>Tabl_B3_Billet_Cut_Casting!E79</f>
        <v>1.5480000000000001E-5</v>
      </c>
    </row>
    <row r="298" spans="1:24" x14ac:dyDescent="0.2">
      <c r="A298">
        <f t="shared" si="26"/>
        <v>0</v>
      </c>
      <c r="B298" s="13" t="str">
        <f>Tabl_B3_Billet_Cut_Casting!A80</f>
        <v>107-02-8</v>
      </c>
      <c r="C298" s="13"/>
      <c r="D298">
        <v>0</v>
      </c>
      <c r="E298" s="13">
        <f>Tabl_B3_Billet_Cut_Casting!C80</f>
        <v>2.7000000000000001E-3</v>
      </c>
      <c r="F298" s="13">
        <f t="shared" si="27"/>
        <v>2.7000000000000001E-3</v>
      </c>
      <c r="G298" t="s">
        <v>408</v>
      </c>
      <c r="I298" s="13">
        <f>Tabl_B3_Billet_Cut_Casting!D80</f>
        <v>3.5478000000000003E-3</v>
      </c>
      <c r="J298" s="13">
        <f>Tabl_B3_Billet_Cut_Casting!E80</f>
        <v>9.7200000000000001E-6</v>
      </c>
    </row>
    <row r="299" spans="1:24" x14ac:dyDescent="0.2">
      <c r="A299">
        <f t="shared" si="26"/>
        <v>0</v>
      </c>
      <c r="B299" s="13" t="str">
        <f>Tabl_B3_Billet_Cut_Casting!A81</f>
        <v>7664-41-7</v>
      </c>
      <c r="C299" s="13"/>
      <c r="D299">
        <v>0</v>
      </c>
      <c r="E299" s="13">
        <f>Tabl_B3_Billet_Cut_Casting!C81</f>
        <v>18</v>
      </c>
      <c r="F299" s="13">
        <f t="shared" si="27"/>
        <v>18</v>
      </c>
      <c r="G299" t="s">
        <v>408</v>
      </c>
      <c r="I299" s="13">
        <f>Tabl_B3_Billet_Cut_Casting!D81</f>
        <v>23.652000000000001</v>
      </c>
      <c r="J299" s="13">
        <f>Tabl_B3_Billet_Cut_Casting!E81</f>
        <v>6.4799999999999996E-2</v>
      </c>
    </row>
    <row r="300" spans="1:24" x14ac:dyDescent="0.2">
      <c r="A300">
        <f t="shared" si="26"/>
        <v>0</v>
      </c>
      <c r="B300" s="13" t="str">
        <f>Tabl_B3_Billet_Cut_Casting!A82</f>
        <v>7440-39-3</v>
      </c>
      <c r="C300" s="13"/>
      <c r="D300">
        <v>0</v>
      </c>
      <c r="E300" s="13">
        <f>Tabl_B3_Billet_Cut_Casting!C82</f>
        <v>4.4000000000000003E-3</v>
      </c>
      <c r="F300" s="13">
        <f t="shared" si="27"/>
        <v>4.4000000000000003E-3</v>
      </c>
      <c r="G300" t="s">
        <v>408</v>
      </c>
      <c r="I300" s="13">
        <f>Tabl_B3_Billet_Cut_Casting!D82</f>
        <v>5.7816000000000005E-3</v>
      </c>
      <c r="J300" s="13">
        <f>Tabl_B3_Billet_Cut_Casting!E82</f>
        <v>1.5840000000000001E-5</v>
      </c>
    </row>
    <row r="301" spans="1:24" x14ac:dyDescent="0.2">
      <c r="A301">
        <f t="shared" si="26"/>
        <v>0</v>
      </c>
      <c r="B301" s="13" t="str">
        <f>Tabl_B3_Billet_Cut_Casting!A83</f>
        <v>100-41-4</v>
      </c>
      <c r="C301" s="13"/>
      <c r="D301">
        <v>0</v>
      </c>
      <c r="E301" s="13">
        <f>Tabl_B3_Billet_Cut_Casting!C83</f>
        <v>9.4999999999999998E-3</v>
      </c>
      <c r="F301" s="13">
        <f t="shared" si="27"/>
        <v>9.4999999999999998E-3</v>
      </c>
      <c r="G301" t="s">
        <v>408</v>
      </c>
      <c r="I301" s="13">
        <f>Tabl_B3_Billet_Cut_Casting!D83</f>
        <v>1.2482999999999999E-2</v>
      </c>
      <c r="J301" s="13">
        <f>Tabl_B3_Billet_Cut_Casting!E83</f>
        <v>3.4199999999999998E-5</v>
      </c>
    </row>
    <row r="302" spans="1:24" x14ac:dyDescent="0.2">
      <c r="A302">
        <f t="shared" si="26"/>
        <v>0</v>
      </c>
      <c r="B302" s="13" t="str">
        <f>Tabl_B3_Billet_Cut_Casting!A84</f>
        <v>110-54-3</v>
      </c>
      <c r="C302" s="13"/>
      <c r="D302">
        <v>0</v>
      </c>
      <c r="E302" s="13">
        <f>Tabl_B3_Billet_Cut_Casting!C84</f>
        <v>6.3E-3</v>
      </c>
      <c r="F302" s="13">
        <f t="shared" si="27"/>
        <v>6.3E-3</v>
      </c>
      <c r="G302" t="s">
        <v>408</v>
      </c>
      <c r="I302" s="13">
        <f>Tabl_B3_Billet_Cut_Casting!D84</f>
        <v>8.2782000000000012E-3</v>
      </c>
      <c r="J302" s="13">
        <f>Tabl_B3_Billet_Cut_Casting!E84</f>
        <v>2.268E-5</v>
      </c>
    </row>
    <row r="303" spans="1:24" x14ac:dyDescent="0.2">
      <c r="A303">
        <f t="shared" si="26"/>
        <v>0</v>
      </c>
      <c r="B303" s="13" t="str">
        <f>Tabl_B3_Billet_Cut_Casting!A85</f>
        <v>7439-97-6</v>
      </c>
      <c r="C303" s="13"/>
      <c r="D303">
        <v>0</v>
      </c>
      <c r="E303" s="13">
        <f>Tabl_B3_Billet_Cut_Casting!C85</f>
        <v>2.5999999999999998E-4</v>
      </c>
      <c r="F303" s="13">
        <f t="shared" si="27"/>
        <v>2.5999999999999998E-4</v>
      </c>
      <c r="G303" t="s">
        <v>408</v>
      </c>
      <c r="I303" s="13">
        <f>Tabl_B3_Billet_Cut_Casting!D85</f>
        <v>3.4163999999999999E-4</v>
      </c>
      <c r="J303" s="13">
        <f>Tabl_B3_Billet_Cut_Casting!E85</f>
        <v>9.3599999999999991E-7</v>
      </c>
    </row>
    <row r="304" spans="1:24" x14ac:dyDescent="0.2">
      <c r="A304">
        <f t="shared" si="26"/>
        <v>0</v>
      </c>
      <c r="B304" s="13" t="str">
        <f>Tabl_B3_Billet_Cut_Casting!A86</f>
        <v>1313-27-5</v>
      </c>
      <c r="C304" s="13"/>
      <c r="D304">
        <v>0</v>
      </c>
      <c r="E304" s="13">
        <f>Tabl_B3_Billet_Cut_Casting!C86</f>
        <v>1.65E-3</v>
      </c>
      <c r="F304" s="13">
        <f t="shared" si="27"/>
        <v>1.65E-3</v>
      </c>
      <c r="G304" t="s">
        <v>408</v>
      </c>
      <c r="I304" s="13">
        <f>Tabl_B3_Billet_Cut_Casting!D86</f>
        <v>2.1681000000000001E-3</v>
      </c>
      <c r="J304" s="13">
        <f>Tabl_B3_Billet_Cut_Casting!E86</f>
        <v>5.9400000000000007E-6</v>
      </c>
    </row>
    <row r="305" spans="1:24" x14ac:dyDescent="0.2">
      <c r="A305">
        <f t="shared" si="26"/>
        <v>0</v>
      </c>
      <c r="B305" s="13" t="str">
        <f>Tabl_B3_Billet_Cut_Casting!A87</f>
        <v>108-88-3</v>
      </c>
      <c r="C305" s="13"/>
      <c r="D305">
        <v>0</v>
      </c>
      <c r="E305" s="13">
        <f>Tabl_B3_Billet_Cut_Casting!C87</f>
        <v>3.6600000000000001E-2</v>
      </c>
      <c r="F305" s="13">
        <f t="shared" si="27"/>
        <v>3.6600000000000001E-2</v>
      </c>
      <c r="G305" t="s">
        <v>408</v>
      </c>
      <c r="I305" s="13">
        <f>Tabl_B3_Billet_Cut_Casting!D87</f>
        <v>4.80924E-2</v>
      </c>
      <c r="J305" s="13">
        <f>Tabl_B3_Billet_Cut_Casting!E87</f>
        <v>1.3176E-4</v>
      </c>
    </row>
    <row r="306" spans="1:24" x14ac:dyDescent="0.2">
      <c r="A306">
        <f t="shared" si="26"/>
        <v>0</v>
      </c>
      <c r="B306" s="13" t="str">
        <f>Tabl_B3_Billet_Cut_Casting!A88</f>
        <v>1330-20-7</v>
      </c>
      <c r="C306" s="13"/>
      <c r="D306">
        <v>0</v>
      </c>
      <c r="E306" s="13">
        <f>Tabl_B3_Billet_Cut_Casting!C88</f>
        <v>2.7199999999999998E-2</v>
      </c>
      <c r="F306" s="13">
        <f t="shared" si="27"/>
        <v>2.7199999999999998E-2</v>
      </c>
      <c r="G306" t="s">
        <v>408</v>
      </c>
      <c r="I306" s="13">
        <f>Tabl_B3_Billet_Cut_Casting!D88</f>
        <v>3.5740799999999996E-2</v>
      </c>
      <c r="J306" s="13">
        <f>Tabl_B3_Billet_Cut_Casting!E88</f>
        <v>9.7919999999999984E-5</v>
      </c>
    </row>
    <row r="307" spans="1:24" x14ac:dyDescent="0.2">
      <c r="A307" t="e">
        <f>M$307</f>
        <v>#REF!</v>
      </c>
      <c r="B307" s="13" t="e">
        <f>Tabl_B3_Billet_Cut_Casting!#REF!</f>
        <v>#REF!</v>
      </c>
      <c r="C307" s="13"/>
      <c r="D307">
        <v>0</v>
      </c>
      <c r="E307" s="13" t="e">
        <f>Tabl_B3_Billet_Cut_Casting!#REF!</f>
        <v>#REF!</v>
      </c>
      <c r="F307" s="13" t="e">
        <f t="shared" si="27"/>
        <v>#REF!</v>
      </c>
      <c r="G307" t="s">
        <v>408</v>
      </c>
      <c r="I307" s="13" t="e">
        <f>Tabl_B3_Billet_Cut_Casting!#REF!</f>
        <v>#REF!</v>
      </c>
      <c r="J307" s="13" t="e">
        <f>Tabl_B3_Billet_Cut_Casting!#REF!</f>
        <v>#REF!</v>
      </c>
      <c r="M307" t="e">
        <f>Tabl_B3_Billet_Cut_Casting!#REF!</f>
        <v>#REF!</v>
      </c>
      <c r="N307" t="s">
        <v>432</v>
      </c>
      <c r="O307" t="s">
        <v>413</v>
      </c>
      <c r="P307" t="s">
        <v>412</v>
      </c>
      <c r="Q307" t="s">
        <v>46</v>
      </c>
      <c r="R307" s="169" t="s">
        <v>443</v>
      </c>
      <c r="S307" s="170" t="s">
        <v>444</v>
      </c>
      <c r="T307" s="171">
        <v>1051200</v>
      </c>
      <c r="U307" s="172">
        <v>1314000</v>
      </c>
      <c r="V307" s="173"/>
      <c r="W307" s="171">
        <v>2880</v>
      </c>
      <c r="X307" s="172">
        <v>3600</v>
      </c>
    </row>
    <row r="308" spans="1:24" x14ac:dyDescent="0.2">
      <c r="A308" t="e">
        <f t="shared" ref="A308:A321" si="28">M$307</f>
        <v>#REF!</v>
      </c>
      <c r="B308" s="13" t="e">
        <f>Tabl_B3_Billet_Cut_Casting!#REF!</f>
        <v>#REF!</v>
      </c>
      <c r="C308" s="13"/>
      <c r="D308">
        <v>0</v>
      </c>
      <c r="E308" s="13" t="e">
        <f>Tabl_B3_Billet_Cut_Casting!#REF!</f>
        <v>#REF!</v>
      </c>
      <c r="F308" s="13" t="e">
        <f t="shared" si="27"/>
        <v>#REF!</v>
      </c>
      <c r="G308" t="s">
        <v>408</v>
      </c>
      <c r="I308" s="13" t="e">
        <f>Tabl_B3_Billet_Cut_Casting!#REF!</f>
        <v>#REF!</v>
      </c>
      <c r="J308" s="13" t="e">
        <f>Tabl_B3_Billet_Cut_Casting!#REF!</f>
        <v>#REF!</v>
      </c>
    </row>
    <row r="309" spans="1:24" x14ac:dyDescent="0.2">
      <c r="A309" t="e">
        <f t="shared" si="28"/>
        <v>#REF!</v>
      </c>
      <c r="B309" s="13" t="e">
        <f>Tabl_B3_Billet_Cut_Casting!#REF!</f>
        <v>#REF!</v>
      </c>
      <c r="C309" s="13"/>
      <c r="D309">
        <v>0</v>
      </c>
      <c r="E309" s="13" t="e">
        <f>Tabl_B3_Billet_Cut_Casting!#REF!</f>
        <v>#REF!</v>
      </c>
      <c r="F309" s="13" t="e">
        <f t="shared" si="27"/>
        <v>#REF!</v>
      </c>
      <c r="G309" t="s">
        <v>408</v>
      </c>
      <c r="I309" s="13" t="e">
        <f>Tabl_B3_Billet_Cut_Casting!#REF!</f>
        <v>#REF!</v>
      </c>
      <c r="J309" s="13" t="e">
        <f>Tabl_B3_Billet_Cut_Casting!#REF!</f>
        <v>#REF!</v>
      </c>
    </row>
    <row r="310" spans="1:24" x14ac:dyDescent="0.2">
      <c r="A310" t="e">
        <f t="shared" si="28"/>
        <v>#REF!</v>
      </c>
      <c r="B310" s="13" t="e">
        <f>Tabl_B3_Billet_Cut_Casting!#REF!</f>
        <v>#REF!</v>
      </c>
      <c r="C310" s="13"/>
      <c r="D310">
        <v>0</v>
      </c>
      <c r="E310" s="13" t="e">
        <f>Tabl_B3_Billet_Cut_Casting!#REF!</f>
        <v>#REF!</v>
      </c>
      <c r="F310" s="13" t="e">
        <f t="shared" si="27"/>
        <v>#REF!</v>
      </c>
      <c r="G310" t="s">
        <v>408</v>
      </c>
      <c r="I310" s="13" t="e">
        <f>Tabl_B3_Billet_Cut_Casting!#REF!</f>
        <v>#REF!</v>
      </c>
      <c r="J310" s="13" t="e">
        <f>Tabl_B3_Billet_Cut_Casting!#REF!</f>
        <v>#REF!</v>
      </c>
    </row>
    <row r="311" spans="1:24" x14ac:dyDescent="0.2">
      <c r="A311" t="e">
        <f t="shared" si="28"/>
        <v>#REF!</v>
      </c>
      <c r="B311" s="13" t="e">
        <f>Tabl_B3_Billet_Cut_Casting!#REF!</f>
        <v>#REF!</v>
      </c>
      <c r="C311" s="13"/>
      <c r="D311">
        <v>0</v>
      </c>
      <c r="E311" s="13" t="e">
        <f>Tabl_B3_Billet_Cut_Casting!#REF!</f>
        <v>#REF!</v>
      </c>
      <c r="F311" s="13" t="e">
        <f t="shared" si="27"/>
        <v>#REF!</v>
      </c>
      <c r="G311" t="s">
        <v>408</v>
      </c>
      <c r="I311" s="13" t="e">
        <f>Tabl_B3_Billet_Cut_Casting!#REF!</f>
        <v>#REF!</v>
      </c>
      <c r="J311" s="13" t="e">
        <f>Tabl_B3_Billet_Cut_Casting!#REF!</f>
        <v>#REF!</v>
      </c>
    </row>
    <row r="312" spans="1:24" x14ac:dyDescent="0.2">
      <c r="A312" t="e">
        <f t="shared" si="28"/>
        <v>#REF!</v>
      </c>
      <c r="B312" s="13" t="e">
        <f>Tabl_B3_Billet_Cut_Casting!#REF!</f>
        <v>#REF!</v>
      </c>
      <c r="C312" s="13"/>
      <c r="D312">
        <v>0</v>
      </c>
      <c r="E312" s="13" t="e">
        <f>Tabl_B3_Billet_Cut_Casting!#REF!</f>
        <v>#REF!</v>
      </c>
      <c r="F312" s="13" t="e">
        <f t="shared" si="27"/>
        <v>#REF!</v>
      </c>
      <c r="G312" t="s">
        <v>408</v>
      </c>
      <c r="I312" s="13" t="e">
        <f>Tabl_B3_Billet_Cut_Casting!#REF!</f>
        <v>#REF!</v>
      </c>
      <c r="J312" s="13" t="e">
        <f>Tabl_B3_Billet_Cut_Casting!#REF!</f>
        <v>#REF!</v>
      </c>
    </row>
    <row r="313" spans="1:24" x14ac:dyDescent="0.2">
      <c r="A313" t="e">
        <f t="shared" si="28"/>
        <v>#REF!</v>
      </c>
      <c r="B313" s="13" t="e">
        <f>Tabl_B3_Billet_Cut_Casting!#REF!</f>
        <v>#REF!</v>
      </c>
      <c r="C313" s="13"/>
      <c r="D313">
        <v>0</v>
      </c>
      <c r="E313" s="13" t="e">
        <f>Tabl_B3_Billet_Cut_Casting!#REF!</f>
        <v>#REF!</v>
      </c>
      <c r="F313" s="13" t="e">
        <f t="shared" si="27"/>
        <v>#REF!</v>
      </c>
      <c r="G313" t="s">
        <v>408</v>
      </c>
      <c r="I313" s="13" t="e">
        <f>Tabl_B3_Billet_Cut_Casting!#REF!</f>
        <v>#REF!</v>
      </c>
      <c r="J313" s="13" t="e">
        <f>Tabl_B3_Billet_Cut_Casting!#REF!</f>
        <v>#REF!</v>
      </c>
    </row>
    <row r="314" spans="1:24" x14ac:dyDescent="0.2">
      <c r="A314" t="e">
        <f t="shared" si="28"/>
        <v>#REF!</v>
      </c>
      <c r="B314" s="13" t="e">
        <f>Tabl_B3_Billet_Cut_Casting!#REF!</f>
        <v>#REF!</v>
      </c>
      <c r="C314" s="13"/>
      <c r="D314">
        <v>0</v>
      </c>
      <c r="E314" s="13" t="e">
        <f>Tabl_B3_Billet_Cut_Casting!#REF!</f>
        <v>#REF!</v>
      </c>
      <c r="F314" s="13" t="e">
        <f t="shared" si="27"/>
        <v>#REF!</v>
      </c>
      <c r="G314" t="s">
        <v>408</v>
      </c>
      <c r="I314" s="13" t="e">
        <f>Tabl_B3_Billet_Cut_Casting!#REF!</f>
        <v>#REF!</v>
      </c>
      <c r="J314" s="13" t="e">
        <f>Tabl_B3_Billet_Cut_Casting!#REF!</f>
        <v>#REF!</v>
      </c>
    </row>
    <row r="315" spans="1:24" x14ac:dyDescent="0.2">
      <c r="A315" t="e">
        <f t="shared" si="28"/>
        <v>#REF!</v>
      </c>
      <c r="B315" s="13" t="e">
        <f>Tabl_B3_Billet_Cut_Casting!#REF!</f>
        <v>#REF!</v>
      </c>
      <c r="C315" s="13"/>
      <c r="D315">
        <v>0</v>
      </c>
      <c r="E315" s="13" t="e">
        <f>Tabl_B3_Billet_Cut_Casting!#REF!</f>
        <v>#REF!</v>
      </c>
      <c r="F315" s="13" t="e">
        <f t="shared" si="27"/>
        <v>#REF!</v>
      </c>
      <c r="G315" t="s">
        <v>408</v>
      </c>
      <c r="I315" s="13" t="e">
        <f>Tabl_B3_Billet_Cut_Casting!#REF!</f>
        <v>#REF!</v>
      </c>
      <c r="J315" s="13" t="e">
        <f>Tabl_B3_Billet_Cut_Casting!#REF!</f>
        <v>#REF!</v>
      </c>
    </row>
    <row r="316" spans="1:24" x14ac:dyDescent="0.2">
      <c r="A316" t="e">
        <f t="shared" si="28"/>
        <v>#REF!</v>
      </c>
      <c r="B316" s="13" t="e">
        <f>Tabl_B3_Billet_Cut_Casting!#REF!</f>
        <v>#REF!</v>
      </c>
      <c r="C316" s="13"/>
      <c r="D316">
        <v>0</v>
      </c>
      <c r="E316" s="13" t="e">
        <f>Tabl_B3_Billet_Cut_Casting!#REF!</f>
        <v>#REF!</v>
      </c>
      <c r="F316" s="13" t="e">
        <f t="shared" si="27"/>
        <v>#REF!</v>
      </c>
      <c r="G316" t="s">
        <v>408</v>
      </c>
      <c r="I316" s="13" t="e">
        <f>Tabl_B3_Billet_Cut_Casting!#REF!</f>
        <v>#REF!</v>
      </c>
      <c r="J316" s="13" t="e">
        <f>Tabl_B3_Billet_Cut_Casting!#REF!</f>
        <v>#REF!</v>
      </c>
    </row>
    <row r="317" spans="1:24" x14ac:dyDescent="0.2">
      <c r="A317" t="e">
        <f t="shared" si="28"/>
        <v>#REF!</v>
      </c>
      <c r="B317" s="13" t="e">
        <f>Tabl_B3_Billet_Cut_Casting!#REF!</f>
        <v>#REF!</v>
      </c>
      <c r="C317" s="13"/>
      <c r="D317">
        <v>0</v>
      </c>
      <c r="E317" s="13" t="e">
        <f>Tabl_B3_Billet_Cut_Casting!#REF!</f>
        <v>#REF!</v>
      </c>
      <c r="F317" s="13" t="e">
        <f t="shared" si="27"/>
        <v>#REF!</v>
      </c>
      <c r="G317" t="s">
        <v>408</v>
      </c>
      <c r="I317" s="13" t="e">
        <f>Tabl_B3_Billet_Cut_Casting!#REF!</f>
        <v>#REF!</v>
      </c>
      <c r="J317" s="13" t="e">
        <f>Tabl_B3_Billet_Cut_Casting!#REF!</f>
        <v>#REF!</v>
      </c>
    </row>
    <row r="318" spans="1:24" x14ac:dyDescent="0.2">
      <c r="A318" t="e">
        <f t="shared" si="28"/>
        <v>#REF!</v>
      </c>
      <c r="B318" s="13" t="e">
        <f>Tabl_B3_Billet_Cut_Casting!#REF!</f>
        <v>#REF!</v>
      </c>
      <c r="C318" s="13"/>
      <c r="D318">
        <v>0</v>
      </c>
      <c r="E318" s="13" t="e">
        <f>Tabl_B3_Billet_Cut_Casting!#REF!</f>
        <v>#REF!</v>
      </c>
      <c r="F318" s="13" t="e">
        <f t="shared" si="27"/>
        <v>#REF!</v>
      </c>
      <c r="G318" t="s">
        <v>408</v>
      </c>
      <c r="I318" s="13" t="e">
        <f>Tabl_B3_Billet_Cut_Casting!#REF!</f>
        <v>#REF!</v>
      </c>
      <c r="J318" s="13" t="e">
        <f>Tabl_B3_Billet_Cut_Casting!#REF!</f>
        <v>#REF!</v>
      </c>
    </row>
    <row r="319" spans="1:24" x14ac:dyDescent="0.2">
      <c r="A319" t="e">
        <f t="shared" si="28"/>
        <v>#REF!</v>
      </c>
      <c r="B319" s="13" t="e">
        <f>Tabl_B3_Billet_Cut_Casting!#REF!</f>
        <v>#REF!</v>
      </c>
      <c r="C319" s="13"/>
      <c r="D319">
        <v>0</v>
      </c>
      <c r="E319" s="13" t="e">
        <f>Tabl_B3_Billet_Cut_Casting!#REF!</f>
        <v>#REF!</v>
      </c>
      <c r="F319" s="13" t="e">
        <f t="shared" si="27"/>
        <v>#REF!</v>
      </c>
      <c r="G319" t="s">
        <v>408</v>
      </c>
      <c r="I319" s="13" t="e">
        <f>Tabl_B3_Billet_Cut_Casting!#REF!</f>
        <v>#REF!</v>
      </c>
      <c r="J319" s="13" t="e">
        <f>Tabl_B3_Billet_Cut_Casting!#REF!</f>
        <v>#REF!</v>
      </c>
    </row>
    <row r="320" spans="1:24" x14ac:dyDescent="0.2">
      <c r="A320" t="e">
        <f t="shared" si="28"/>
        <v>#REF!</v>
      </c>
      <c r="B320" s="13" t="e">
        <f>Tabl_B3_Billet_Cut_Casting!#REF!</f>
        <v>#REF!</v>
      </c>
      <c r="C320" s="13"/>
      <c r="D320">
        <v>0</v>
      </c>
      <c r="E320" s="13" t="e">
        <f>Tabl_B3_Billet_Cut_Casting!#REF!</f>
        <v>#REF!</v>
      </c>
      <c r="F320" s="13" t="e">
        <f t="shared" si="27"/>
        <v>#REF!</v>
      </c>
      <c r="G320" t="s">
        <v>408</v>
      </c>
      <c r="I320" s="13" t="e">
        <f>Tabl_B3_Billet_Cut_Casting!#REF!</f>
        <v>#REF!</v>
      </c>
      <c r="J320" s="13" t="e">
        <f>Tabl_B3_Billet_Cut_Casting!#REF!</f>
        <v>#REF!</v>
      </c>
    </row>
    <row r="321" spans="1:24" x14ac:dyDescent="0.2">
      <c r="A321" t="e">
        <f t="shared" si="28"/>
        <v>#REF!</v>
      </c>
      <c r="B321" s="13" t="e">
        <f>Tabl_B3_Billet_Cut_Casting!#REF!</f>
        <v>#REF!</v>
      </c>
      <c r="C321" s="13"/>
      <c r="D321">
        <v>0</v>
      </c>
      <c r="E321" s="13" t="e">
        <f>Tabl_B3_Billet_Cut_Casting!#REF!</f>
        <v>#REF!</v>
      </c>
      <c r="F321" s="13" t="e">
        <f t="shared" si="27"/>
        <v>#REF!</v>
      </c>
      <c r="G321" t="s">
        <v>408</v>
      </c>
      <c r="I321" s="13" t="e">
        <f>Tabl_B3_Billet_Cut_Casting!#REF!</f>
        <v>#REF!</v>
      </c>
      <c r="J321" s="13" t="e">
        <f>Tabl_B3_Billet_Cut_Casting!#REF!</f>
        <v>#REF!</v>
      </c>
    </row>
    <row r="322" spans="1:24" x14ac:dyDescent="0.2">
      <c r="A322">
        <f>M$322</f>
        <v>0</v>
      </c>
      <c r="B322" t="str">
        <f>Tabl_B4_Scrap_Billet_Cut!A42</f>
        <v>7429-90-5</v>
      </c>
      <c r="D322">
        <f t="shared" ref="D322:D336" si="29">0.95*0.95</f>
        <v>0.90249999999999997</v>
      </c>
      <c r="E322" s="13">
        <f>Tabl_B4_Scrap_Billet_Cut!C42</f>
        <v>9.0115021305090884E-5</v>
      </c>
      <c r="F322" s="13">
        <f t="shared" si="27"/>
        <v>9.0115021305090884E-5</v>
      </c>
      <c r="G322" t="s">
        <v>409</v>
      </c>
      <c r="I322" s="13">
        <f>Tabl_B4_Scrap_Billet_Cut!D42</f>
        <v>0.20670786345759704</v>
      </c>
      <c r="J322" s="13">
        <f>Tabl_B4_Scrap_Billet_Cut!E42</f>
        <v>8.5609270239836411E-4</v>
      </c>
      <c r="M322">
        <f>Tabl_B4_Scrap_Billet_Cut!D40</f>
        <v>0</v>
      </c>
      <c r="N322" t="s">
        <v>434</v>
      </c>
      <c r="O322" t="s">
        <v>414</v>
      </c>
      <c r="P322" t="s">
        <v>410</v>
      </c>
      <c r="Q322" t="s">
        <v>335</v>
      </c>
      <c r="R322" s="169" t="s">
        <v>446</v>
      </c>
      <c r="S322" s="170" t="s">
        <v>456</v>
      </c>
      <c r="T322" s="171">
        <v>38633</v>
      </c>
      <c r="U322" s="172">
        <v>48291</v>
      </c>
      <c r="V322" s="173"/>
      <c r="W322" s="171">
        <v>160</v>
      </c>
      <c r="X322" s="172">
        <v>200</v>
      </c>
    </row>
    <row r="323" spans="1:24" x14ac:dyDescent="0.2">
      <c r="A323">
        <f t="shared" ref="A323:A336" si="30">M$322</f>
        <v>0</v>
      </c>
      <c r="B323" t="str">
        <f>Tabl_B4_Scrap_Billet_Cut!A43</f>
        <v>7440-36-0</v>
      </c>
      <c r="D323">
        <f t="shared" si="29"/>
        <v>0.90249999999999997</v>
      </c>
      <c r="E323" s="13">
        <f>Tabl_B4_Scrap_Billet_Cut!C43</f>
        <v>5.1940762782501802E-6</v>
      </c>
      <c r="F323" s="13">
        <f t="shared" si="27"/>
        <v>5.1940762782501802E-6</v>
      </c>
      <c r="G323" t="s">
        <v>409</v>
      </c>
      <c r="I323" s="13">
        <f>Tabl_B4_Scrap_Billet_Cut!D43</f>
        <v>1.1914289033766534E-2</v>
      </c>
      <c r="J323" s="13">
        <f>Tabl_B4_Scrap_Billet_Cut!E43</f>
        <v>4.9343724643376762E-5</v>
      </c>
    </row>
    <row r="324" spans="1:24" x14ac:dyDescent="0.2">
      <c r="A324">
        <f t="shared" si="30"/>
        <v>0</v>
      </c>
      <c r="B324" t="str">
        <f>Tabl_B4_Scrap_Billet_Cut!A44</f>
        <v>7440-38-2</v>
      </c>
      <c r="D324">
        <f t="shared" si="29"/>
        <v>0.90249999999999997</v>
      </c>
      <c r="E324" s="13">
        <f>Tabl_B4_Scrap_Billet_Cut!C44</f>
        <v>1.5314273512706227E-5</v>
      </c>
      <c r="F324" s="13">
        <f t="shared" si="27"/>
        <v>1.5314273512706227E-5</v>
      </c>
      <c r="G324" t="s">
        <v>409</v>
      </c>
      <c r="I324" s="13">
        <f>Tabl_B4_Scrap_Billet_Cut!D44</f>
        <v>3.512822515459961E-2</v>
      </c>
      <c r="J324" s="13">
        <f>Tabl_B4_Scrap_Billet_Cut!E44</f>
        <v>1.4548559837070928E-4</v>
      </c>
    </row>
    <row r="325" spans="1:24" x14ac:dyDescent="0.2">
      <c r="A325">
        <f t="shared" si="30"/>
        <v>0</v>
      </c>
      <c r="B325" t="str">
        <f>Tabl_B4_Scrap_Billet_Cut!A45</f>
        <v>7440-41-7</v>
      </c>
      <c r="D325">
        <f t="shared" si="29"/>
        <v>0.90249999999999997</v>
      </c>
      <c r="E325" s="13">
        <f>Tabl_B4_Scrap_Billet_Cut!C45</f>
        <v>0</v>
      </c>
      <c r="F325" s="13">
        <f t="shared" si="27"/>
        <v>0</v>
      </c>
      <c r="G325" t="s">
        <v>409</v>
      </c>
      <c r="I325" s="13">
        <f>Tabl_B4_Scrap_Billet_Cut!D45</f>
        <v>0</v>
      </c>
      <c r="J325" s="13">
        <f>Tabl_B4_Scrap_Billet_Cut!E45</f>
        <v>0</v>
      </c>
    </row>
    <row r="326" spans="1:24" x14ac:dyDescent="0.2">
      <c r="A326">
        <f t="shared" si="30"/>
        <v>0</v>
      </c>
      <c r="B326" t="str">
        <f>Tabl_B4_Scrap_Billet_Cut!A46</f>
        <v>18540-29-9</v>
      </c>
      <c r="D326">
        <f t="shared" si="29"/>
        <v>0.90249999999999997</v>
      </c>
      <c r="E326" s="13">
        <f>Tabl_B4_Scrap_Billet_Cut!C46</f>
        <v>3.2254667138700593E-5</v>
      </c>
      <c r="F326" s="13">
        <f t="shared" si="27"/>
        <v>3.2254667138700593E-5</v>
      </c>
      <c r="G326" t="s">
        <v>409</v>
      </c>
      <c r="I326" s="13">
        <f>Tabl_B4_Scrap_Billet_Cut!D46</f>
        <v>7.3986481212762106E-2</v>
      </c>
      <c r="J326" s="13">
        <f>Tabl_B4_Scrap_Billet_Cut!E46</f>
        <v>3.064193378176559E-4</v>
      </c>
    </row>
    <row r="327" spans="1:24" x14ac:dyDescent="0.2">
      <c r="A327">
        <f t="shared" si="30"/>
        <v>0</v>
      </c>
      <c r="B327" t="str">
        <f>Tabl_B4_Scrap_Billet_Cut!A47</f>
        <v>7440-48-4</v>
      </c>
      <c r="D327">
        <f t="shared" si="29"/>
        <v>0.90249999999999997</v>
      </c>
      <c r="E327" s="13">
        <f>Tabl_B4_Scrap_Billet_Cut!C47</f>
        <v>7.3514260302389135E-6</v>
      </c>
      <c r="F327" s="13">
        <f t="shared" si="27"/>
        <v>7.3514260302389135E-6</v>
      </c>
      <c r="G327" t="s">
        <v>409</v>
      </c>
      <c r="I327" s="13">
        <f>Tabl_B4_Scrap_Billet_Cut!D47</f>
        <v>1.6862866435247717E-2</v>
      </c>
      <c r="J327" s="13">
        <f>Tabl_B4_Scrap_Billet_Cut!E47</f>
        <v>6.9838547287269734E-5</v>
      </c>
    </row>
    <row r="328" spans="1:24" x14ac:dyDescent="0.2">
      <c r="A328">
        <f t="shared" si="30"/>
        <v>0</v>
      </c>
      <c r="B328" t="str">
        <f>Tabl_B4_Scrap_Billet_Cut!A48</f>
        <v>7440-50-8</v>
      </c>
      <c r="D328">
        <f t="shared" si="29"/>
        <v>0.90249999999999997</v>
      </c>
      <c r="E328" s="13">
        <f>Tabl_B4_Scrap_Billet_Cut!C48</f>
        <v>4.8196960480493504E-4</v>
      </c>
      <c r="F328" s="13">
        <f t="shared" si="27"/>
        <v>4.8196960480493504E-4</v>
      </c>
      <c r="G328" t="s">
        <v>409</v>
      </c>
      <c r="I328" s="13">
        <f>Tabl_B4_Scrap_Billet_Cut!D48</f>
        <v>1.105552723817669</v>
      </c>
      <c r="J328" s="13">
        <f>Tabl_B4_Scrap_Billet_Cut!E48</f>
        <v>4.5787112456468866E-3</v>
      </c>
    </row>
    <row r="329" spans="1:24" x14ac:dyDescent="0.2">
      <c r="A329">
        <f t="shared" si="30"/>
        <v>0</v>
      </c>
      <c r="B329" t="str">
        <f>Tabl_B4_Scrap_Billet_Cut!A49</f>
        <v>7439-92-1</v>
      </c>
      <c r="D329">
        <f t="shared" si="29"/>
        <v>0.90249999999999997</v>
      </c>
      <c r="E329" s="13">
        <f>Tabl_B4_Scrap_Billet_Cut!C49</f>
        <v>1.7518974565717735E-5</v>
      </c>
      <c r="F329" s="13">
        <f t="shared" si="27"/>
        <v>1.7518974565717735E-5</v>
      </c>
      <c r="G329" t="s">
        <v>409</v>
      </c>
      <c r="I329" s="13">
        <f>Tabl_B4_Scrap_Billet_Cut!D49</f>
        <v>4.0185418035771109E-2</v>
      </c>
      <c r="J329" s="13">
        <f>Tabl_B4_Scrap_Billet_Cut!E49</f>
        <v>1.6643025837431862E-4</v>
      </c>
    </row>
    <row r="330" spans="1:24" x14ac:dyDescent="0.2">
      <c r="A330">
        <f t="shared" si="30"/>
        <v>0</v>
      </c>
      <c r="B330" t="str">
        <f>Tabl_B4_Scrap_Billet_Cut!A50</f>
        <v>7439-96-5</v>
      </c>
      <c r="D330">
        <f t="shared" si="29"/>
        <v>0.90249999999999997</v>
      </c>
      <c r="E330" s="13">
        <f>Tabl_B4_Scrap_Billet_Cut!C50</f>
        <v>3.2228368382128598E-4</v>
      </c>
      <c r="F330" s="13">
        <f t="shared" si="27"/>
        <v>3.2228368382128598E-4</v>
      </c>
      <c r="G330" t="s">
        <v>409</v>
      </c>
      <c r="I330" s="13">
        <f>Tabl_B4_Scrap_Billet_Cut!D50</f>
        <v>0.73926156533215237</v>
      </c>
      <c r="J330" s="13">
        <f>Tabl_B4_Scrap_Billet_Cut!E50</f>
        <v>3.0616949963022198E-3</v>
      </c>
    </row>
    <row r="331" spans="1:24" x14ac:dyDescent="0.2">
      <c r="A331">
        <f t="shared" si="30"/>
        <v>0</v>
      </c>
      <c r="B331">
        <f>Tabl_B4_Scrap_Billet_Cut!A51</f>
        <v>365</v>
      </c>
      <c r="D331">
        <f t="shared" si="29"/>
        <v>0.90249999999999997</v>
      </c>
      <c r="E331" s="13">
        <f>Tabl_B4_Scrap_Billet_Cut!C51</f>
        <v>7.4234519369005615E-5</v>
      </c>
      <c r="F331" s="13">
        <f t="shared" si="27"/>
        <v>7.4234519369005615E-5</v>
      </c>
      <c r="G331" t="s">
        <v>409</v>
      </c>
      <c r="I331" s="13">
        <f>Tabl_B4_Scrap_Billet_Cut!D51</f>
        <v>0.17028081080531102</v>
      </c>
      <c r="J331" s="13">
        <f>Tabl_B4_Scrap_Billet_Cut!E51</f>
        <v>7.0522793400555389E-4</v>
      </c>
    </row>
    <row r="332" spans="1:24" x14ac:dyDescent="0.2">
      <c r="A332">
        <f t="shared" si="30"/>
        <v>0</v>
      </c>
      <c r="B332">
        <f>Tabl_B4_Scrap_Billet_Cut!A52</f>
        <v>504</v>
      </c>
      <c r="D332">
        <f t="shared" si="29"/>
        <v>0.90249999999999997</v>
      </c>
      <c r="E332" s="13">
        <f>Tabl_B4_Scrap_Billet_Cut!C52</f>
        <v>2.5984534808909175E-5</v>
      </c>
      <c r="F332" s="13">
        <f t="shared" si="27"/>
        <v>2.5984534808909175E-5</v>
      </c>
      <c r="G332" t="s">
        <v>409</v>
      </c>
      <c r="I332" s="13">
        <f>Tabl_B4_Scrap_Billet_Cut!D52</f>
        <v>5.9603910596709116E-2</v>
      </c>
      <c r="J332" s="13">
        <f>Tabl_B4_Scrap_Billet_Cut!E52</f>
        <v>2.4685308068463736E-4</v>
      </c>
    </row>
    <row r="333" spans="1:24" x14ac:dyDescent="0.2">
      <c r="A333">
        <f t="shared" si="30"/>
        <v>0</v>
      </c>
      <c r="B333" t="str">
        <f>Tabl_B4_Scrap_Billet_Cut!A53</f>
        <v>7782-49-2</v>
      </c>
      <c r="D333">
        <f t="shared" si="29"/>
        <v>0.90249999999999997</v>
      </c>
      <c r="E333" s="13">
        <f>Tabl_B4_Scrap_Billet_Cut!C53</f>
        <v>0</v>
      </c>
      <c r="F333" s="13">
        <f t="shared" si="27"/>
        <v>0</v>
      </c>
      <c r="G333" t="s">
        <v>409</v>
      </c>
      <c r="I333" s="13">
        <f>Tabl_B4_Scrap_Billet_Cut!D53</f>
        <v>0</v>
      </c>
      <c r="J333" s="13">
        <f>Tabl_B4_Scrap_Billet_Cut!E53</f>
        <v>0</v>
      </c>
    </row>
    <row r="334" spans="1:24" x14ac:dyDescent="0.2">
      <c r="A334">
        <f t="shared" si="30"/>
        <v>0</v>
      </c>
      <c r="B334" t="str">
        <f>Tabl_B4_Scrap_Billet_Cut!A54</f>
        <v>7440-66-6</v>
      </c>
      <c r="D334">
        <f t="shared" si="29"/>
        <v>0.90249999999999997</v>
      </c>
      <c r="E334" s="13">
        <f>Tabl_B4_Scrap_Billet_Cut!C54</f>
        <v>8.4663015312913168E-5</v>
      </c>
      <c r="F334" s="13">
        <f t="shared" si="27"/>
        <v>8.4663015312913168E-5</v>
      </c>
      <c r="G334" t="s">
        <v>409</v>
      </c>
      <c r="I334" s="13">
        <f>Tabl_B4_Scrap_Billet_Cut!D54</f>
        <v>0.19420192944260492</v>
      </c>
      <c r="J334" s="13">
        <f>Tabl_B4_Scrap_Billet_Cut!E54</f>
        <v>8.042986454726758E-4</v>
      </c>
    </row>
    <row r="335" spans="1:24" x14ac:dyDescent="0.2">
      <c r="A335">
        <f t="shared" si="30"/>
        <v>0</v>
      </c>
      <c r="B335" t="str">
        <f>Tabl_B4_Scrap_Billet_Cut!A55</f>
        <v>7440-43-9</v>
      </c>
      <c r="D335">
        <f t="shared" si="29"/>
        <v>0.90249999999999997</v>
      </c>
      <c r="E335" s="13">
        <f>Tabl_B4_Scrap_Billet_Cut!C55</f>
        <v>0</v>
      </c>
      <c r="F335" s="13">
        <f t="shared" si="27"/>
        <v>0</v>
      </c>
      <c r="G335" t="s">
        <v>409</v>
      </c>
      <c r="I335" s="13">
        <f>Tabl_B4_Scrap_Billet_Cut!D55</f>
        <v>0</v>
      </c>
      <c r="J335" s="13">
        <f>Tabl_B4_Scrap_Billet_Cut!E55</f>
        <v>0</v>
      </c>
    </row>
    <row r="336" spans="1:24" x14ac:dyDescent="0.2">
      <c r="A336">
        <f t="shared" si="30"/>
        <v>0</v>
      </c>
      <c r="B336" t="str">
        <f>Tabl_B4_Scrap_Billet_Cut!A56</f>
        <v>7440-62-2</v>
      </c>
      <c r="D336">
        <f t="shared" si="29"/>
        <v>0.90249999999999997</v>
      </c>
      <c r="E336" s="13">
        <f>Tabl_B4_Scrap_Billet_Cut!C56</f>
        <v>5.7543489271521909E-6</v>
      </c>
      <c r="F336" s="13">
        <f t="shared" si="27"/>
        <v>5.7543489271521909E-6</v>
      </c>
      <c r="G336" t="s">
        <v>409</v>
      </c>
      <c r="I336" s="13">
        <f>Tabl_B4_Scrap_Billet_Cut!D56</f>
        <v>1.3199455041952569E-2</v>
      </c>
      <c r="J336" s="13">
        <f>Tabl_B4_Scrap_Billet_Cut!E56</f>
        <v>5.4666314807945867E-5</v>
      </c>
    </row>
    <row r="337" spans="1:24" x14ac:dyDescent="0.2">
      <c r="A337" t="str">
        <f>M$337</f>
        <v>EU-12_MELTFUG</v>
      </c>
      <c r="B337" t="str">
        <f>Tabl_B4_Scrap_Billet_Cut!A66</f>
        <v>7429-90-5</v>
      </c>
      <c r="D337">
        <v>0</v>
      </c>
      <c r="E337">
        <f>Tabl_B4_Scrap_Billet_Cut!C66</f>
        <v>9.0115021305090884E-5</v>
      </c>
      <c r="F337" s="13">
        <f t="shared" si="27"/>
        <v>9.0115021305090884E-5</v>
      </c>
      <c r="G337" t="s">
        <v>409</v>
      </c>
      <c r="I337">
        <f>Tabl_B4_Scrap_Billet_Cut!D66</f>
        <v>0.2175872246922074</v>
      </c>
      <c r="J337">
        <f>Tabl_B4_Scrap_Billet_Cut!E66</f>
        <v>9.0115021305090968E-4</v>
      </c>
      <c r="M337" t="str">
        <f>Tabl_B4_Scrap_Billet_Cut!D64</f>
        <v>EU-12_MELTFUG</v>
      </c>
      <c r="N337" t="s">
        <v>433</v>
      </c>
      <c r="O337" t="s">
        <v>413</v>
      </c>
      <c r="P337" t="s">
        <v>412</v>
      </c>
      <c r="Q337" t="s">
        <v>46</v>
      </c>
      <c r="R337" s="169" t="s">
        <v>446</v>
      </c>
      <c r="S337" s="170" t="s">
        <v>456</v>
      </c>
      <c r="T337" s="171">
        <v>38633</v>
      </c>
      <c r="U337" s="172">
        <v>48291</v>
      </c>
      <c r="V337" s="173"/>
      <c r="W337" s="171">
        <v>160</v>
      </c>
      <c r="X337" s="172">
        <v>200</v>
      </c>
    </row>
    <row r="338" spans="1:24" x14ac:dyDescent="0.2">
      <c r="A338" t="str">
        <f t="shared" ref="A338:A351" si="31">M$337</f>
        <v>EU-12_MELTFUG</v>
      </c>
      <c r="B338" t="str">
        <f>Tabl_B4_Scrap_Billet_Cut!A67</f>
        <v>7440-36-0</v>
      </c>
      <c r="D338">
        <v>0</v>
      </c>
      <c r="E338">
        <f>Tabl_B4_Scrap_Billet_Cut!C67</f>
        <v>5.1940762782501802E-6</v>
      </c>
      <c r="F338" s="13">
        <f t="shared" si="27"/>
        <v>5.1940762782501802E-6</v>
      </c>
      <c r="G338" t="s">
        <v>409</v>
      </c>
      <c r="I338">
        <f>Tabl_B4_Scrap_Billet_Cut!D67</f>
        <v>1.2541356877648985E-2</v>
      </c>
      <c r="J338">
        <f>Tabl_B4_Scrap_Billet_Cut!E67</f>
        <v>5.1940762782501849E-5</v>
      </c>
    </row>
    <row r="339" spans="1:24" x14ac:dyDescent="0.2">
      <c r="A339" t="str">
        <f t="shared" si="31"/>
        <v>EU-12_MELTFUG</v>
      </c>
      <c r="B339" t="str">
        <f>Tabl_B4_Scrap_Billet_Cut!A68</f>
        <v>7440-38-2</v>
      </c>
      <c r="D339">
        <v>0</v>
      </c>
      <c r="E339">
        <f>Tabl_B4_Scrap_Billet_Cut!C68</f>
        <v>1.5314273512706227E-5</v>
      </c>
      <c r="F339" s="13">
        <f t="shared" si="27"/>
        <v>1.5314273512706227E-5</v>
      </c>
      <c r="G339" t="s">
        <v>409</v>
      </c>
      <c r="I339">
        <f>Tabl_B4_Scrap_Billet_Cut!D68</f>
        <v>3.6977079110104852E-2</v>
      </c>
      <c r="J339">
        <f>Tabl_B4_Scrap_Billet_Cut!E68</f>
        <v>1.5314273512706241E-4</v>
      </c>
    </row>
    <row r="340" spans="1:24" x14ac:dyDescent="0.2">
      <c r="A340" t="str">
        <f t="shared" si="31"/>
        <v>EU-12_MELTFUG</v>
      </c>
      <c r="B340" t="str">
        <f>Tabl_B4_Scrap_Billet_Cut!A69</f>
        <v>7440-41-7</v>
      </c>
      <c r="D340">
        <v>0</v>
      </c>
      <c r="E340">
        <f>Tabl_B4_Scrap_Billet_Cut!C69</f>
        <v>0</v>
      </c>
      <c r="F340" s="13">
        <f t="shared" si="27"/>
        <v>0</v>
      </c>
      <c r="G340" t="s">
        <v>409</v>
      </c>
      <c r="I340">
        <f>Tabl_B4_Scrap_Billet_Cut!D69</f>
        <v>0</v>
      </c>
      <c r="J340">
        <f>Tabl_B4_Scrap_Billet_Cut!E69</f>
        <v>0</v>
      </c>
    </row>
    <row r="341" spans="1:24" x14ac:dyDescent="0.2">
      <c r="A341" t="str">
        <f t="shared" si="31"/>
        <v>EU-12_MELTFUG</v>
      </c>
      <c r="B341" t="str">
        <f>Tabl_B4_Scrap_Billet_Cut!A70</f>
        <v>18540-29-9</v>
      </c>
      <c r="D341">
        <v>0</v>
      </c>
      <c r="E341">
        <f>Tabl_B4_Scrap_Billet_Cut!C70</f>
        <v>3.2254667138700593E-5</v>
      </c>
      <c r="F341" s="13">
        <f t="shared" si="27"/>
        <v>3.2254667138700593E-5</v>
      </c>
      <c r="G341" t="s">
        <v>409</v>
      </c>
      <c r="I341">
        <f>Tabl_B4_Scrap_Billet_Cut!D70</f>
        <v>7.788050653974958E-2</v>
      </c>
      <c r="J341">
        <f>Tabl_B4_Scrap_Billet_Cut!E70</f>
        <v>3.2254667138700621E-4</v>
      </c>
    </row>
    <row r="342" spans="1:24" x14ac:dyDescent="0.2">
      <c r="A342" t="str">
        <f t="shared" si="31"/>
        <v>EU-12_MELTFUG</v>
      </c>
      <c r="B342" t="str">
        <f>Tabl_B4_Scrap_Billet_Cut!A71</f>
        <v>7440-48-4</v>
      </c>
      <c r="D342">
        <v>0</v>
      </c>
      <c r="E342">
        <f>Tabl_B4_Scrap_Billet_Cut!C71</f>
        <v>7.3514260302389135E-6</v>
      </c>
      <c r="F342" s="13">
        <f t="shared" si="27"/>
        <v>7.3514260302389135E-6</v>
      </c>
      <c r="G342" t="s">
        <v>409</v>
      </c>
      <c r="I342">
        <f>Tabl_B4_Scrap_Billet_Cut!D71</f>
        <v>1.7750385721313384E-2</v>
      </c>
      <c r="J342">
        <f>Tabl_B4_Scrap_Billet_Cut!E71</f>
        <v>7.3514260302389209E-5</v>
      </c>
    </row>
    <row r="343" spans="1:24" x14ac:dyDescent="0.2">
      <c r="A343" t="str">
        <f t="shared" si="31"/>
        <v>EU-12_MELTFUG</v>
      </c>
      <c r="B343" t="str">
        <f>Tabl_B4_Scrap_Billet_Cut!A72</f>
        <v>7440-50-8</v>
      </c>
      <c r="D343">
        <v>0</v>
      </c>
      <c r="E343">
        <f>Tabl_B4_Scrap_Billet_Cut!C72</f>
        <v>4.8196960480493504E-4</v>
      </c>
      <c r="F343" s="13">
        <f t="shared" si="27"/>
        <v>4.8196960480493504E-4</v>
      </c>
      <c r="G343" t="s">
        <v>409</v>
      </c>
      <c r="I343">
        <f>Tabl_B4_Scrap_Billet_Cut!D72</f>
        <v>1.1637397092817567</v>
      </c>
      <c r="J343">
        <f>Tabl_B4_Scrap_Billet_Cut!E72</f>
        <v>4.8196960480493545E-3</v>
      </c>
    </row>
    <row r="344" spans="1:24" x14ac:dyDescent="0.2">
      <c r="A344" t="str">
        <f t="shared" si="31"/>
        <v>EU-12_MELTFUG</v>
      </c>
      <c r="B344" t="str">
        <f>Tabl_B4_Scrap_Billet_Cut!A73</f>
        <v>7439-92-1</v>
      </c>
      <c r="D344">
        <v>0</v>
      </c>
      <c r="E344">
        <f>Tabl_B4_Scrap_Billet_Cut!C73</f>
        <v>1.7518974565717735E-5</v>
      </c>
      <c r="F344" s="13">
        <f t="shared" si="27"/>
        <v>1.7518974565717735E-5</v>
      </c>
      <c r="G344" t="s">
        <v>409</v>
      </c>
      <c r="I344">
        <f>Tabl_B4_Scrap_Billet_Cut!D73</f>
        <v>4.2300440037653798E-2</v>
      </c>
      <c r="J344">
        <f>Tabl_B4_Scrap_Billet_Cut!E73</f>
        <v>1.7518974565717752E-4</v>
      </c>
    </row>
    <row r="345" spans="1:24" x14ac:dyDescent="0.2">
      <c r="A345" t="str">
        <f t="shared" si="31"/>
        <v>EU-12_MELTFUG</v>
      </c>
      <c r="B345" t="str">
        <f>Tabl_B4_Scrap_Billet_Cut!A74</f>
        <v>7439-96-5</v>
      </c>
      <c r="D345">
        <v>0</v>
      </c>
      <c r="E345">
        <f>Tabl_B4_Scrap_Billet_Cut!C74</f>
        <v>3.2228368382128598E-4</v>
      </c>
      <c r="F345" s="13">
        <f t="shared" si="27"/>
        <v>3.2228368382128598E-4</v>
      </c>
      <c r="G345" t="s">
        <v>409</v>
      </c>
      <c r="I345">
        <f>Tabl_B4_Scrap_Billet_Cut!D74</f>
        <v>0.77817006877068673</v>
      </c>
      <c r="J345">
        <f>Tabl_B4_Scrap_Billet_Cut!E74</f>
        <v>3.222836838212863E-3</v>
      </c>
    </row>
    <row r="346" spans="1:24" x14ac:dyDescent="0.2">
      <c r="A346" t="str">
        <f t="shared" si="31"/>
        <v>EU-12_MELTFUG</v>
      </c>
      <c r="B346">
        <f>Tabl_B4_Scrap_Billet_Cut!A75</f>
        <v>365</v>
      </c>
      <c r="D346">
        <v>0</v>
      </c>
      <c r="E346">
        <f>Tabl_B4_Scrap_Billet_Cut!C75</f>
        <v>7.4234519369005615E-5</v>
      </c>
      <c r="F346" s="13">
        <f t="shared" si="27"/>
        <v>7.4234519369005615E-5</v>
      </c>
      <c r="G346" t="s">
        <v>409</v>
      </c>
      <c r="I346">
        <f>Tabl_B4_Scrap_Billet_Cut!D75</f>
        <v>0.17924295874243265</v>
      </c>
      <c r="J346">
        <f>Tabl_B4_Scrap_Billet_Cut!E75</f>
        <v>7.4234519369005677E-4</v>
      </c>
    </row>
    <row r="347" spans="1:24" x14ac:dyDescent="0.2">
      <c r="A347" t="str">
        <f t="shared" si="31"/>
        <v>EU-12_MELTFUG</v>
      </c>
      <c r="B347">
        <f>Tabl_B4_Scrap_Billet_Cut!A76</f>
        <v>504</v>
      </c>
      <c r="D347">
        <v>0</v>
      </c>
      <c r="E347">
        <f>Tabl_B4_Scrap_Billet_Cut!C76</f>
        <v>2.5984534808909175E-5</v>
      </c>
      <c r="F347" s="13">
        <f t="shared" si="27"/>
        <v>2.5984534808909175E-5</v>
      </c>
      <c r="G347" t="s">
        <v>409</v>
      </c>
      <c r="I347">
        <f>Tabl_B4_Scrap_Billet_Cut!D76</f>
        <v>6.2740958522851706E-2</v>
      </c>
      <c r="J347">
        <f>Tabl_B4_Scrap_Billet_Cut!E76</f>
        <v>2.5984534808909198E-4</v>
      </c>
    </row>
    <row r="348" spans="1:24" x14ac:dyDescent="0.2">
      <c r="A348" t="str">
        <f t="shared" si="31"/>
        <v>EU-12_MELTFUG</v>
      </c>
      <c r="B348" t="str">
        <f>Tabl_B4_Scrap_Billet_Cut!A77</f>
        <v>7782-49-2</v>
      </c>
      <c r="D348">
        <v>0</v>
      </c>
      <c r="E348">
        <f>Tabl_B4_Scrap_Billet_Cut!C77</f>
        <v>0</v>
      </c>
      <c r="F348" s="13">
        <f t="shared" si="27"/>
        <v>0</v>
      </c>
      <c r="G348" t="s">
        <v>409</v>
      </c>
      <c r="I348">
        <f>Tabl_B4_Scrap_Billet_Cut!D77</f>
        <v>0</v>
      </c>
      <c r="J348">
        <f>Tabl_B4_Scrap_Billet_Cut!E77</f>
        <v>0</v>
      </c>
    </row>
    <row r="349" spans="1:24" x14ac:dyDescent="0.2">
      <c r="A349" t="str">
        <f t="shared" si="31"/>
        <v>EU-12_MELTFUG</v>
      </c>
      <c r="B349" t="str">
        <f>Tabl_B4_Scrap_Billet_Cut!A78</f>
        <v>7440-66-6</v>
      </c>
      <c r="D349">
        <v>0</v>
      </c>
      <c r="E349">
        <f>Tabl_B4_Scrap_Billet_Cut!C78</f>
        <v>8.4663015312913168E-5</v>
      </c>
      <c r="F349" s="13">
        <f t="shared" si="27"/>
        <v>8.4663015312913168E-5</v>
      </c>
      <c r="G349" t="s">
        <v>409</v>
      </c>
      <c r="I349">
        <f>Tabl_B4_Scrap_Billet_Cut!D78</f>
        <v>0.20442308362379466</v>
      </c>
      <c r="J349">
        <f>Tabl_B4_Scrap_Billet_Cut!E78</f>
        <v>8.4663015312913244E-4</v>
      </c>
    </row>
    <row r="350" spans="1:24" x14ac:dyDescent="0.2">
      <c r="A350" t="str">
        <f t="shared" si="31"/>
        <v>EU-12_MELTFUG</v>
      </c>
      <c r="B350" t="str">
        <f>Tabl_B4_Scrap_Billet_Cut!A79</f>
        <v>7440-43-9</v>
      </c>
      <c r="D350">
        <v>0</v>
      </c>
      <c r="E350">
        <f>Tabl_B4_Scrap_Billet_Cut!C79</f>
        <v>0</v>
      </c>
      <c r="F350" s="13">
        <f t="shared" si="27"/>
        <v>0</v>
      </c>
      <c r="G350" t="s">
        <v>409</v>
      </c>
      <c r="I350">
        <f>Tabl_B4_Scrap_Billet_Cut!D79</f>
        <v>0</v>
      </c>
      <c r="J350">
        <f>Tabl_B4_Scrap_Billet_Cut!E79</f>
        <v>0</v>
      </c>
    </row>
    <row r="351" spans="1:24" x14ac:dyDescent="0.2">
      <c r="A351" t="str">
        <f t="shared" si="31"/>
        <v>EU-12_MELTFUG</v>
      </c>
      <c r="B351" t="str">
        <f>Tabl_B4_Scrap_Billet_Cut!A80</f>
        <v>7440-62-2</v>
      </c>
      <c r="D351">
        <v>0</v>
      </c>
      <c r="E351">
        <f>Tabl_B4_Scrap_Billet_Cut!C80</f>
        <v>5.7543489271521909E-6</v>
      </c>
      <c r="F351" s="13">
        <f t="shared" si="27"/>
        <v>5.7543489271521909E-6</v>
      </c>
      <c r="G351" t="s">
        <v>409</v>
      </c>
      <c r="I351">
        <f>Tabl_B4_Scrap_Billet_Cut!D80</f>
        <v>1.3894163202055335E-2</v>
      </c>
      <c r="J351">
        <f>Tabl_B4_Scrap_Billet_Cut!E80</f>
        <v>5.7543489271521967E-5</v>
      </c>
    </row>
    <row r="352" spans="1:24" x14ac:dyDescent="0.2">
      <c r="A352">
        <f>M$352</f>
        <v>0</v>
      </c>
      <c r="B352" t="str">
        <f>Tabl_B4_Scrap_Billet_Cut!A87</f>
        <v>71-43-2</v>
      </c>
      <c r="D352">
        <v>0</v>
      </c>
      <c r="E352">
        <f>Tabl_B4_Scrap_Billet_Cut!C87</f>
        <v>8.0000000000000002E-3</v>
      </c>
      <c r="F352" s="13">
        <f t="shared" si="27"/>
        <v>8.0000000000000002E-3</v>
      </c>
      <c r="G352" t="s">
        <v>408</v>
      </c>
      <c r="I352">
        <f>Tabl_B4_Scrap_Billet_Cut!D87</f>
        <v>4.4041392000000002E-4</v>
      </c>
      <c r="J352">
        <f>Tabl_B4_Scrap_Billet_Cut!E87</f>
        <v>1.8239999999999998E-6</v>
      </c>
      <c r="M352">
        <f>Tabl_B4_Scrap_Billet_Cut!D85</f>
        <v>0</v>
      </c>
      <c r="N352" t="s">
        <v>435</v>
      </c>
      <c r="O352" t="s">
        <v>414</v>
      </c>
      <c r="P352" t="s">
        <v>410</v>
      </c>
      <c r="Q352" t="s">
        <v>335</v>
      </c>
      <c r="R352" s="169" t="s">
        <v>443</v>
      </c>
      <c r="S352" s="170" t="s">
        <v>444</v>
      </c>
      <c r="T352" s="171">
        <v>46359</v>
      </c>
      <c r="U352" s="172">
        <v>57949</v>
      </c>
      <c r="V352" s="173"/>
      <c r="W352" s="171">
        <v>192</v>
      </c>
      <c r="X352" s="172">
        <v>240</v>
      </c>
    </row>
    <row r="353" spans="1:24" x14ac:dyDescent="0.2">
      <c r="A353">
        <f t="shared" ref="A353:A366" si="32">M$352</f>
        <v>0</v>
      </c>
      <c r="B353" t="str">
        <f>Tabl_B4_Scrap_Billet_Cut!A88</f>
        <v>50-00-0</v>
      </c>
      <c r="D353">
        <v>0</v>
      </c>
      <c r="E353">
        <f>Tabl_B4_Scrap_Billet_Cut!C88</f>
        <v>1.7000000000000001E-2</v>
      </c>
      <c r="F353" s="13">
        <f t="shared" si="27"/>
        <v>1.7000000000000001E-2</v>
      </c>
      <c r="G353" t="s">
        <v>408</v>
      </c>
      <c r="I353">
        <f>Tabl_B4_Scrap_Billet_Cut!D88</f>
        <v>9.3587957999999999E-4</v>
      </c>
      <c r="J353">
        <f>Tabl_B4_Scrap_Billet_Cut!E88</f>
        <v>3.8759999999999998E-6</v>
      </c>
    </row>
    <row r="354" spans="1:24" x14ac:dyDescent="0.2">
      <c r="A354">
        <f t="shared" si="32"/>
        <v>0</v>
      </c>
      <c r="B354">
        <f>Tabl_B4_Scrap_Billet_Cut!A89</f>
        <v>401</v>
      </c>
      <c r="D354">
        <v>0</v>
      </c>
      <c r="E354">
        <f>Tabl_B4_Scrap_Billet_Cut!C89</f>
        <v>1E-4</v>
      </c>
      <c r="F354" s="13">
        <f t="shared" si="27"/>
        <v>1E-4</v>
      </c>
      <c r="G354" t="s">
        <v>408</v>
      </c>
      <c r="I354">
        <f>Tabl_B4_Scrap_Billet_Cut!D89</f>
        <v>5.505174E-6</v>
      </c>
      <c r="J354">
        <f>Tabl_B4_Scrap_Billet_Cut!E89</f>
        <v>2.2799999999999999E-8</v>
      </c>
    </row>
    <row r="355" spans="1:24" x14ac:dyDescent="0.2">
      <c r="A355">
        <f t="shared" si="32"/>
        <v>0</v>
      </c>
      <c r="B355" t="str">
        <f>Tabl_B4_Scrap_Billet_Cut!A90</f>
        <v>50-32-8</v>
      </c>
      <c r="D355">
        <v>0</v>
      </c>
      <c r="E355">
        <f>Tabl_B4_Scrap_Billet_Cut!C90</f>
        <v>1.1999999999999999E-6</v>
      </c>
      <c r="F355" s="13">
        <f t="shared" si="27"/>
        <v>1.1999999999999999E-6</v>
      </c>
      <c r="G355" t="s">
        <v>408</v>
      </c>
      <c r="I355">
        <f>Tabl_B4_Scrap_Billet_Cut!D90</f>
        <v>6.6062088000000001E-8</v>
      </c>
      <c r="J355">
        <f>Tabl_B4_Scrap_Billet_Cut!E90</f>
        <v>2.7359999999999997E-10</v>
      </c>
    </row>
    <row r="356" spans="1:24" x14ac:dyDescent="0.2">
      <c r="A356">
        <f t="shared" si="32"/>
        <v>0</v>
      </c>
      <c r="B356" t="str">
        <f>Tabl_B4_Scrap_Billet_Cut!A91</f>
        <v>91-20-3</v>
      </c>
      <c r="D356">
        <v>0</v>
      </c>
      <c r="E356">
        <f>Tabl_B4_Scrap_Billet_Cut!C91</f>
        <v>2.9999999999999997E-4</v>
      </c>
      <c r="F356" s="13">
        <f t="shared" si="27"/>
        <v>2.9999999999999997E-4</v>
      </c>
      <c r="G356" t="s">
        <v>408</v>
      </c>
      <c r="I356">
        <f>Tabl_B4_Scrap_Billet_Cut!D91</f>
        <v>1.6515521999999998E-5</v>
      </c>
      <c r="J356">
        <f>Tabl_B4_Scrap_Billet_Cut!E91</f>
        <v>6.839999999999999E-8</v>
      </c>
    </row>
    <row r="357" spans="1:24" x14ac:dyDescent="0.2">
      <c r="A357">
        <f t="shared" si="32"/>
        <v>0</v>
      </c>
      <c r="B357" t="str">
        <f>Tabl_B4_Scrap_Billet_Cut!A92</f>
        <v>75-07-0</v>
      </c>
      <c r="D357">
        <v>0</v>
      </c>
      <c r="E357">
        <f>Tabl_B4_Scrap_Billet_Cut!C92</f>
        <v>4.3E-3</v>
      </c>
      <c r="F357" s="13">
        <f t="shared" ref="F357:F381" si="33">E357</f>
        <v>4.3E-3</v>
      </c>
      <c r="G357" t="s">
        <v>408</v>
      </c>
      <c r="I357">
        <f>Tabl_B4_Scrap_Billet_Cut!D92</f>
        <v>2.3672248199999997E-4</v>
      </c>
      <c r="J357">
        <f>Tabl_B4_Scrap_Billet_Cut!E92</f>
        <v>9.8039999999999996E-7</v>
      </c>
    </row>
    <row r="358" spans="1:24" x14ac:dyDescent="0.2">
      <c r="A358">
        <f t="shared" si="32"/>
        <v>0</v>
      </c>
      <c r="B358" t="str">
        <f>Tabl_B4_Scrap_Billet_Cut!A93</f>
        <v>107-02-8</v>
      </c>
      <c r="D358">
        <v>0</v>
      </c>
      <c r="E358">
        <f>Tabl_B4_Scrap_Billet_Cut!C93</f>
        <v>2.7000000000000001E-3</v>
      </c>
      <c r="F358" s="13">
        <f t="shared" si="33"/>
        <v>2.7000000000000001E-3</v>
      </c>
      <c r="G358" t="s">
        <v>408</v>
      </c>
      <c r="I358">
        <f>Tabl_B4_Scrap_Billet_Cut!D93</f>
        <v>1.4863969800000003E-4</v>
      </c>
      <c r="J358">
        <f>Tabl_B4_Scrap_Billet_Cut!E93</f>
        <v>6.1559999999999998E-7</v>
      </c>
    </row>
    <row r="359" spans="1:24" x14ac:dyDescent="0.2">
      <c r="A359">
        <f t="shared" si="32"/>
        <v>0</v>
      </c>
      <c r="B359" t="str">
        <f>Tabl_B4_Scrap_Billet_Cut!A94</f>
        <v>7664-41-7</v>
      </c>
      <c r="D359">
        <v>0</v>
      </c>
      <c r="E359">
        <f>Tabl_B4_Scrap_Billet_Cut!C94</f>
        <v>18</v>
      </c>
      <c r="F359" s="13">
        <f t="shared" si="33"/>
        <v>18</v>
      </c>
      <c r="G359" t="s">
        <v>408</v>
      </c>
      <c r="I359">
        <f>Tabl_B4_Scrap_Billet_Cut!D94</f>
        <v>0.99093132000000006</v>
      </c>
      <c r="J359">
        <f>Tabl_B4_Scrap_Billet_Cut!E94</f>
        <v>4.104E-3</v>
      </c>
    </row>
    <row r="360" spans="1:24" x14ac:dyDescent="0.2">
      <c r="A360">
        <f t="shared" si="32"/>
        <v>0</v>
      </c>
      <c r="B360" t="str">
        <f>Tabl_B4_Scrap_Billet_Cut!A95</f>
        <v>7440-39-3</v>
      </c>
      <c r="D360">
        <v>0</v>
      </c>
      <c r="E360">
        <f>Tabl_B4_Scrap_Billet_Cut!C95</f>
        <v>4.4000000000000003E-3</v>
      </c>
      <c r="F360" s="13">
        <f t="shared" si="33"/>
        <v>4.4000000000000003E-3</v>
      </c>
      <c r="G360" t="s">
        <v>408</v>
      </c>
      <c r="I360">
        <f>Tabl_B4_Scrap_Billet_Cut!D95</f>
        <v>2.4222765600000003E-4</v>
      </c>
      <c r="J360">
        <f>Tabl_B4_Scrap_Billet_Cut!E95</f>
        <v>1.0032E-6</v>
      </c>
    </row>
    <row r="361" spans="1:24" x14ac:dyDescent="0.2">
      <c r="A361">
        <f t="shared" si="32"/>
        <v>0</v>
      </c>
      <c r="B361" t="str">
        <f>Tabl_B4_Scrap_Billet_Cut!A96</f>
        <v>100-41-4</v>
      </c>
      <c r="D361">
        <v>0</v>
      </c>
      <c r="E361">
        <f>Tabl_B4_Scrap_Billet_Cut!C96</f>
        <v>9.4999999999999998E-3</v>
      </c>
      <c r="F361" s="13">
        <f t="shared" si="33"/>
        <v>9.4999999999999998E-3</v>
      </c>
      <c r="G361" t="s">
        <v>408</v>
      </c>
      <c r="I361">
        <f>Tabl_B4_Scrap_Billet_Cut!D96</f>
        <v>5.2299153000000004E-4</v>
      </c>
      <c r="J361">
        <f>Tabl_B4_Scrap_Billet_Cut!E96</f>
        <v>2.1659999999999997E-6</v>
      </c>
    </row>
    <row r="362" spans="1:24" x14ac:dyDescent="0.2">
      <c r="A362">
        <f t="shared" si="32"/>
        <v>0</v>
      </c>
      <c r="B362" t="str">
        <f>Tabl_B4_Scrap_Billet_Cut!A97</f>
        <v>110-54-3</v>
      </c>
      <c r="D362">
        <v>0</v>
      </c>
      <c r="E362">
        <f>Tabl_B4_Scrap_Billet_Cut!C97</f>
        <v>6.3E-3</v>
      </c>
      <c r="F362" s="13">
        <f t="shared" si="33"/>
        <v>6.3E-3</v>
      </c>
      <c r="G362" t="s">
        <v>408</v>
      </c>
      <c r="I362">
        <f>Tabl_B4_Scrap_Billet_Cut!D97</f>
        <v>3.4682596200000005E-4</v>
      </c>
      <c r="J362">
        <f>Tabl_B4_Scrap_Billet_Cut!E97</f>
        <v>1.4363999999999999E-6</v>
      </c>
    </row>
    <row r="363" spans="1:24" x14ac:dyDescent="0.2">
      <c r="A363">
        <f t="shared" si="32"/>
        <v>0</v>
      </c>
      <c r="B363" t="str">
        <f>Tabl_B4_Scrap_Billet_Cut!A98</f>
        <v>7439-97-6</v>
      </c>
      <c r="D363">
        <v>0</v>
      </c>
      <c r="E363">
        <f>Tabl_B4_Scrap_Billet_Cut!C98</f>
        <v>2.5999999999999998E-4</v>
      </c>
      <c r="F363" s="13">
        <f t="shared" si="33"/>
        <v>2.5999999999999998E-4</v>
      </c>
      <c r="G363" t="s">
        <v>408</v>
      </c>
      <c r="I363">
        <f>Tabl_B4_Scrap_Billet_Cut!D98</f>
        <v>1.4313452399999998E-5</v>
      </c>
      <c r="J363">
        <f>Tabl_B4_Scrap_Billet_Cut!E98</f>
        <v>5.9279999999999999E-8</v>
      </c>
    </row>
    <row r="364" spans="1:24" x14ac:dyDescent="0.2">
      <c r="A364">
        <f t="shared" si="32"/>
        <v>0</v>
      </c>
      <c r="B364" t="str">
        <f>Tabl_B4_Scrap_Billet_Cut!A99</f>
        <v>1313-27-5</v>
      </c>
      <c r="D364">
        <v>0</v>
      </c>
      <c r="E364">
        <f>Tabl_B4_Scrap_Billet_Cut!C99</f>
        <v>1.65E-3</v>
      </c>
      <c r="F364" s="13">
        <f t="shared" si="33"/>
        <v>1.65E-3</v>
      </c>
      <c r="G364" t="s">
        <v>408</v>
      </c>
      <c r="I364">
        <f>Tabl_B4_Scrap_Billet_Cut!D99</f>
        <v>9.0835371000000002E-5</v>
      </c>
      <c r="J364">
        <f>Tabl_B4_Scrap_Billet_Cut!E99</f>
        <v>3.7619999999999999E-7</v>
      </c>
    </row>
    <row r="365" spans="1:24" x14ac:dyDescent="0.2">
      <c r="A365">
        <f t="shared" si="32"/>
        <v>0</v>
      </c>
      <c r="B365" t="str">
        <f>Tabl_B4_Scrap_Billet_Cut!A100</f>
        <v>108-88-3</v>
      </c>
      <c r="D365">
        <v>0</v>
      </c>
      <c r="E365">
        <f>Tabl_B4_Scrap_Billet_Cut!C100</f>
        <v>3.6600000000000001E-2</v>
      </c>
      <c r="F365" s="13">
        <f t="shared" si="33"/>
        <v>3.6600000000000001E-2</v>
      </c>
      <c r="G365" t="s">
        <v>408</v>
      </c>
      <c r="I365">
        <f>Tabl_B4_Scrap_Billet_Cut!D100</f>
        <v>2.0148936840000001E-3</v>
      </c>
      <c r="J365">
        <f>Tabl_B4_Scrap_Billet_Cut!E100</f>
        <v>8.3448000000000001E-6</v>
      </c>
    </row>
    <row r="366" spans="1:24" x14ac:dyDescent="0.2">
      <c r="A366">
        <f t="shared" si="32"/>
        <v>0</v>
      </c>
      <c r="B366" t="str">
        <f>Tabl_B4_Scrap_Billet_Cut!A101</f>
        <v>1330-20-7</v>
      </c>
      <c r="D366">
        <v>0</v>
      </c>
      <c r="E366">
        <f>Tabl_B4_Scrap_Billet_Cut!C101</f>
        <v>2.7199999999999998E-2</v>
      </c>
      <c r="F366" s="13">
        <f t="shared" si="33"/>
        <v>2.7199999999999998E-2</v>
      </c>
      <c r="G366" t="s">
        <v>408</v>
      </c>
      <c r="I366">
        <f>Tabl_B4_Scrap_Billet_Cut!D101</f>
        <v>1.4974073279999999E-3</v>
      </c>
      <c r="J366">
        <f>Tabl_B4_Scrap_Billet_Cut!E101</f>
        <v>6.2015999999999992E-6</v>
      </c>
    </row>
    <row r="367" spans="1:24" x14ac:dyDescent="0.2">
      <c r="A367" t="str">
        <f>M$367</f>
        <v>EU-12ng_MELTFUG</v>
      </c>
      <c r="B367" t="str">
        <f>Tabl_B4_Scrap_Billet_Cut!A115</f>
        <v>71-43-2</v>
      </c>
      <c r="D367">
        <v>0</v>
      </c>
      <c r="E367">
        <f>Tabl_B4_Scrap_Billet_Cut!C115</f>
        <v>8.0000000000000002E-3</v>
      </c>
      <c r="F367" s="13">
        <f t="shared" si="33"/>
        <v>8.0000000000000002E-3</v>
      </c>
      <c r="G367" t="s">
        <v>408</v>
      </c>
      <c r="I367">
        <f>Tabl_B4_Scrap_Billet_Cut!D115</f>
        <v>2.3179680000000023E-5</v>
      </c>
      <c r="J367">
        <f>Tabl_B4_Scrap_Billet_Cut!E115</f>
        <v>9.6000000000000079E-8</v>
      </c>
      <c r="M367" t="str">
        <f>Tabl_B4_Scrap_Billet_Cut!D113</f>
        <v>EU-12ng_MELTFUG</v>
      </c>
      <c r="N367" t="s">
        <v>436</v>
      </c>
      <c r="O367" t="s">
        <v>413</v>
      </c>
      <c r="P367" t="s">
        <v>412</v>
      </c>
      <c r="Q367" t="s">
        <v>46</v>
      </c>
      <c r="R367" s="169" t="s">
        <v>443</v>
      </c>
      <c r="S367" s="170" t="s">
        <v>444</v>
      </c>
      <c r="T367" s="171">
        <v>46359</v>
      </c>
      <c r="U367" s="172">
        <v>57949</v>
      </c>
      <c r="V367" s="173"/>
      <c r="W367" s="171">
        <v>192</v>
      </c>
      <c r="X367" s="172">
        <v>240</v>
      </c>
    </row>
    <row r="368" spans="1:24" x14ac:dyDescent="0.2">
      <c r="A368" t="str">
        <f t="shared" ref="A368:A381" si="34">M$367</f>
        <v>EU-12ng_MELTFUG</v>
      </c>
      <c r="B368" t="str">
        <f>Tabl_B4_Scrap_Billet_Cut!A116</f>
        <v>50-00-0</v>
      </c>
      <c r="D368">
        <v>0</v>
      </c>
      <c r="E368">
        <f>Tabl_B4_Scrap_Billet_Cut!C116</f>
        <v>1.7000000000000001E-2</v>
      </c>
      <c r="F368" s="13">
        <f t="shared" si="33"/>
        <v>1.7000000000000001E-2</v>
      </c>
      <c r="G368" t="s">
        <v>408</v>
      </c>
      <c r="I368">
        <f>Tabl_B4_Scrap_Billet_Cut!D116</f>
        <v>4.9256820000000048E-5</v>
      </c>
      <c r="J368">
        <f>Tabl_B4_Scrap_Billet_Cut!E116</f>
        <v>2.0400000000000019E-7</v>
      </c>
    </row>
    <row r="369" spans="1:25" x14ac:dyDescent="0.2">
      <c r="A369" t="str">
        <f t="shared" si="34"/>
        <v>EU-12ng_MELTFUG</v>
      </c>
      <c r="B369">
        <f>Tabl_B4_Scrap_Billet_Cut!A117</f>
        <v>401</v>
      </c>
      <c r="D369">
        <v>0</v>
      </c>
      <c r="E369">
        <f>Tabl_B4_Scrap_Billet_Cut!C117</f>
        <v>1E-4</v>
      </c>
      <c r="F369" s="13">
        <f t="shared" si="33"/>
        <v>1E-4</v>
      </c>
      <c r="G369" t="s">
        <v>408</v>
      </c>
      <c r="I369">
        <f>Tabl_B4_Scrap_Billet_Cut!D117</f>
        <v>2.8974600000000027E-7</v>
      </c>
      <c r="J369">
        <f>Tabl_B4_Scrap_Billet_Cut!E117</f>
        <v>1.200000000000001E-9</v>
      </c>
    </row>
    <row r="370" spans="1:25" x14ac:dyDescent="0.2">
      <c r="A370" t="str">
        <f t="shared" si="34"/>
        <v>EU-12ng_MELTFUG</v>
      </c>
      <c r="B370" t="str">
        <f>Tabl_B4_Scrap_Billet_Cut!A118</f>
        <v>50-32-8</v>
      </c>
      <c r="D370">
        <v>0</v>
      </c>
      <c r="E370">
        <f>Tabl_B4_Scrap_Billet_Cut!C118</f>
        <v>1.1999999999999999E-6</v>
      </c>
      <c r="F370" s="13">
        <f t="shared" si="33"/>
        <v>1.1999999999999999E-6</v>
      </c>
      <c r="G370" t="s">
        <v>408</v>
      </c>
      <c r="I370">
        <f>Tabl_B4_Scrap_Billet_Cut!D118</f>
        <v>3.4769520000000028E-9</v>
      </c>
      <c r="J370">
        <f>Tabl_B4_Scrap_Billet_Cut!E118</f>
        <v>1.4400000000000013E-11</v>
      </c>
    </row>
    <row r="371" spans="1:25" x14ac:dyDescent="0.2">
      <c r="A371" t="str">
        <f t="shared" si="34"/>
        <v>EU-12ng_MELTFUG</v>
      </c>
      <c r="B371" t="str">
        <f>Tabl_B4_Scrap_Billet_Cut!A119</f>
        <v>91-20-3</v>
      </c>
      <c r="D371">
        <v>0</v>
      </c>
      <c r="E371">
        <f>Tabl_B4_Scrap_Billet_Cut!C119</f>
        <v>2.9999999999999997E-4</v>
      </c>
      <c r="F371" s="13">
        <f t="shared" si="33"/>
        <v>2.9999999999999997E-4</v>
      </c>
      <c r="G371" t="s">
        <v>408</v>
      </c>
      <c r="I371">
        <f>Tabl_B4_Scrap_Billet_Cut!D119</f>
        <v>8.6923800000000081E-7</v>
      </c>
      <c r="J371">
        <f>Tabl_B4_Scrap_Billet_Cut!E119</f>
        <v>3.6000000000000029E-9</v>
      </c>
    </row>
    <row r="372" spans="1:25" x14ac:dyDescent="0.2">
      <c r="A372" t="str">
        <f t="shared" si="34"/>
        <v>EU-12ng_MELTFUG</v>
      </c>
      <c r="B372" t="str">
        <f>Tabl_B4_Scrap_Billet_Cut!A120</f>
        <v>75-07-0</v>
      </c>
      <c r="D372">
        <v>0</v>
      </c>
      <c r="E372">
        <f>Tabl_B4_Scrap_Billet_Cut!C120</f>
        <v>4.3E-3</v>
      </c>
      <c r="F372" s="13">
        <f t="shared" si="33"/>
        <v>4.3E-3</v>
      </c>
      <c r="G372" t="s">
        <v>408</v>
      </c>
      <c r="I372">
        <f>Tabl_B4_Scrap_Billet_Cut!D120</f>
        <v>1.2459078000000011E-5</v>
      </c>
      <c r="J372">
        <f>Tabl_B4_Scrap_Billet_Cut!E120</f>
        <v>5.1600000000000045E-8</v>
      </c>
    </row>
    <row r="373" spans="1:25" x14ac:dyDescent="0.2">
      <c r="A373" t="str">
        <f t="shared" si="34"/>
        <v>EU-12ng_MELTFUG</v>
      </c>
      <c r="B373" t="str">
        <f>Tabl_B4_Scrap_Billet_Cut!A121</f>
        <v>107-02-8</v>
      </c>
      <c r="D373">
        <v>0</v>
      </c>
      <c r="E373">
        <f>Tabl_B4_Scrap_Billet_Cut!C121</f>
        <v>2.7000000000000001E-3</v>
      </c>
      <c r="F373" s="13">
        <f t="shared" si="33"/>
        <v>2.7000000000000001E-3</v>
      </c>
      <c r="G373" t="s">
        <v>408</v>
      </c>
      <c r="I373">
        <f>Tabl_B4_Scrap_Billet_Cut!D121</f>
        <v>7.8231420000000097E-6</v>
      </c>
      <c r="J373">
        <f>Tabl_B4_Scrap_Billet_Cut!E121</f>
        <v>3.2400000000000025E-8</v>
      </c>
    </row>
    <row r="374" spans="1:25" x14ac:dyDescent="0.2">
      <c r="A374" t="str">
        <f t="shared" si="34"/>
        <v>EU-12ng_MELTFUG</v>
      </c>
      <c r="B374" t="str">
        <f>Tabl_B4_Scrap_Billet_Cut!A122</f>
        <v>7664-41-7</v>
      </c>
      <c r="D374">
        <v>0</v>
      </c>
      <c r="E374">
        <f>Tabl_B4_Scrap_Billet_Cut!C122</f>
        <v>18</v>
      </c>
      <c r="F374" s="13">
        <f t="shared" si="33"/>
        <v>18</v>
      </c>
      <c r="G374" t="s">
        <v>408</v>
      </c>
      <c r="I374">
        <f>Tabl_B4_Scrap_Billet_Cut!D122</f>
        <v>5.2154280000000053E-2</v>
      </c>
      <c r="J374">
        <f>Tabl_B4_Scrap_Billet_Cut!E122</f>
        <v>2.1600000000000018E-4</v>
      </c>
    </row>
    <row r="375" spans="1:25" x14ac:dyDescent="0.2">
      <c r="A375" t="str">
        <f t="shared" si="34"/>
        <v>EU-12ng_MELTFUG</v>
      </c>
      <c r="B375" t="str">
        <f>Tabl_B4_Scrap_Billet_Cut!A123</f>
        <v>7440-39-3</v>
      </c>
      <c r="D375">
        <v>0</v>
      </c>
      <c r="E375">
        <f>Tabl_B4_Scrap_Billet_Cut!C123</f>
        <v>4.4000000000000003E-3</v>
      </c>
      <c r="F375" s="13">
        <f t="shared" si="33"/>
        <v>4.4000000000000003E-3</v>
      </c>
      <c r="G375" t="s">
        <v>408</v>
      </c>
      <c r="I375">
        <f>Tabl_B4_Scrap_Billet_Cut!D123</f>
        <v>1.2748824000000013E-5</v>
      </c>
      <c r="J375">
        <f>Tabl_B4_Scrap_Billet_Cut!E123</f>
        <v>5.2800000000000056E-8</v>
      </c>
    </row>
    <row r="376" spans="1:25" x14ac:dyDescent="0.2">
      <c r="A376" t="str">
        <f t="shared" si="34"/>
        <v>EU-12ng_MELTFUG</v>
      </c>
      <c r="B376" t="str">
        <f>Tabl_B4_Scrap_Billet_Cut!A124</f>
        <v>100-41-4</v>
      </c>
      <c r="D376">
        <v>0</v>
      </c>
      <c r="E376">
        <f>Tabl_B4_Scrap_Billet_Cut!C124</f>
        <v>9.4999999999999998E-3</v>
      </c>
      <c r="F376" s="13">
        <f t="shared" si="33"/>
        <v>9.4999999999999998E-3</v>
      </c>
      <c r="G376" t="s">
        <v>408</v>
      </c>
      <c r="I376">
        <f>Tabl_B4_Scrap_Billet_Cut!D124</f>
        <v>2.7525870000000029E-5</v>
      </c>
      <c r="J376">
        <f>Tabl_B4_Scrap_Billet_Cut!E124</f>
        <v>1.1400000000000009E-7</v>
      </c>
    </row>
    <row r="377" spans="1:25" x14ac:dyDescent="0.2">
      <c r="A377" t="str">
        <f t="shared" si="34"/>
        <v>EU-12ng_MELTFUG</v>
      </c>
      <c r="B377" t="str">
        <f>Tabl_B4_Scrap_Billet_Cut!A125</f>
        <v>110-54-3</v>
      </c>
      <c r="D377">
        <v>0</v>
      </c>
      <c r="E377">
        <f>Tabl_B4_Scrap_Billet_Cut!C125</f>
        <v>6.3E-3</v>
      </c>
      <c r="F377" s="13">
        <f t="shared" si="33"/>
        <v>6.3E-3</v>
      </c>
      <c r="G377" t="s">
        <v>408</v>
      </c>
      <c r="I377">
        <f>Tabl_B4_Scrap_Billet_Cut!D125</f>
        <v>1.825399800000002E-5</v>
      </c>
      <c r="J377">
        <f>Tabl_B4_Scrap_Billet_Cut!E125</f>
        <v>7.5600000000000068E-8</v>
      </c>
    </row>
    <row r="378" spans="1:25" x14ac:dyDescent="0.2">
      <c r="A378" t="str">
        <f t="shared" si="34"/>
        <v>EU-12ng_MELTFUG</v>
      </c>
      <c r="B378" t="str">
        <f>Tabl_B4_Scrap_Billet_Cut!A126</f>
        <v>7439-97-6</v>
      </c>
      <c r="D378">
        <v>0</v>
      </c>
      <c r="E378">
        <f>Tabl_B4_Scrap_Billet_Cut!C126</f>
        <v>2.5999999999999998E-4</v>
      </c>
      <c r="F378" s="13">
        <f t="shared" si="33"/>
        <v>2.5999999999999998E-4</v>
      </c>
      <c r="G378" t="s">
        <v>408</v>
      </c>
      <c r="I378">
        <f>Tabl_B4_Scrap_Billet_Cut!D126</f>
        <v>7.5333960000000066E-7</v>
      </c>
      <c r="J378">
        <f>Tabl_B4_Scrap_Billet_Cut!E126</f>
        <v>3.1200000000000029E-9</v>
      </c>
    </row>
    <row r="379" spans="1:25" x14ac:dyDescent="0.2">
      <c r="A379" t="str">
        <f t="shared" si="34"/>
        <v>EU-12ng_MELTFUG</v>
      </c>
      <c r="B379" t="str">
        <f>Tabl_B4_Scrap_Billet_Cut!A127</f>
        <v>1313-27-5</v>
      </c>
      <c r="D379">
        <v>0</v>
      </c>
      <c r="E379">
        <f>Tabl_B4_Scrap_Billet_Cut!C127</f>
        <v>1.65E-3</v>
      </c>
      <c r="F379" s="13">
        <f t="shared" si="33"/>
        <v>1.65E-3</v>
      </c>
      <c r="G379" t="s">
        <v>408</v>
      </c>
      <c r="I379">
        <f>Tabl_B4_Scrap_Billet_Cut!D127</f>
        <v>4.7808090000000039E-6</v>
      </c>
      <c r="J379">
        <f>Tabl_B4_Scrap_Billet_Cut!E127</f>
        <v>1.9800000000000018E-8</v>
      </c>
    </row>
    <row r="380" spans="1:25" x14ac:dyDescent="0.2">
      <c r="A380" t="str">
        <f t="shared" si="34"/>
        <v>EU-12ng_MELTFUG</v>
      </c>
      <c r="B380" t="str">
        <f>Tabl_B4_Scrap_Billet_Cut!A128</f>
        <v>108-88-3</v>
      </c>
      <c r="D380">
        <v>0</v>
      </c>
      <c r="E380">
        <f>Tabl_B4_Scrap_Billet_Cut!C128</f>
        <v>3.6600000000000001E-2</v>
      </c>
      <c r="F380" s="13">
        <f t="shared" si="33"/>
        <v>3.6600000000000001E-2</v>
      </c>
      <c r="G380" t="s">
        <v>408</v>
      </c>
      <c r="I380">
        <f>Tabl_B4_Scrap_Billet_Cut!D128</f>
        <v>1.060470360000001E-4</v>
      </c>
      <c r="J380">
        <f>Tabl_B4_Scrap_Billet_Cut!E128</f>
        <v>4.3920000000000044E-7</v>
      </c>
    </row>
    <row r="381" spans="1:25" x14ac:dyDescent="0.2">
      <c r="A381" t="str">
        <f t="shared" si="34"/>
        <v>EU-12ng_MELTFUG</v>
      </c>
      <c r="B381" t="str">
        <f>Tabl_B4_Scrap_Billet_Cut!A129</f>
        <v>1330-20-7</v>
      </c>
      <c r="D381">
        <v>0</v>
      </c>
      <c r="E381">
        <f>Tabl_B4_Scrap_Billet_Cut!C129</f>
        <v>2.7199999999999998E-2</v>
      </c>
      <c r="F381" s="13">
        <f t="shared" si="33"/>
        <v>2.7199999999999998E-2</v>
      </c>
      <c r="G381" t="s">
        <v>408</v>
      </c>
      <c r="I381">
        <f>Tabl_B4_Scrap_Billet_Cut!D129</f>
        <v>7.8810912000000069E-5</v>
      </c>
      <c r="J381">
        <f>Tabl_B4_Scrap_Billet_Cut!E129</f>
        <v>3.2640000000000022E-7</v>
      </c>
    </row>
    <row r="382" spans="1:25" x14ac:dyDescent="0.2">
      <c r="A382" t="str">
        <f>M$382</f>
        <v>EU-5</v>
      </c>
      <c r="B382" t="str">
        <f>Tabl_B5_Slag_Handling!A67</f>
        <v>7429-90-5</v>
      </c>
      <c r="D382">
        <v>0</v>
      </c>
      <c r="E382">
        <f>Tabl_B5_Slag_Handling!D67</f>
        <v>3.4398008160436576E-4</v>
      </c>
      <c r="F382" s="13">
        <f>E382</f>
        <v>3.4398008160436576E-4</v>
      </c>
      <c r="G382" t="s">
        <v>149</v>
      </c>
      <c r="I382">
        <f>Tabl_B5_Slag_Handling!E67</f>
        <v>5.6175172206996438</v>
      </c>
      <c r="J382">
        <f>Tabl_B5_Slag_Handling!F67</f>
        <v>0.12727263019361534</v>
      </c>
      <c r="M382" t="str">
        <f>Tabl_B5_Slag_Handling!C4</f>
        <v>EU-5</v>
      </c>
      <c r="N382" t="s">
        <v>437</v>
      </c>
      <c r="O382" t="s">
        <v>413</v>
      </c>
      <c r="P382" t="s">
        <v>412</v>
      </c>
      <c r="Q382" t="str">
        <f>Tabl_B5_Slag_Handling!C5</f>
        <v>SHF01</v>
      </c>
      <c r="R382" s="169" t="s">
        <v>172</v>
      </c>
      <c r="S382" s="170" t="s">
        <v>455</v>
      </c>
      <c r="T382" s="171">
        <v>44452</v>
      </c>
      <c r="U382" s="172">
        <v>94800</v>
      </c>
      <c r="V382" s="173"/>
      <c r="W382" s="171">
        <v>350</v>
      </c>
      <c r="X382" s="172">
        <v>370</v>
      </c>
      <c r="Y382" s="173"/>
    </row>
    <row r="383" spans="1:25" x14ac:dyDescent="0.2">
      <c r="A383" t="str">
        <f t="shared" ref="A383:A400" si="35">M$382</f>
        <v>EU-5</v>
      </c>
      <c r="B383" t="str">
        <f>Tabl_B5_Slag_Handling!A68</f>
        <v>7439-96-5</v>
      </c>
      <c r="D383">
        <v>0</v>
      </c>
      <c r="E383">
        <f>Tabl_B5_Slag_Handling!D68</f>
        <v>6.6502815776844058E-4</v>
      </c>
      <c r="F383" s="13">
        <f t="shared" ref="F383:F400" si="36">E383</f>
        <v>6.6502815776844058E-4</v>
      </c>
      <c r="G383" t="s">
        <v>149</v>
      </c>
      <c r="I383">
        <f>Tabl_B5_Slag_Handling!E68</f>
        <v>10.860533293352644</v>
      </c>
      <c r="J383">
        <f>Tabl_B5_Slag_Handling!F68</f>
        <v>0.24606041837432302</v>
      </c>
    </row>
    <row r="384" spans="1:25" x14ac:dyDescent="0.2">
      <c r="A384" t="str">
        <f t="shared" si="35"/>
        <v>EU-5</v>
      </c>
      <c r="B384" t="str">
        <f>Tabl_B5_Slag_Handling!A69</f>
        <v>7440-22-4</v>
      </c>
      <c r="D384">
        <v>0</v>
      </c>
      <c r="E384">
        <f>Tabl_B5_Slag_Handling!D69</f>
        <v>8.7141620673105996E-9</v>
      </c>
      <c r="F384" s="13">
        <f t="shared" si="36"/>
        <v>8.7141620673105996E-9</v>
      </c>
      <c r="G384" t="s">
        <v>149</v>
      </c>
      <c r="I384">
        <f>Tabl_B5_Slag_Handling!E69</f>
        <v>1.4231043625772432E-4</v>
      </c>
      <c r="J384">
        <f>Tabl_B5_Slag_Handling!F69</f>
        <v>3.2242399649049218E-6</v>
      </c>
    </row>
    <row r="385" spans="1:10" x14ac:dyDescent="0.2">
      <c r="A385" t="str">
        <f t="shared" si="35"/>
        <v>EU-5</v>
      </c>
      <c r="B385" t="str">
        <f>Tabl_B5_Slag_Handling!A70</f>
        <v>18540-29-9</v>
      </c>
      <c r="D385">
        <v>0</v>
      </c>
      <c r="E385">
        <f>Tabl_B5_Slag_Handling!D70</f>
        <v>2.5225205984320157E-9</v>
      </c>
      <c r="F385" s="13">
        <f t="shared" si="36"/>
        <v>2.5225205984320157E-9</v>
      </c>
      <c r="G385" t="s">
        <v>149</v>
      </c>
      <c r="I385">
        <f>Tabl_B5_Slag_Handling!E70</f>
        <v>4.1195126285130723E-5</v>
      </c>
      <c r="J385">
        <f>Tabl_B5_Slag_Handling!F70</f>
        <v>9.3333262141984584E-7</v>
      </c>
    </row>
    <row r="386" spans="1:10" x14ac:dyDescent="0.2">
      <c r="A386" t="str">
        <f t="shared" si="35"/>
        <v>EU-5</v>
      </c>
      <c r="B386" t="str">
        <f>Tabl_B5_Slag_Handling!A71</f>
        <v>7440-36-0</v>
      </c>
      <c r="D386">
        <v>0</v>
      </c>
      <c r="E386">
        <f>Tabl_B5_Slag_Handling!D71</f>
        <v>1.8116284297829933E-8</v>
      </c>
      <c r="F386" s="13">
        <f t="shared" si="36"/>
        <v>1.8116284297829933E-8</v>
      </c>
      <c r="G386" t="s">
        <v>149</v>
      </c>
      <c r="I386">
        <f>Tabl_B5_Slag_Handling!E71</f>
        <v>2.9585590695684793E-4</v>
      </c>
      <c r="J386">
        <f>Tabl_B5_Slag_Handling!F71</f>
        <v>6.7030251901970751E-6</v>
      </c>
    </row>
    <row r="387" spans="1:10" x14ac:dyDescent="0.2">
      <c r="A387" t="str">
        <f t="shared" si="35"/>
        <v>EU-5</v>
      </c>
      <c r="B387" t="str">
        <f>Tabl_B5_Slag_Handling!A72</f>
        <v>7440-38-2</v>
      </c>
      <c r="D387">
        <v>0</v>
      </c>
      <c r="E387">
        <f>Tabl_B5_Slag_Handling!D72</f>
        <v>7.5675617952960461E-8</v>
      </c>
      <c r="F387" s="13">
        <f t="shared" si="36"/>
        <v>7.5675617952960461E-8</v>
      </c>
      <c r="G387" t="s">
        <v>149</v>
      </c>
      <c r="I387">
        <f>Tabl_B5_Slag_Handling!E72</f>
        <v>1.2358537885539215E-3</v>
      </c>
      <c r="J387">
        <f>Tabl_B5_Slag_Handling!F72</f>
        <v>2.7999978642595372E-5</v>
      </c>
    </row>
    <row r="388" spans="1:10" x14ac:dyDescent="0.2">
      <c r="A388" t="str">
        <f t="shared" si="35"/>
        <v>EU-5</v>
      </c>
      <c r="B388" t="str">
        <f>Tabl_B5_Slag_Handling!A73</f>
        <v>7440-41-7</v>
      </c>
      <c r="D388">
        <v>0</v>
      </c>
      <c r="E388">
        <f>Tabl_B5_Slag_Handling!D73</f>
        <v>7.1089216864902257E-9</v>
      </c>
      <c r="F388" s="13">
        <f t="shared" si="36"/>
        <v>7.1089216864902257E-9</v>
      </c>
      <c r="G388" t="s">
        <v>149</v>
      </c>
      <c r="I388">
        <f>Tabl_B5_Slag_Handling!E73</f>
        <v>1.1609535589445929E-4</v>
      </c>
      <c r="J388">
        <f>Tabl_B5_Slag_Handling!F73</f>
        <v>2.6303010240013836E-6</v>
      </c>
    </row>
    <row r="389" spans="1:10" x14ac:dyDescent="0.2">
      <c r="A389" t="str">
        <f t="shared" si="35"/>
        <v>EU-5</v>
      </c>
      <c r="B389" t="str">
        <f>Tabl_B5_Slag_Handling!A74</f>
        <v>7440-43-9</v>
      </c>
      <c r="D389">
        <v>0</v>
      </c>
      <c r="E389">
        <f>Tabl_B5_Slag_Handling!D74</f>
        <v>3.6691208704465685E-9</v>
      </c>
      <c r="F389" s="13">
        <f t="shared" si="36"/>
        <v>3.6691208704465685E-9</v>
      </c>
      <c r="G389" t="s">
        <v>149</v>
      </c>
      <c r="I389">
        <f>Tabl_B5_Slag_Handling!E74</f>
        <v>5.9920183687462866E-5</v>
      </c>
      <c r="J389">
        <f>Tabl_B5_Slag_Handling!F74</f>
        <v>1.3575747220652304E-6</v>
      </c>
    </row>
    <row r="390" spans="1:10" x14ac:dyDescent="0.2">
      <c r="A390" t="str">
        <f t="shared" si="35"/>
        <v>EU-5</v>
      </c>
      <c r="B390" t="str">
        <f>Tabl_B5_Slag_Handling!A75</f>
        <v>7440-50-8</v>
      </c>
      <c r="D390">
        <v>0</v>
      </c>
      <c r="E390">
        <f>Tabl_B5_Slag_Handling!D75</f>
        <v>3.4398008160436574E-6</v>
      </c>
      <c r="F390" s="13">
        <f t="shared" si="36"/>
        <v>3.4398008160436574E-6</v>
      </c>
      <c r="G390" t="s">
        <v>149</v>
      </c>
      <c r="I390">
        <f>Tabl_B5_Slag_Handling!E75</f>
        <v>5.6175172206996422E-2</v>
      </c>
      <c r="J390">
        <f>Tabl_B5_Slag_Handling!F75</f>
        <v>1.2727263019361532E-3</v>
      </c>
    </row>
    <row r="391" spans="1:10" x14ac:dyDescent="0.2">
      <c r="A391" t="str">
        <f t="shared" si="35"/>
        <v>EU-5</v>
      </c>
      <c r="B391" t="str">
        <f>Tabl_B5_Slag_Handling!A76</f>
        <v>7439-92-1</v>
      </c>
      <c r="D391">
        <v>0</v>
      </c>
      <c r="E391">
        <f>Tabl_B5_Slag_Handling!D76</f>
        <v>1.0778042556936795E-7</v>
      </c>
      <c r="F391" s="13">
        <f t="shared" si="36"/>
        <v>1.0778042556936795E-7</v>
      </c>
      <c r="G391" t="s">
        <v>149</v>
      </c>
      <c r="I391">
        <f>Tabl_B5_Slag_Handling!E76</f>
        <v>1.7601553958192216E-3</v>
      </c>
      <c r="J391">
        <f>Tabl_B5_Slag_Handling!F76</f>
        <v>3.9878757460666143E-5</v>
      </c>
    </row>
    <row r="392" spans="1:10" x14ac:dyDescent="0.2">
      <c r="A392" t="str">
        <f t="shared" si="35"/>
        <v>EU-5</v>
      </c>
      <c r="B392" t="str">
        <f>Tabl_B5_Slag_Handling!A77</f>
        <v>7439-97-6</v>
      </c>
      <c r="D392">
        <v>0</v>
      </c>
      <c r="E392">
        <f>Tabl_B5_Slag_Handling!D77</f>
        <v>1.4905803536189184E-10</v>
      </c>
      <c r="F392" s="13">
        <f t="shared" si="36"/>
        <v>1.4905803536189184E-10</v>
      </c>
      <c r="G392" t="s">
        <v>149</v>
      </c>
      <c r="I392">
        <f>Tabl_B5_Slag_Handling!E77</f>
        <v>2.4342574623031787E-6</v>
      </c>
      <c r="J392">
        <f>Tabl_B5_Slag_Handling!F77</f>
        <v>5.515147308389998E-8</v>
      </c>
    </row>
    <row r="393" spans="1:10" x14ac:dyDescent="0.2">
      <c r="A393" t="str">
        <f t="shared" si="35"/>
        <v>EU-5</v>
      </c>
      <c r="B393">
        <f>Tabl_B5_Slag_Handling!A78</f>
        <v>365</v>
      </c>
      <c r="D393">
        <v>0</v>
      </c>
      <c r="E393">
        <f>Tabl_B5_Slag_Handling!D78</f>
        <v>5.9623214144756736E-7</v>
      </c>
      <c r="F393" s="13">
        <f t="shared" si="36"/>
        <v>5.9623214144756736E-7</v>
      </c>
      <c r="G393" t="s">
        <v>149</v>
      </c>
      <c r="I393">
        <f>Tabl_B5_Slag_Handling!E78</f>
        <v>9.7370298492127152E-3</v>
      </c>
      <c r="J393">
        <f>Tabl_B5_Slag_Handling!F78</f>
        <v>2.2060589233559994E-4</v>
      </c>
    </row>
    <row r="394" spans="1:10" x14ac:dyDescent="0.2">
      <c r="A394" t="str">
        <f t="shared" si="35"/>
        <v>EU-5</v>
      </c>
      <c r="B394" t="str">
        <f>Tabl_B5_Slag_Handling!A79</f>
        <v>7782-49-2</v>
      </c>
      <c r="D394">
        <v>0</v>
      </c>
      <c r="E394">
        <f>Tabl_B5_Slag_Handling!D79</f>
        <v>8.0262019041018679E-9</v>
      </c>
      <c r="F394" s="13">
        <f t="shared" si="36"/>
        <v>8.0262019041018679E-9</v>
      </c>
      <c r="G394" t="s">
        <v>149</v>
      </c>
      <c r="I394">
        <f>Tabl_B5_Slag_Handling!E79</f>
        <v>1.3107540181632501E-4</v>
      </c>
      <c r="J394">
        <f>Tabl_B5_Slag_Handling!F79</f>
        <v>2.9696947045176913E-6</v>
      </c>
    </row>
    <row r="395" spans="1:10" x14ac:dyDescent="0.2">
      <c r="A395" t="str">
        <f t="shared" si="35"/>
        <v>EU-5</v>
      </c>
      <c r="B395" t="str">
        <f>Tabl_B5_Slag_Handling!A80</f>
        <v>7440-62-2</v>
      </c>
      <c r="D395">
        <v>0</v>
      </c>
      <c r="E395">
        <f>Tabl_B5_Slag_Handling!D80</f>
        <v>1.4905803536189183E-5</v>
      </c>
      <c r="F395" s="13">
        <f t="shared" si="36"/>
        <v>1.4905803536189183E-5</v>
      </c>
      <c r="G395" t="s">
        <v>149</v>
      </c>
      <c r="I395">
        <f>Tabl_B5_Slag_Handling!E80</f>
        <v>0.24342574623031787</v>
      </c>
      <c r="J395">
        <f>Tabl_B5_Slag_Handling!F80</f>
        <v>5.5151473083899973E-3</v>
      </c>
    </row>
    <row r="396" spans="1:10" x14ac:dyDescent="0.2">
      <c r="A396" t="str">
        <f t="shared" si="35"/>
        <v>EU-5</v>
      </c>
      <c r="B396" t="str">
        <f>Tabl_B5_Slag_Handling!A81</f>
        <v>7440-39-3</v>
      </c>
      <c r="D396">
        <v>0</v>
      </c>
      <c r="E396">
        <f>Tabl_B5_Slag_Handling!D81</f>
        <v>9.631442284922243E-6</v>
      </c>
      <c r="F396" s="13">
        <f t="shared" si="36"/>
        <v>9.631442284922243E-6</v>
      </c>
      <c r="G396" t="s">
        <v>149</v>
      </c>
      <c r="I396">
        <f>Tabl_B5_Slag_Handling!E81</f>
        <v>0.15729048217959002</v>
      </c>
      <c r="J396">
        <f>Tabl_B5_Slag_Handling!F81</f>
        <v>3.56363364542123E-3</v>
      </c>
    </row>
    <row r="397" spans="1:10" x14ac:dyDescent="0.2">
      <c r="A397" t="str">
        <f t="shared" si="35"/>
        <v>EU-5</v>
      </c>
      <c r="B397" t="str">
        <f>Tabl_B5_Slag_Handling!A82</f>
        <v>1313-27-5</v>
      </c>
      <c r="D397">
        <v>0</v>
      </c>
      <c r="E397">
        <f>Tabl_B5_Slag_Handling!D82</f>
        <v>3.7837808976480239E-7</v>
      </c>
      <c r="F397" s="13">
        <f t="shared" si="36"/>
        <v>3.7837808976480239E-7</v>
      </c>
      <c r="G397" t="s">
        <v>149</v>
      </c>
      <c r="I397">
        <f>Tabl_B5_Slag_Handling!E82</f>
        <v>6.179268942769608E-3</v>
      </c>
      <c r="J397">
        <f>Tabl_B5_Slag_Handling!F82</f>
        <v>1.3999989321297689E-4</v>
      </c>
    </row>
    <row r="398" spans="1:10" x14ac:dyDescent="0.2">
      <c r="A398" t="str">
        <f t="shared" si="35"/>
        <v>EU-5</v>
      </c>
      <c r="B398">
        <f>Tabl_B5_Slag_Handling!A83</f>
        <v>504</v>
      </c>
      <c r="D398">
        <v>0</v>
      </c>
      <c r="E398">
        <f>Tabl_B5_Slag_Handling!D83</f>
        <v>8.0262019041018689E-6</v>
      </c>
      <c r="F398" s="13">
        <f t="shared" si="36"/>
        <v>8.0262019041018689E-6</v>
      </c>
      <c r="G398" t="s">
        <v>149</v>
      </c>
      <c r="I398">
        <f>Tabl_B5_Slag_Handling!E83</f>
        <v>0.13107540181632502</v>
      </c>
      <c r="J398">
        <f>Tabl_B5_Slag_Handling!F83</f>
        <v>2.9696947045176913E-3</v>
      </c>
    </row>
    <row r="399" spans="1:10" x14ac:dyDescent="0.2">
      <c r="A399" t="str">
        <f t="shared" si="35"/>
        <v>EU-5</v>
      </c>
      <c r="B399" t="str">
        <f>Tabl_B5_Slag_Handling!A84</f>
        <v>7440-66-6</v>
      </c>
      <c r="D399">
        <v>0</v>
      </c>
      <c r="E399">
        <f>Tabl_B5_Slag_Handling!D84</f>
        <v>3.6691208704465687E-6</v>
      </c>
      <c r="F399" s="13">
        <f t="shared" si="36"/>
        <v>3.6691208704465687E-6</v>
      </c>
      <c r="G399" t="s">
        <v>149</v>
      </c>
      <c r="I399">
        <f>Tabl_B5_Slag_Handling!E84</f>
        <v>5.9920183687462866E-2</v>
      </c>
      <c r="J399">
        <f>Tabl_B5_Slag_Handling!F84</f>
        <v>1.3575747220652304E-3</v>
      </c>
    </row>
    <row r="400" spans="1:10" x14ac:dyDescent="0.2">
      <c r="A400" t="str">
        <f t="shared" si="35"/>
        <v>EU-5</v>
      </c>
      <c r="B400" t="str">
        <f>Tabl_B5_Slag_Handling!A85</f>
        <v>7783-06-4</v>
      </c>
      <c r="D400">
        <v>0</v>
      </c>
      <c r="E400">
        <f>Tabl_B5_Slag_Handling!D85</f>
        <v>4.4907453547297298E-2</v>
      </c>
      <c r="F400" s="13">
        <f t="shared" si="36"/>
        <v>4.4907453547297298E-2</v>
      </c>
      <c r="G400" t="s">
        <v>149</v>
      </c>
      <c r="I400">
        <f>Tabl_B5_Slag_Handling!E85</f>
        <v>3233.3366554054055</v>
      </c>
      <c r="J400">
        <f>Tabl_B5_Slag_Handling!F85</f>
        <v>16.6157578125</v>
      </c>
    </row>
    <row r="401" spans="1:24" x14ac:dyDescent="0.2">
      <c r="A401" t="str">
        <f>M$401</f>
        <v>EU-7</v>
      </c>
      <c r="B401" t="str">
        <f>Tabl_B7_Reheat_Furnace!A19</f>
        <v>71-43-2</v>
      </c>
      <c r="D401">
        <v>0</v>
      </c>
      <c r="E401">
        <f>Tabl_B7_Reheat_Furnace!C19</f>
        <v>1.6999999999999999E-3</v>
      </c>
      <c r="F401" s="13">
        <f>E401</f>
        <v>1.6999999999999999E-3</v>
      </c>
      <c r="G401" t="s">
        <v>408</v>
      </c>
      <c r="I401">
        <f>Tabl_B7_Reheat_Furnace!D19</f>
        <v>1.9850000000000001</v>
      </c>
      <c r="J401">
        <f>Tabl_B7_Reheat_Furnace!E19</f>
        <v>5.4383561643835615E-3</v>
      </c>
      <c r="M401" t="str">
        <f>Tabl_B7_Reheat_Furnace!C4</f>
        <v>EU-7</v>
      </c>
      <c r="N401" s="168" t="s">
        <v>439</v>
      </c>
      <c r="O401" t="s">
        <v>413</v>
      </c>
      <c r="P401" t="s">
        <v>410</v>
      </c>
      <c r="Q401" t="str">
        <f>Tabl_B7_Reheat_Furnace!C5</f>
        <v>RFS2</v>
      </c>
      <c r="R401" s="169" t="s">
        <v>454</v>
      </c>
      <c r="S401" s="170" t="s">
        <v>444</v>
      </c>
      <c r="T401" s="171">
        <v>606.23</v>
      </c>
      <c r="U401" s="172">
        <v>1167.5999999999999</v>
      </c>
      <c r="V401" s="173"/>
      <c r="W401" s="171">
        <v>3.2</v>
      </c>
      <c r="X401" s="172">
        <v>3.2</v>
      </c>
    </row>
    <row r="402" spans="1:24" x14ac:dyDescent="0.2">
      <c r="A402" t="str">
        <f t="shared" ref="A402:A427" si="37">M$401</f>
        <v>EU-7</v>
      </c>
      <c r="B402" t="str">
        <f>Tabl_B7_Reheat_Furnace!A20</f>
        <v>50-00-0</v>
      </c>
      <c r="D402">
        <v>0</v>
      </c>
      <c r="E402">
        <f>Tabl_B7_Reheat_Furnace!C20</f>
        <v>3.5999999999999999E-3</v>
      </c>
      <c r="F402" s="13">
        <f t="shared" ref="F402:F427" si="38">E402</f>
        <v>3.5999999999999999E-3</v>
      </c>
      <c r="G402" t="s">
        <v>408</v>
      </c>
      <c r="I402">
        <f>Tabl_B7_Reheat_Furnace!D20</f>
        <v>4.2035294117647064</v>
      </c>
      <c r="J402">
        <f>Tabl_B7_Reheat_Furnace!E20</f>
        <v>1.1516518936341659E-2</v>
      </c>
    </row>
    <row r="403" spans="1:24" x14ac:dyDescent="0.2">
      <c r="A403" t="str">
        <f t="shared" si="37"/>
        <v>EU-7</v>
      </c>
      <c r="B403">
        <f>Tabl_B7_Reheat_Furnace!A21</f>
        <v>401</v>
      </c>
      <c r="D403">
        <v>0</v>
      </c>
      <c r="E403">
        <f>Tabl_B7_Reheat_Furnace!C21</f>
        <v>1E-4</v>
      </c>
      <c r="F403" s="13">
        <f t="shared" si="38"/>
        <v>1E-4</v>
      </c>
      <c r="G403" t="s">
        <v>408</v>
      </c>
      <c r="I403">
        <f>Tabl_B7_Reheat_Furnace!D21</f>
        <v>0.11676470588235295</v>
      </c>
      <c r="J403">
        <f>Tabl_B7_Reheat_Furnace!E21</f>
        <v>3.1990330378726836E-4</v>
      </c>
    </row>
    <row r="404" spans="1:24" x14ac:dyDescent="0.2">
      <c r="A404" t="str">
        <f t="shared" si="37"/>
        <v>EU-7</v>
      </c>
      <c r="B404" t="str">
        <f>Tabl_B7_Reheat_Furnace!A22</f>
        <v>50-32-8</v>
      </c>
      <c r="D404">
        <v>0</v>
      </c>
      <c r="E404">
        <f>Tabl_B7_Reheat_Furnace!C22</f>
        <v>1.1999999999999999E-6</v>
      </c>
      <c r="F404" s="13">
        <f t="shared" si="38"/>
        <v>1.1999999999999999E-6</v>
      </c>
      <c r="G404" t="s">
        <v>408</v>
      </c>
      <c r="I404">
        <f>Tabl_B7_Reheat_Furnace!D22</f>
        <v>1.4011764705882353E-3</v>
      </c>
      <c r="J404">
        <f>Tabl_B7_Reheat_Furnace!E22</f>
        <v>3.83883964544722E-6</v>
      </c>
    </row>
    <row r="405" spans="1:24" x14ac:dyDescent="0.2">
      <c r="A405" t="str">
        <f t="shared" si="37"/>
        <v>EU-7</v>
      </c>
      <c r="B405" t="str">
        <f>Tabl_B7_Reheat_Furnace!A23</f>
        <v>91-20-3</v>
      </c>
      <c r="D405">
        <v>0</v>
      </c>
      <c r="E405">
        <f>Tabl_B7_Reheat_Furnace!C23</f>
        <v>2.9999999999999997E-4</v>
      </c>
      <c r="F405" s="13">
        <f t="shared" si="38"/>
        <v>2.9999999999999997E-4</v>
      </c>
      <c r="G405" t="s">
        <v>408</v>
      </c>
      <c r="I405">
        <f>Tabl_B7_Reheat_Furnace!D23</f>
        <v>0.35029411764705881</v>
      </c>
      <c r="J405">
        <f>Tabl_B7_Reheat_Furnace!E23</f>
        <v>9.5970991136180492E-4</v>
      </c>
    </row>
    <row r="406" spans="1:24" x14ac:dyDescent="0.2">
      <c r="A406" t="str">
        <f t="shared" si="37"/>
        <v>EU-7</v>
      </c>
      <c r="B406" t="str">
        <f>Tabl_B7_Reheat_Furnace!A24</f>
        <v>75-07-0</v>
      </c>
      <c r="D406">
        <v>0</v>
      </c>
      <c r="E406">
        <f>Tabl_B7_Reheat_Furnace!C24</f>
        <v>8.9999999999999998E-4</v>
      </c>
      <c r="F406" s="13">
        <f t="shared" si="38"/>
        <v>8.9999999999999998E-4</v>
      </c>
      <c r="G406" t="s">
        <v>408</v>
      </c>
      <c r="I406">
        <f>Tabl_B7_Reheat_Furnace!D24</f>
        <v>1.0508823529411766</v>
      </c>
      <c r="J406">
        <f>Tabl_B7_Reheat_Furnace!E24</f>
        <v>2.8791297340854147E-3</v>
      </c>
    </row>
    <row r="407" spans="1:24" x14ac:dyDescent="0.2">
      <c r="A407" t="str">
        <f t="shared" si="37"/>
        <v>EU-7</v>
      </c>
      <c r="B407" t="str">
        <f>Tabl_B7_Reheat_Furnace!A25</f>
        <v>107-02-8</v>
      </c>
      <c r="D407">
        <v>0</v>
      </c>
      <c r="E407">
        <f>Tabl_B7_Reheat_Furnace!C25</f>
        <v>8.0000000000000004E-4</v>
      </c>
      <c r="F407" s="13">
        <f t="shared" si="38"/>
        <v>8.0000000000000004E-4</v>
      </c>
      <c r="G407" t="s">
        <v>408</v>
      </c>
      <c r="I407">
        <f>Tabl_B7_Reheat_Furnace!D25</f>
        <v>0.93411764705882361</v>
      </c>
      <c r="J407">
        <f>Tabl_B7_Reheat_Furnace!E25</f>
        <v>2.5592264302981469E-3</v>
      </c>
    </row>
    <row r="408" spans="1:24" x14ac:dyDescent="0.2">
      <c r="A408" t="str">
        <f t="shared" si="37"/>
        <v>EU-7</v>
      </c>
      <c r="B408" t="str">
        <f>Tabl_B7_Reheat_Furnace!A26</f>
        <v>7664-41-7</v>
      </c>
      <c r="D408">
        <v>0</v>
      </c>
      <c r="E408">
        <f>Tabl_B7_Reheat_Furnace!C26</f>
        <v>18</v>
      </c>
      <c r="F408" s="13">
        <f t="shared" si="38"/>
        <v>18</v>
      </c>
      <c r="G408" t="s">
        <v>408</v>
      </c>
      <c r="I408">
        <f>Tabl_B7_Reheat_Furnace!D26</f>
        <v>21017.647058823532</v>
      </c>
      <c r="J408">
        <f>Tabl_B7_Reheat_Furnace!E26</f>
        <v>57.582594681708301</v>
      </c>
    </row>
    <row r="409" spans="1:24" x14ac:dyDescent="0.2">
      <c r="A409" t="str">
        <f t="shared" si="37"/>
        <v>EU-7</v>
      </c>
      <c r="B409" t="str">
        <f>Tabl_B7_Reheat_Furnace!A27</f>
        <v>7440-38-2</v>
      </c>
      <c r="D409">
        <v>0</v>
      </c>
      <c r="E409">
        <f>Tabl_B7_Reheat_Furnace!C27</f>
        <v>2.0000000000000001E-4</v>
      </c>
      <c r="F409" s="13">
        <f t="shared" si="38"/>
        <v>2.0000000000000001E-4</v>
      </c>
      <c r="G409" t="s">
        <v>408</v>
      </c>
      <c r="I409">
        <f>Tabl_B7_Reheat_Furnace!D27</f>
        <v>0.2335294117647059</v>
      </c>
      <c r="J409">
        <f>Tabl_B7_Reheat_Furnace!E27</f>
        <v>6.3980660757453672E-4</v>
      </c>
    </row>
    <row r="410" spans="1:24" x14ac:dyDescent="0.2">
      <c r="A410" t="str">
        <f t="shared" si="37"/>
        <v>EU-7</v>
      </c>
      <c r="B410" t="str">
        <f>Tabl_B7_Reheat_Furnace!A28</f>
        <v>7440-39-3</v>
      </c>
      <c r="D410">
        <v>0</v>
      </c>
      <c r="E410">
        <f>Tabl_B7_Reheat_Furnace!C28</f>
        <v>4.4000000000000003E-3</v>
      </c>
      <c r="F410" s="13">
        <f t="shared" si="38"/>
        <v>4.4000000000000003E-3</v>
      </c>
      <c r="G410" t="s">
        <v>408</v>
      </c>
      <c r="I410">
        <f>Tabl_B7_Reheat_Furnace!D28</f>
        <v>5.1376470588235303</v>
      </c>
      <c r="J410">
        <f>Tabl_B7_Reheat_Furnace!E28</f>
        <v>1.4075745366639808E-2</v>
      </c>
    </row>
    <row r="411" spans="1:24" x14ac:dyDescent="0.2">
      <c r="A411" t="str">
        <f t="shared" si="37"/>
        <v>EU-7</v>
      </c>
      <c r="B411" t="str">
        <f>Tabl_B7_Reheat_Furnace!A29</f>
        <v>7440-41-7</v>
      </c>
      <c r="D411">
        <v>0</v>
      </c>
      <c r="E411">
        <f>Tabl_B7_Reheat_Furnace!C29</f>
        <v>1.2E-5</v>
      </c>
      <c r="F411" s="13">
        <f t="shared" si="38"/>
        <v>1.2E-5</v>
      </c>
      <c r="G411" t="s">
        <v>408</v>
      </c>
      <c r="I411">
        <f>Tabl_B7_Reheat_Furnace!D29</f>
        <v>1.4011764705882354E-2</v>
      </c>
      <c r="J411">
        <f>Tabl_B7_Reheat_Furnace!E29</f>
        <v>3.8388396454472203E-5</v>
      </c>
    </row>
    <row r="412" spans="1:24" x14ac:dyDescent="0.2">
      <c r="A412" t="str">
        <f t="shared" si="37"/>
        <v>EU-7</v>
      </c>
      <c r="B412" t="str">
        <f>Tabl_B7_Reheat_Furnace!A30</f>
        <v>7440-43-9</v>
      </c>
      <c r="D412">
        <v>0</v>
      </c>
      <c r="E412">
        <f>Tabl_B7_Reheat_Furnace!C30</f>
        <v>1.1000000000000001E-3</v>
      </c>
      <c r="F412" s="13">
        <f t="shared" si="38"/>
        <v>1.1000000000000001E-3</v>
      </c>
      <c r="G412" t="s">
        <v>408</v>
      </c>
      <c r="I412">
        <f>Tabl_B7_Reheat_Furnace!D30</f>
        <v>1.2844117647058826</v>
      </c>
      <c r="J412">
        <f>Tabl_B7_Reheat_Furnace!E30</f>
        <v>3.5189363416599519E-3</v>
      </c>
    </row>
    <row r="413" spans="1:24" x14ac:dyDescent="0.2">
      <c r="A413" t="str">
        <f t="shared" si="37"/>
        <v>EU-7</v>
      </c>
      <c r="B413" t="str">
        <f>Tabl_B7_Reheat_Furnace!A31</f>
        <v>18540-29-9</v>
      </c>
      <c r="D413">
        <v>0</v>
      </c>
      <c r="E413">
        <f>Tabl_B7_Reheat_Furnace!C31</f>
        <v>1.4E-3</v>
      </c>
      <c r="F413" s="13">
        <f t="shared" si="38"/>
        <v>1.4E-3</v>
      </c>
      <c r="G413" t="s">
        <v>408</v>
      </c>
      <c r="I413">
        <f>Tabl_B7_Reheat_Furnace!D31</f>
        <v>1.6347058823529412</v>
      </c>
      <c r="J413">
        <f>Tabl_B7_Reheat_Furnace!E31</f>
        <v>4.4786462530217565E-3</v>
      </c>
    </row>
    <row r="414" spans="1:24" x14ac:dyDescent="0.2">
      <c r="A414" t="str">
        <f t="shared" si="37"/>
        <v>EU-7</v>
      </c>
      <c r="B414" t="str">
        <f>Tabl_B7_Reheat_Furnace!A32</f>
        <v>7440-48-4</v>
      </c>
      <c r="D414">
        <v>0</v>
      </c>
      <c r="E414">
        <f>Tabl_B7_Reheat_Furnace!C32</f>
        <v>8.3999999999999995E-5</v>
      </c>
      <c r="F414" s="13">
        <f t="shared" si="38"/>
        <v>8.3999999999999995E-5</v>
      </c>
      <c r="G414" t="s">
        <v>408</v>
      </c>
      <c r="I414">
        <f>Tabl_B7_Reheat_Furnace!D32</f>
        <v>9.8082352941176468E-2</v>
      </c>
      <c r="J414">
        <f>Tabl_B7_Reheat_Furnace!E32</f>
        <v>2.6871877518130536E-4</v>
      </c>
    </row>
    <row r="415" spans="1:24" x14ac:dyDescent="0.2">
      <c r="A415" t="str">
        <f t="shared" si="37"/>
        <v>EU-7</v>
      </c>
      <c r="B415" t="str">
        <f>Tabl_B7_Reheat_Furnace!A33</f>
        <v>7440-50-8</v>
      </c>
      <c r="D415">
        <v>0</v>
      </c>
      <c r="E415">
        <f>Tabl_B7_Reheat_Furnace!C33</f>
        <v>8.4999999999999995E-4</v>
      </c>
      <c r="F415" s="13">
        <f t="shared" si="38"/>
        <v>8.4999999999999995E-4</v>
      </c>
      <c r="G415" t="s">
        <v>408</v>
      </c>
      <c r="I415">
        <f>Tabl_B7_Reheat_Furnace!D33</f>
        <v>0.99250000000000005</v>
      </c>
      <c r="J415">
        <f>Tabl_B7_Reheat_Furnace!E33</f>
        <v>2.7191780821917808E-3</v>
      </c>
    </row>
    <row r="416" spans="1:24" x14ac:dyDescent="0.2">
      <c r="A416" t="str">
        <f t="shared" si="37"/>
        <v>EU-7</v>
      </c>
      <c r="B416" t="str">
        <f>Tabl_B7_Reheat_Furnace!A34</f>
        <v>100-41-4</v>
      </c>
      <c r="D416">
        <v>0</v>
      </c>
      <c r="E416">
        <f>Tabl_B7_Reheat_Furnace!C34</f>
        <v>2E-3</v>
      </c>
      <c r="F416" s="13">
        <f t="shared" si="38"/>
        <v>2E-3</v>
      </c>
      <c r="G416" t="s">
        <v>408</v>
      </c>
      <c r="I416">
        <f>Tabl_B7_Reheat_Furnace!D34</f>
        <v>2.335294117647059</v>
      </c>
      <c r="J416">
        <f>Tabl_B7_Reheat_Furnace!E34</f>
        <v>6.3980660757453666E-3</v>
      </c>
    </row>
    <row r="417" spans="1:24" x14ac:dyDescent="0.2">
      <c r="A417" t="str">
        <f t="shared" si="37"/>
        <v>EU-7</v>
      </c>
      <c r="B417" t="str">
        <f>Tabl_B7_Reheat_Furnace!A35</f>
        <v>110-54-3</v>
      </c>
      <c r="D417">
        <v>0</v>
      </c>
      <c r="E417">
        <f>Tabl_B7_Reheat_Furnace!C35</f>
        <v>1.2999999999999999E-3</v>
      </c>
      <c r="F417" s="13">
        <f t="shared" si="38"/>
        <v>1.2999999999999999E-3</v>
      </c>
      <c r="G417" t="s">
        <v>408</v>
      </c>
      <c r="I417">
        <f>Tabl_B7_Reheat_Furnace!D35</f>
        <v>1.5179411764705883</v>
      </c>
      <c r="J417">
        <f>Tabl_B7_Reheat_Furnace!E35</f>
        <v>4.1587429492344879E-3</v>
      </c>
    </row>
    <row r="418" spans="1:24" x14ac:dyDescent="0.2">
      <c r="A418" t="str">
        <f t="shared" si="37"/>
        <v>EU-7</v>
      </c>
      <c r="B418" t="str">
        <f>Tabl_B7_Reheat_Furnace!A36</f>
        <v>7439-92-1</v>
      </c>
      <c r="D418">
        <v>0</v>
      </c>
      <c r="E418">
        <f>Tabl_B7_Reheat_Furnace!C36</f>
        <v>5.0000000000000001E-4</v>
      </c>
      <c r="F418" s="13">
        <f t="shared" si="38"/>
        <v>5.0000000000000001E-4</v>
      </c>
      <c r="G418" t="s">
        <v>408</v>
      </c>
      <c r="I418">
        <f>Tabl_B7_Reheat_Furnace!D36</f>
        <v>0.58382352941176474</v>
      </c>
      <c r="J418">
        <f>Tabl_B7_Reheat_Furnace!E36</f>
        <v>1.5995165189363416E-3</v>
      </c>
    </row>
    <row r="419" spans="1:24" x14ac:dyDescent="0.2">
      <c r="A419" t="str">
        <f t="shared" si="37"/>
        <v>EU-7</v>
      </c>
      <c r="B419" t="str">
        <f>Tabl_B7_Reheat_Furnace!A37</f>
        <v>7439-96-5</v>
      </c>
      <c r="D419">
        <v>0</v>
      </c>
      <c r="E419">
        <f>Tabl_B7_Reheat_Furnace!C37</f>
        <v>3.8000000000000002E-4</v>
      </c>
      <c r="F419" s="13">
        <f t="shared" si="38"/>
        <v>3.8000000000000002E-4</v>
      </c>
      <c r="G419" t="s">
        <v>408</v>
      </c>
      <c r="I419">
        <f>Tabl_B7_Reheat_Furnace!D37</f>
        <v>0.44370588235294123</v>
      </c>
      <c r="J419">
        <f>Tabl_B7_Reheat_Furnace!E37</f>
        <v>1.2156325543916198E-3</v>
      </c>
    </row>
    <row r="420" spans="1:24" x14ac:dyDescent="0.2">
      <c r="A420" t="str">
        <f t="shared" si="37"/>
        <v>EU-7</v>
      </c>
      <c r="B420" t="str">
        <f>Tabl_B7_Reheat_Furnace!A38</f>
        <v>7439-97-6</v>
      </c>
      <c r="D420">
        <v>0</v>
      </c>
      <c r="E420">
        <f>Tabl_B7_Reheat_Furnace!C38</f>
        <v>2.5999999999999998E-4</v>
      </c>
      <c r="F420" s="13">
        <f t="shared" si="38"/>
        <v>2.5999999999999998E-4</v>
      </c>
      <c r="G420" t="s">
        <v>408</v>
      </c>
      <c r="I420">
        <f>Tabl_B7_Reheat_Furnace!D38</f>
        <v>0.30358823529411766</v>
      </c>
      <c r="J420">
        <f>Tabl_B7_Reheat_Furnace!E38</f>
        <v>8.3174858984689755E-4</v>
      </c>
    </row>
    <row r="421" spans="1:24" x14ac:dyDescent="0.2">
      <c r="A421" t="str">
        <f t="shared" si="37"/>
        <v>EU-7</v>
      </c>
      <c r="B421" t="str">
        <f>Tabl_B7_Reheat_Furnace!A39</f>
        <v>1313-27-5</v>
      </c>
      <c r="D421">
        <v>0</v>
      </c>
      <c r="E421">
        <f>Tabl_B7_Reheat_Furnace!C39</f>
        <v>1.65E-3</v>
      </c>
      <c r="F421" s="13">
        <f t="shared" si="38"/>
        <v>1.65E-3</v>
      </c>
      <c r="G421" t="s">
        <v>408</v>
      </c>
      <c r="I421">
        <f>Tabl_B7_Reheat_Furnace!D39</f>
        <v>1.9266176470588237</v>
      </c>
      <c r="J421">
        <f>Tabl_B7_Reheat_Furnace!E39</f>
        <v>5.2784045124899277E-3</v>
      </c>
    </row>
    <row r="422" spans="1:24" x14ac:dyDescent="0.2">
      <c r="A422" t="str">
        <f t="shared" si="37"/>
        <v>EU-7</v>
      </c>
      <c r="B422">
        <f>Tabl_B7_Reheat_Furnace!A40</f>
        <v>365</v>
      </c>
      <c r="D422">
        <v>0</v>
      </c>
      <c r="E422">
        <f>Tabl_B7_Reheat_Furnace!C40</f>
        <v>2.0999999999999999E-3</v>
      </c>
      <c r="F422" s="13">
        <f t="shared" si="38"/>
        <v>2.0999999999999999E-3</v>
      </c>
      <c r="G422" t="s">
        <v>408</v>
      </c>
      <c r="I422">
        <f>Tabl_B7_Reheat_Furnace!D40</f>
        <v>2.4520588235294118</v>
      </c>
      <c r="J422">
        <f>Tabl_B7_Reheat_Furnace!E40</f>
        <v>6.7179693795326343E-3</v>
      </c>
    </row>
    <row r="423" spans="1:24" x14ac:dyDescent="0.2">
      <c r="A423" t="str">
        <f t="shared" si="37"/>
        <v>EU-7</v>
      </c>
      <c r="B423" t="str">
        <f>Tabl_B7_Reheat_Furnace!A41</f>
        <v>7782-49-2</v>
      </c>
      <c r="D423">
        <v>0</v>
      </c>
      <c r="E423">
        <f>Tabl_B7_Reheat_Furnace!C41</f>
        <v>2.4000000000000001E-5</v>
      </c>
      <c r="F423" s="13">
        <f t="shared" si="38"/>
        <v>2.4000000000000001E-5</v>
      </c>
      <c r="G423" t="s">
        <v>408</v>
      </c>
      <c r="I423">
        <f>Tabl_B7_Reheat_Furnace!D41</f>
        <v>2.8023529411764708E-2</v>
      </c>
      <c r="J423">
        <f>Tabl_B7_Reheat_Furnace!E41</f>
        <v>7.6776792908944406E-5</v>
      </c>
    </row>
    <row r="424" spans="1:24" x14ac:dyDescent="0.2">
      <c r="A424" t="str">
        <f t="shared" si="37"/>
        <v>EU-7</v>
      </c>
      <c r="B424" t="str">
        <f>Tabl_B7_Reheat_Furnace!A42</f>
        <v>108-88-3</v>
      </c>
      <c r="D424">
        <v>0</v>
      </c>
      <c r="E424">
        <f>Tabl_B7_Reheat_Furnace!C42</f>
        <v>7.7999999999999996E-3</v>
      </c>
      <c r="F424" s="13">
        <f t="shared" si="38"/>
        <v>7.7999999999999996E-3</v>
      </c>
      <c r="G424" t="s">
        <v>408</v>
      </c>
      <c r="I424">
        <f>Tabl_B7_Reheat_Furnace!D42</f>
        <v>9.1076470588235292</v>
      </c>
      <c r="J424">
        <f>Tabl_B7_Reheat_Furnace!E42</f>
        <v>2.4952457695406927E-2</v>
      </c>
    </row>
    <row r="425" spans="1:24" x14ac:dyDescent="0.2">
      <c r="A425" t="str">
        <f t="shared" si="37"/>
        <v>EU-7</v>
      </c>
      <c r="B425" t="str">
        <f>Tabl_B7_Reheat_Furnace!A43</f>
        <v>7440-62-2</v>
      </c>
      <c r="D425">
        <v>0</v>
      </c>
      <c r="E425">
        <f>Tabl_B7_Reheat_Furnace!C43</f>
        <v>2.3E-3</v>
      </c>
      <c r="F425" s="13">
        <f t="shared" si="38"/>
        <v>2.3E-3</v>
      </c>
      <c r="G425" t="s">
        <v>408</v>
      </c>
      <c r="I425">
        <f>Tabl_B7_Reheat_Furnace!D43</f>
        <v>2.6855882352941176</v>
      </c>
      <c r="J425">
        <f>Tabl_B7_Reheat_Furnace!E43</f>
        <v>7.3577759871071716E-3</v>
      </c>
    </row>
    <row r="426" spans="1:24" x14ac:dyDescent="0.2">
      <c r="A426" t="str">
        <f t="shared" si="37"/>
        <v>EU-7</v>
      </c>
      <c r="B426" t="str">
        <f>Tabl_B7_Reheat_Furnace!A44</f>
        <v>1330-20-7</v>
      </c>
      <c r="D426">
        <v>0</v>
      </c>
      <c r="E426">
        <f>Tabl_B7_Reheat_Furnace!C44</f>
        <v>5.7999999999999996E-3</v>
      </c>
      <c r="F426" s="13">
        <f t="shared" si="38"/>
        <v>5.7999999999999996E-3</v>
      </c>
      <c r="G426" t="s">
        <v>408</v>
      </c>
      <c r="I426">
        <f>Tabl_B7_Reheat_Furnace!D44</f>
        <v>6.7723529411764707</v>
      </c>
      <c r="J426">
        <f>Tabl_B7_Reheat_Furnace!E44</f>
        <v>1.8554391619661562E-2</v>
      </c>
    </row>
    <row r="427" spans="1:24" x14ac:dyDescent="0.2">
      <c r="A427" t="str">
        <f t="shared" si="37"/>
        <v>EU-7</v>
      </c>
      <c r="B427" t="str">
        <f>Tabl_B7_Reheat_Furnace!A45</f>
        <v>7440-66-6</v>
      </c>
      <c r="D427">
        <v>0</v>
      </c>
      <c r="E427">
        <f>Tabl_B7_Reheat_Furnace!C45</f>
        <v>2.9000000000000001E-2</v>
      </c>
      <c r="F427" s="13">
        <f t="shared" si="38"/>
        <v>2.9000000000000001E-2</v>
      </c>
      <c r="G427" t="s">
        <v>408</v>
      </c>
      <c r="I427">
        <f>Tabl_B7_Reheat_Furnace!D45</f>
        <v>33.861764705882358</v>
      </c>
      <c r="J427">
        <f>Tabl_B7_Reheat_Furnace!E45</f>
        <v>9.2771958098307822E-2</v>
      </c>
    </row>
    <row r="428" spans="1:24" x14ac:dyDescent="0.2">
      <c r="A428" t="str">
        <f>M$428</f>
        <v>EU-14</v>
      </c>
      <c r="B428" t="str">
        <f>Tabl_B8_TTO!A19</f>
        <v>71-43-2</v>
      </c>
      <c r="D428">
        <v>0</v>
      </c>
      <c r="E428">
        <f>Tabl_B8_TTO!C19</f>
        <v>8.0000000000000002E-3</v>
      </c>
      <c r="F428" s="13">
        <f>E428</f>
        <v>8.0000000000000002E-3</v>
      </c>
      <c r="G428" t="s">
        <v>408</v>
      </c>
      <c r="I428">
        <f>Tabl_B8_TTO!D19</f>
        <v>0.14428235294117647</v>
      </c>
      <c r="J428">
        <f>Tabl_B8_TTO!E19</f>
        <v>3.9529411764705879E-4</v>
      </c>
      <c r="M428" t="str">
        <f>Tabl_B8_TTO!C4</f>
        <v>EU-14</v>
      </c>
      <c r="N428" t="s">
        <v>438</v>
      </c>
      <c r="O428" t="s">
        <v>413</v>
      </c>
      <c r="P428" t="s">
        <v>410</v>
      </c>
      <c r="Q428" t="str">
        <f>Tabl_B8_TTO!C5</f>
        <v>TTO</v>
      </c>
      <c r="R428" s="169" t="s">
        <v>454</v>
      </c>
      <c r="S428" s="170" t="s">
        <v>444</v>
      </c>
      <c r="T428" s="171">
        <v>14.4</v>
      </c>
      <c r="U428" s="172">
        <v>18</v>
      </c>
      <c r="V428" s="173"/>
      <c r="W428" s="171">
        <v>4.9000000000000002E-2</v>
      </c>
      <c r="X428" s="172">
        <v>4.9000000000000002E-2</v>
      </c>
    </row>
    <row r="429" spans="1:24" x14ac:dyDescent="0.2">
      <c r="A429" t="str">
        <f t="shared" ref="A429:A450" si="39">M$428</f>
        <v>EU-14</v>
      </c>
      <c r="B429" t="str">
        <f>Tabl_B8_TTO!A20</f>
        <v>50-00-0</v>
      </c>
      <c r="D429">
        <v>0</v>
      </c>
      <c r="E429">
        <f>Tabl_B8_TTO!C20</f>
        <v>1.7000000000000001E-2</v>
      </c>
      <c r="F429" s="13">
        <f t="shared" ref="F429:F454" si="40">E429</f>
        <v>1.7000000000000001E-2</v>
      </c>
      <c r="G429" t="s">
        <v>408</v>
      </c>
      <c r="I429">
        <f>Tabl_B8_TTO!D20</f>
        <v>0.30660000000000004</v>
      </c>
      <c r="J429">
        <f>Tabl_B8_TTO!E20</f>
        <v>8.4000000000000003E-4</v>
      </c>
    </row>
    <row r="430" spans="1:24" x14ac:dyDescent="0.2">
      <c r="A430" t="str">
        <f t="shared" si="39"/>
        <v>EU-14</v>
      </c>
      <c r="B430">
        <f>Tabl_B8_TTO!A21</f>
        <v>401</v>
      </c>
      <c r="D430">
        <v>0</v>
      </c>
      <c r="E430">
        <f>Tabl_B8_TTO!C21</f>
        <v>1E-4</v>
      </c>
      <c r="F430" s="13">
        <f t="shared" si="40"/>
        <v>1E-4</v>
      </c>
      <c r="G430" t="s">
        <v>408</v>
      </c>
      <c r="I430">
        <f>Tabl_B8_TTO!D21</f>
        <v>1.803529411764706E-3</v>
      </c>
      <c r="J430">
        <f>Tabl_B8_TTO!E21</f>
        <v>4.9411764705882354E-6</v>
      </c>
    </row>
    <row r="431" spans="1:24" x14ac:dyDescent="0.2">
      <c r="A431" t="str">
        <f t="shared" si="39"/>
        <v>EU-14</v>
      </c>
      <c r="B431" t="str">
        <f>Tabl_B8_TTO!A22</f>
        <v>50-32-8</v>
      </c>
      <c r="D431">
        <v>0</v>
      </c>
      <c r="E431">
        <f>Tabl_B8_TTO!C22</f>
        <v>1.1999999999999999E-6</v>
      </c>
      <c r="F431" s="13">
        <f t="shared" si="40"/>
        <v>1.1999999999999999E-6</v>
      </c>
      <c r="G431" t="s">
        <v>408</v>
      </c>
      <c r="I431">
        <f>Tabl_B8_TTO!D22</f>
        <v>2.1642352941176468E-5</v>
      </c>
      <c r="J431">
        <f>Tabl_B8_TTO!E22</f>
        <v>5.9294117647058814E-8</v>
      </c>
    </row>
    <row r="432" spans="1:24" x14ac:dyDescent="0.2">
      <c r="A432" t="str">
        <f t="shared" si="39"/>
        <v>EU-14</v>
      </c>
      <c r="B432" t="str">
        <f>Tabl_B8_TTO!A23</f>
        <v>91-20-3</v>
      </c>
      <c r="D432">
        <v>0</v>
      </c>
      <c r="E432">
        <f>Tabl_B8_TTO!C23</f>
        <v>2.9999999999999997E-4</v>
      </c>
      <c r="F432" s="13">
        <f t="shared" si="40"/>
        <v>2.9999999999999997E-4</v>
      </c>
      <c r="G432" t="s">
        <v>408</v>
      </c>
      <c r="I432">
        <f>Tabl_B8_TTO!D23</f>
        <v>5.4105882352941176E-3</v>
      </c>
      <c r="J432">
        <f>Tabl_B8_TTO!E23</f>
        <v>1.4823529411764704E-5</v>
      </c>
    </row>
    <row r="433" spans="1:10" x14ac:dyDescent="0.2">
      <c r="A433" t="str">
        <f t="shared" si="39"/>
        <v>EU-14</v>
      </c>
      <c r="B433" t="str">
        <f>Tabl_B8_TTO!A24</f>
        <v>75-07-0</v>
      </c>
      <c r="D433">
        <v>0</v>
      </c>
      <c r="E433">
        <f>Tabl_B8_TTO!C24</f>
        <v>4.3E-3</v>
      </c>
      <c r="F433" s="13">
        <f t="shared" si="40"/>
        <v>4.3E-3</v>
      </c>
      <c r="G433" t="s">
        <v>408</v>
      </c>
      <c r="I433">
        <f>Tabl_B8_TTO!D24</f>
        <v>7.7551764705882348E-2</v>
      </c>
      <c r="J433">
        <f>Tabl_B8_TTO!E24</f>
        <v>2.1247058823529411E-4</v>
      </c>
    </row>
    <row r="434" spans="1:10" x14ac:dyDescent="0.2">
      <c r="A434" t="str">
        <f t="shared" si="39"/>
        <v>EU-14</v>
      </c>
      <c r="B434" t="str">
        <f>Tabl_B8_TTO!A25</f>
        <v>107-02-8</v>
      </c>
      <c r="D434">
        <v>0</v>
      </c>
      <c r="E434">
        <f>Tabl_B8_TTO!C25</f>
        <v>2.7000000000000001E-3</v>
      </c>
      <c r="F434" s="13">
        <f t="shared" si="40"/>
        <v>2.7000000000000001E-3</v>
      </c>
      <c r="G434" t="s">
        <v>408</v>
      </c>
      <c r="I434">
        <f>Tabl_B8_TTO!D25</f>
        <v>4.8695294117647059E-2</v>
      </c>
      <c r="J434">
        <f>Tabl_B8_TTO!E25</f>
        <v>1.3341176470588236E-4</v>
      </c>
    </row>
    <row r="435" spans="1:10" x14ac:dyDescent="0.2">
      <c r="A435" t="str">
        <f t="shared" si="39"/>
        <v>EU-14</v>
      </c>
      <c r="B435" t="str">
        <f>Tabl_B8_TTO!A26</f>
        <v>7664-41-7</v>
      </c>
      <c r="D435">
        <v>0</v>
      </c>
      <c r="E435">
        <f>Tabl_B8_TTO!C26</f>
        <v>18</v>
      </c>
      <c r="F435" s="13">
        <f t="shared" si="40"/>
        <v>18</v>
      </c>
      <c r="G435" t="s">
        <v>408</v>
      </c>
      <c r="I435">
        <f>Tabl_B8_TTO!D26</f>
        <v>324.63529411764705</v>
      </c>
      <c r="J435">
        <f>Tabl_B8_TTO!E26</f>
        <v>0.88941176470588235</v>
      </c>
    </row>
    <row r="436" spans="1:10" x14ac:dyDescent="0.2">
      <c r="A436" t="str">
        <f t="shared" si="39"/>
        <v>EU-14</v>
      </c>
      <c r="B436" t="str">
        <f>Tabl_B8_TTO!A27</f>
        <v>7440-38-2</v>
      </c>
      <c r="D436">
        <v>0</v>
      </c>
      <c r="E436">
        <f>Tabl_B8_TTO!C27</f>
        <v>2.0000000000000001E-4</v>
      </c>
      <c r="F436" s="13">
        <f t="shared" si="40"/>
        <v>2.0000000000000001E-4</v>
      </c>
      <c r="G436" t="s">
        <v>408</v>
      </c>
      <c r="I436">
        <f>Tabl_B8_TTO!D27</f>
        <v>3.607058823529412E-3</v>
      </c>
      <c r="J436">
        <f>Tabl_B8_TTO!E27</f>
        <v>9.8823529411764707E-6</v>
      </c>
    </row>
    <row r="437" spans="1:10" x14ac:dyDescent="0.2">
      <c r="A437" t="str">
        <f t="shared" si="39"/>
        <v>EU-14</v>
      </c>
      <c r="B437" t="str">
        <f>Tabl_B8_TTO!A28</f>
        <v>7440-39-3</v>
      </c>
      <c r="D437">
        <v>0</v>
      </c>
      <c r="E437">
        <f>Tabl_B8_TTO!C28</f>
        <v>4.4000000000000003E-3</v>
      </c>
      <c r="F437" s="13">
        <f t="shared" si="40"/>
        <v>4.4000000000000003E-3</v>
      </c>
      <c r="G437" t="s">
        <v>408</v>
      </c>
      <c r="I437">
        <f>Tabl_B8_TTO!D28</f>
        <v>7.9355294117647066E-2</v>
      </c>
      <c r="J437">
        <f>Tabl_B8_TTO!E28</f>
        <v>2.1741176470588234E-4</v>
      </c>
    </row>
    <row r="438" spans="1:10" x14ac:dyDescent="0.2">
      <c r="A438" t="str">
        <f t="shared" si="39"/>
        <v>EU-14</v>
      </c>
      <c r="B438" t="str">
        <f>Tabl_B8_TTO!A29</f>
        <v>7440-41-7</v>
      </c>
      <c r="D438">
        <v>0</v>
      </c>
      <c r="E438">
        <f>Tabl_B8_TTO!C29</f>
        <v>1.2E-5</v>
      </c>
      <c r="F438" s="13">
        <f t="shared" si="40"/>
        <v>1.2E-5</v>
      </c>
      <c r="G438" t="s">
        <v>408</v>
      </c>
      <c r="I438">
        <f>Tabl_B8_TTO!D29</f>
        <v>2.1642352941176471E-4</v>
      </c>
      <c r="J438">
        <f>Tabl_B8_TTO!E29</f>
        <v>5.9294117647058826E-7</v>
      </c>
    </row>
    <row r="439" spans="1:10" x14ac:dyDescent="0.2">
      <c r="A439" t="str">
        <f t="shared" si="39"/>
        <v>EU-14</v>
      </c>
      <c r="B439" t="str">
        <f>Tabl_B8_TTO!A30</f>
        <v>7440-43-9</v>
      </c>
      <c r="D439">
        <v>0</v>
      </c>
      <c r="E439">
        <f>Tabl_B8_TTO!C30</f>
        <v>1.1000000000000001E-3</v>
      </c>
      <c r="F439" s="13">
        <f t="shared" si="40"/>
        <v>1.1000000000000001E-3</v>
      </c>
      <c r="G439" t="s">
        <v>408</v>
      </c>
      <c r="I439">
        <f>Tabl_B8_TTO!D30</f>
        <v>1.9838823529411766E-2</v>
      </c>
      <c r="J439">
        <f>Tabl_B8_TTO!E30</f>
        <v>5.4352941176470585E-5</v>
      </c>
    </row>
    <row r="440" spans="1:10" x14ac:dyDescent="0.2">
      <c r="A440" t="str">
        <f t="shared" si="39"/>
        <v>EU-14</v>
      </c>
      <c r="B440" t="str">
        <f>Tabl_B8_TTO!A31</f>
        <v>18540-29-9</v>
      </c>
      <c r="D440">
        <v>0</v>
      </c>
      <c r="E440">
        <f>Tabl_B8_TTO!C31</f>
        <v>1.4E-3</v>
      </c>
      <c r="F440" s="13">
        <f t="shared" si="40"/>
        <v>1.4E-3</v>
      </c>
      <c r="G440" t="s">
        <v>408</v>
      </c>
      <c r="I440">
        <f>Tabl_B8_TTO!D31</f>
        <v>2.5249411764705881E-2</v>
      </c>
      <c r="J440">
        <f>Tabl_B8_TTO!E31</f>
        <v>6.9176470588235293E-5</v>
      </c>
    </row>
    <row r="441" spans="1:10" x14ac:dyDescent="0.2">
      <c r="A441" t="str">
        <f t="shared" si="39"/>
        <v>EU-14</v>
      </c>
      <c r="B441" t="str">
        <f>Tabl_B8_TTO!A32</f>
        <v>7440-48-4</v>
      </c>
      <c r="D441">
        <v>0</v>
      </c>
      <c r="E441">
        <f>Tabl_B8_TTO!C32</f>
        <v>8.3999999999999995E-5</v>
      </c>
      <c r="F441" s="13">
        <f t="shared" si="40"/>
        <v>8.3999999999999995E-5</v>
      </c>
      <c r="G441" t="s">
        <v>408</v>
      </c>
      <c r="I441">
        <f>Tabl_B8_TTO!D32</f>
        <v>1.5149647058823529E-3</v>
      </c>
      <c r="J441">
        <f>Tabl_B8_TTO!E32</f>
        <v>4.1505882352941173E-6</v>
      </c>
    </row>
    <row r="442" spans="1:10" x14ac:dyDescent="0.2">
      <c r="A442" t="str">
        <f t="shared" si="39"/>
        <v>EU-14</v>
      </c>
      <c r="B442" t="str">
        <f>Tabl_B8_TTO!A33</f>
        <v>7440-50-8</v>
      </c>
      <c r="D442">
        <v>0</v>
      </c>
      <c r="E442">
        <f>Tabl_B8_TTO!C33</f>
        <v>8.4999999999999995E-4</v>
      </c>
      <c r="F442" s="13">
        <f t="shared" si="40"/>
        <v>8.4999999999999995E-4</v>
      </c>
      <c r="G442" t="s">
        <v>408</v>
      </c>
      <c r="I442">
        <f>Tabl_B8_TTO!D33</f>
        <v>1.533E-2</v>
      </c>
      <c r="J442">
        <f>Tabl_B8_TTO!E33</f>
        <v>4.1999999999999998E-5</v>
      </c>
    </row>
    <row r="443" spans="1:10" x14ac:dyDescent="0.2">
      <c r="A443" t="str">
        <f t="shared" si="39"/>
        <v>EU-14</v>
      </c>
      <c r="B443" t="str">
        <f>Tabl_B8_TTO!A34</f>
        <v>100-41-4</v>
      </c>
      <c r="D443">
        <v>0</v>
      </c>
      <c r="E443">
        <f>Tabl_B8_TTO!C34</f>
        <v>9.4999999999999998E-3</v>
      </c>
      <c r="F443" s="13">
        <f t="shared" si="40"/>
        <v>9.4999999999999998E-3</v>
      </c>
      <c r="G443" t="s">
        <v>408</v>
      </c>
      <c r="I443">
        <f>Tabl_B8_TTO!D34</f>
        <v>0.17133529411764706</v>
      </c>
      <c r="J443">
        <f>Tabl_B8_TTO!E34</f>
        <v>4.6941176470588231E-4</v>
      </c>
    </row>
    <row r="444" spans="1:10" x14ac:dyDescent="0.2">
      <c r="A444" t="str">
        <f t="shared" si="39"/>
        <v>EU-14</v>
      </c>
      <c r="B444" t="str">
        <f>Tabl_B8_TTO!A35</f>
        <v>110-54-3</v>
      </c>
      <c r="D444">
        <v>0</v>
      </c>
      <c r="E444">
        <f>Tabl_B8_TTO!C35</f>
        <v>6.3E-3</v>
      </c>
      <c r="F444" s="13">
        <f t="shared" si="40"/>
        <v>6.3E-3</v>
      </c>
      <c r="G444" t="s">
        <v>408</v>
      </c>
      <c r="I444">
        <f>Tabl_B8_TTO!D35</f>
        <v>0.11362235294117647</v>
      </c>
      <c r="J444">
        <f>Tabl_B8_TTO!E35</f>
        <v>3.1129411764705881E-4</v>
      </c>
    </row>
    <row r="445" spans="1:10" x14ac:dyDescent="0.2">
      <c r="A445" t="str">
        <f t="shared" si="39"/>
        <v>EU-14</v>
      </c>
      <c r="B445" t="str">
        <f>Tabl_B8_TTO!A36</f>
        <v>7439-92-1</v>
      </c>
      <c r="D445">
        <v>0</v>
      </c>
      <c r="E445">
        <f>Tabl_B8_TTO!C36</f>
        <v>5.0000000000000001E-4</v>
      </c>
      <c r="F445" s="13">
        <f t="shared" si="40"/>
        <v>5.0000000000000001E-4</v>
      </c>
      <c r="G445" t="s">
        <v>408</v>
      </c>
      <c r="I445">
        <f>Tabl_B8_TTO!D36</f>
        <v>9.0176470588235295E-3</v>
      </c>
      <c r="J445">
        <f>Tabl_B8_TTO!E36</f>
        <v>2.4705882352941174E-5</v>
      </c>
    </row>
    <row r="446" spans="1:10" x14ac:dyDescent="0.2">
      <c r="A446" t="str">
        <f t="shared" si="39"/>
        <v>EU-14</v>
      </c>
      <c r="B446" t="str">
        <f>Tabl_B8_TTO!A37</f>
        <v>7439-96-5</v>
      </c>
      <c r="D446">
        <v>0</v>
      </c>
      <c r="E446">
        <f>Tabl_B8_TTO!C37</f>
        <v>3.8000000000000002E-4</v>
      </c>
      <c r="F446" s="13">
        <f t="shared" si="40"/>
        <v>3.8000000000000002E-4</v>
      </c>
      <c r="G446" t="s">
        <v>408</v>
      </c>
      <c r="I446">
        <f>Tabl_B8_TTO!D37</f>
        <v>6.853411764705883E-3</v>
      </c>
      <c r="J446">
        <f>Tabl_B8_TTO!E37</f>
        <v>1.8776470588235295E-5</v>
      </c>
    </row>
    <row r="447" spans="1:10" x14ac:dyDescent="0.2">
      <c r="A447" t="str">
        <f t="shared" si="39"/>
        <v>EU-14</v>
      </c>
      <c r="B447" t="str">
        <f>Tabl_B8_TTO!A38</f>
        <v>7439-97-6</v>
      </c>
      <c r="D447">
        <v>0</v>
      </c>
      <c r="E447">
        <f>Tabl_B8_TTO!C38</f>
        <v>2.5999999999999998E-4</v>
      </c>
      <c r="F447" s="13">
        <f t="shared" si="40"/>
        <v>2.5999999999999998E-4</v>
      </c>
      <c r="G447" t="s">
        <v>408</v>
      </c>
      <c r="I447">
        <f>Tabl_B8_TTO!D38</f>
        <v>4.6891764705882348E-3</v>
      </c>
      <c r="J447">
        <f>Tabl_B8_TTO!E38</f>
        <v>1.284705882352941E-5</v>
      </c>
    </row>
    <row r="448" spans="1:10" x14ac:dyDescent="0.2">
      <c r="A448" t="str">
        <f t="shared" si="39"/>
        <v>EU-14</v>
      </c>
      <c r="B448" t="str">
        <f>Tabl_B8_TTO!A39</f>
        <v>1313-27-5</v>
      </c>
      <c r="D448">
        <v>0</v>
      </c>
      <c r="E448">
        <f>Tabl_B8_TTO!C39</f>
        <v>1.65E-3</v>
      </c>
      <c r="F448" s="13">
        <f t="shared" si="40"/>
        <v>1.65E-3</v>
      </c>
      <c r="G448" t="s">
        <v>408</v>
      </c>
      <c r="I448">
        <f>Tabl_B8_TTO!D39</f>
        <v>2.9758235294117648E-2</v>
      </c>
      <c r="J448">
        <f>Tabl_B8_TTO!E39</f>
        <v>8.1529411764705881E-5</v>
      </c>
    </row>
    <row r="449" spans="1:25" x14ac:dyDescent="0.2">
      <c r="A449" t="str">
        <f t="shared" si="39"/>
        <v>EU-14</v>
      </c>
      <c r="B449">
        <f>Tabl_B8_TTO!A40</f>
        <v>365</v>
      </c>
      <c r="D449">
        <v>0</v>
      </c>
      <c r="E449">
        <f>Tabl_B8_TTO!C40</f>
        <v>2.0999999999999999E-3</v>
      </c>
      <c r="F449" s="13">
        <f t="shared" si="40"/>
        <v>2.0999999999999999E-3</v>
      </c>
      <c r="G449" t="s">
        <v>408</v>
      </c>
      <c r="I449">
        <f>Tabl_B8_TTO!D40</f>
        <v>3.7874117647058822E-2</v>
      </c>
      <c r="J449">
        <f>Tabl_B8_TTO!E40</f>
        <v>1.0376470588235293E-4</v>
      </c>
    </row>
    <row r="450" spans="1:25" x14ac:dyDescent="0.2">
      <c r="A450" t="str">
        <f t="shared" si="39"/>
        <v>EU-14</v>
      </c>
      <c r="B450" t="str">
        <f>Tabl_B8_TTO!A41</f>
        <v>7782-49-2</v>
      </c>
      <c r="D450">
        <v>0</v>
      </c>
      <c r="E450">
        <f>Tabl_B8_TTO!C41</f>
        <v>2.4000000000000001E-5</v>
      </c>
      <c r="F450" s="13">
        <f t="shared" si="40"/>
        <v>2.4000000000000001E-5</v>
      </c>
      <c r="G450" t="s">
        <v>408</v>
      </c>
      <c r="I450">
        <f>Tabl_B8_TTO!D41</f>
        <v>4.3284705882352942E-4</v>
      </c>
      <c r="J450">
        <f>Tabl_B8_TTO!E41</f>
        <v>1.1858823529411765E-6</v>
      </c>
    </row>
    <row r="451" spans="1:25" x14ac:dyDescent="0.2">
      <c r="A451" t="str">
        <f t="shared" ref="A451:A454" si="41">M$428</f>
        <v>EU-14</v>
      </c>
      <c r="B451" t="str">
        <f>Tabl_B8_TTO!A42</f>
        <v>108-88-3</v>
      </c>
      <c r="D451">
        <v>0</v>
      </c>
      <c r="E451">
        <f>Tabl_B8_TTO!C42</f>
        <v>3.6600000000000001E-2</v>
      </c>
      <c r="F451" s="13">
        <f t="shared" si="40"/>
        <v>3.6600000000000001E-2</v>
      </c>
      <c r="G451" t="s">
        <v>408</v>
      </c>
      <c r="I451">
        <f>Tabl_B8_TTO!D42</f>
        <v>0.66009176470588238</v>
      </c>
      <c r="J451">
        <f>Tabl_B8_TTO!E42</f>
        <v>1.808470588235294E-3</v>
      </c>
    </row>
    <row r="452" spans="1:25" x14ac:dyDescent="0.2">
      <c r="A452" t="str">
        <f t="shared" si="41"/>
        <v>EU-14</v>
      </c>
      <c r="B452" t="str">
        <f>Tabl_B8_TTO!A43</f>
        <v>7440-62-2</v>
      </c>
      <c r="D452">
        <v>0</v>
      </c>
      <c r="E452">
        <f>Tabl_B8_TTO!C43</f>
        <v>2.3E-3</v>
      </c>
      <c r="F452" s="13">
        <f t="shared" si="40"/>
        <v>2.3E-3</v>
      </c>
      <c r="G452" t="s">
        <v>408</v>
      </c>
      <c r="I452">
        <f>Tabl_B8_TTO!D43</f>
        <v>4.1481176470588237E-2</v>
      </c>
      <c r="J452">
        <f>Tabl_B8_TTO!E43</f>
        <v>1.136470588235294E-4</v>
      </c>
    </row>
    <row r="453" spans="1:25" x14ac:dyDescent="0.2">
      <c r="A453" t="str">
        <f t="shared" si="41"/>
        <v>EU-14</v>
      </c>
      <c r="B453" t="str">
        <f>Tabl_B8_TTO!A44</f>
        <v>1330-20-7</v>
      </c>
      <c r="D453">
        <v>0</v>
      </c>
      <c r="E453">
        <f>Tabl_B8_TTO!C44</f>
        <v>2.7199999999999998E-2</v>
      </c>
      <c r="F453" s="13">
        <f t="shared" si="40"/>
        <v>2.7199999999999998E-2</v>
      </c>
      <c r="G453" t="s">
        <v>408</v>
      </c>
      <c r="I453">
        <f>Tabl_B8_TTO!D44</f>
        <v>0.49056</v>
      </c>
      <c r="J453">
        <f>Tabl_B8_TTO!E44</f>
        <v>1.3439999999999999E-3</v>
      </c>
    </row>
    <row r="454" spans="1:25" x14ac:dyDescent="0.2">
      <c r="A454" t="str">
        <f t="shared" si="41"/>
        <v>EU-14</v>
      </c>
      <c r="B454" t="str">
        <f>Tabl_B8_TTO!A45</f>
        <v>7440-66-6</v>
      </c>
      <c r="D454">
        <v>0</v>
      </c>
      <c r="E454">
        <f>Tabl_B8_TTO!C45</f>
        <v>2.9000000000000001E-2</v>
      </c>
      <c r="F454" s="13">
        <f t="shared" si="40"/>
        <v>2.9000000000000001E-2</v>
      </c>
      <c r="G454" t="s">
        <v>408</v>
      </c>
      <c r="I454">
        <f>Tabl_B8_TTO!D45</f>
        <v>0.52302352941176478</v>
      </c>
      <c r="J454">
        <f>Tabl_B8_TTO!E45</f>
        <v>1.4329411764705882E-3</v>
      </c>
    </row>
    <row r="455" spans="1:25" x14ac:dyDescent="0.2">
      <c r="A455" t="str">
        <f>M$455</f>
        <v>EU-15</v>
      </c>
      <c r="B455" s="11" t="str">
        <f>Tabl_B9_GDF!A75</f>
        <v>526‐73‐8</v>
      </c>
      <c r="C455" s="11"/>
      <c r="D455">
        <v>0</v>
      </c>
      <c r="E455" s="11">
        <f>Tabl_B9_GDF!C75</f>
        <v>7.0580000000000005E-5</v>
      </c>
      <c r="F455" s="11">
        <f>E455</f>
        <v>7.0580000000000005E-5</v>
      </c>
      <c r="G455" t="s">
        <v>411</v>
      </c>
      <c r="I455" s="11">
        <f>Tabl_B9_GDF!D75</f>
        <v>0.22886537874068999</v>
      </c>
      <c r="J455" s="11">
        <f>Tabl_B9_GDF!E75</f>
        <v>7.9728069210747224E-3</v>
      </c>
      <c r="M455" t="str">
        <f>Tabl_B9_GDF!C4</f>
        <v>EU-15</v>
      </c>
      <c r="N455" s="168" t="s">
        <v>440</v>
      </c>
      <c r="O455" t="s">
        <v>413</v>
      </c>
      <c r="P455" t="s">
        <v>416</v>
      </c>
      <c r="Q455" t="str">
        <f>Tabl_B9_GDF!C5</f>
        <v>GDF</v>
      </c>
      <c r="R455" s="169" t="s">
        <v>452</v>
      </c>
      <c r="S455" s="170" t="s">
        <v>453</v>
      </c>
      <c r="T455" s="171">
        <v>7.4989999999999997</v>
      </c>
      <c r="U455" s="172">
        <v>10</v>
      </c>
      <c r="V455" s="173"/>
      <c r="W455" s="171">
        <v>0.4</v>
      </c>
      <c r="X455" s="172">
        <v>0.5</v>
      </c>
      <c r="Y455" s="173"/>
    </row>
    <row r="456" spans="1:25" x14ac:dyDescent="0.2">
      <c r="A456" t="str">
        <f t="shared" ref="A456:A457" si="42">M$455</f>
        <v>EU-15</v>
      </c>
      <c r="B456" s="11" t="str">
        <f>Tabl_B9_GDF!A76</f>
        <v>95‐63‐6</v>
      </c>
      <c r="C456" s="11"/>
      <c r="D456">
        <v>0</v>
      </c>
      <c r="E456" s="11">
        <f>Tabl_B9_GDF!C76</f>
        <v>3.9798999999999998E-4</v>
      </c>
      <c r="F456" s="11">
        <f t="shared" ref="F456:F457" si="43">E456</f>
        <v>3.9798999999999998E-4</v>
      </c>
      <c r="G456" t="s">
        <v>411</v>
      </c>
      <c r="I456" s="11">
        <f>Tabl_B9_GDF!D76</f>
        <v>1.290537433904891</v>
      </c>
      <c r="J456" s="11">
        <f>Tabl_B9_GDF!E76</f>
        <v>4.4957458579180057E-2</v>
      </c>
    </row>
    <row r="457" spans="1:25" x14ac:dyDescent="0.2">
      <c r="A457" t="str">
        <f t="shared" si="42"/>
        <v>EU-15</v>
      </c>
      <c r="B457" s="11" t="str">
        <f>Tabl_B9_GDF!A77</f>
        <v>108‐67‐8</v>
      </c>
      <c r="C457" s="11"/>
      <c r="D457">
        <v>0</v>
      </c>
      <c r="E457" s="11">
        <f>Tabl_B9_GDF!C77</f>
        <v>1.5564999999999999E-4</v>
      </c>
      <c r="F457" s="11">
        <f t="shared" si="43"/>
        <v>1.5564999999999999E-4</v>
      </c>
      <c r="G457" t="s">
        <v>411</v>
      </c>
      <c r="I457" s="11">
        <f>Tabl_B9_GDF!D77</f>
        <v>0.50471657978164342</v>
      </c>
      <c r="J457" s="11">
        <f>Tabl_B9_GDF!E77</f>
        <v>1.7582422743911596E-2</v>
      </c>
    </row>
    <row r="458" spans="1:25" x14ac:dyDescent="0.2">
      <c r="B458" s="11"/>
      <c r="C458" s="11"/>
      <c r="E458" s="11"/>
      <c r="F458" s="11"/>
      <c r="I458" s="11"/>
      <c r="J458" s="11"/>
    </row>
    <row r="459" spans="1:25" x14ac:dyDescent="0.2">
      <c r="B459" s="11"/>
      <c r="C459" s="11"/>
      <c r="E459" s="11"/>
      <c r="F459" s="11"/>
      <c r="I459" s="11"/>
      <c r="J459" s="11"/>
    </row>
    <row r="460" spans="1:25" x14ac:dyDescent="0.2">
      <c r="B460" s="11"/>
      <c r="C460" s="11"/>
      <c r="E460" s="11"/>
      <c r="F460" s="11"/>
      <c r="I460" s="11"/>
      <c r="J460" s="11"/>
    </row>
    <row r="461" spans="1:25" x14ac:dyDescent="0.2">
      <c r="B461" s="11"/>
      <c r="C461" s="11"/>
      <c r="E461" s="11"/>
      <c r="F461" s="11"/>
      <c r="I461" s="11"/>
      <c r="J461" s="11"/>
    </row>
    <row r="462" spans="1:25" x14ac:dyDescent="0.2">
      <c r="B462" s="11"/>
      <c r="C462" s="11"/>
      <c r="E462" s="11"/>
      <c r="F462" s="11"/>
      <c r="I462" s="11"/>
      <c r="J462" s="11"/>
    </row>
    <row r="463" spans="1:25" x14ac:dyDescent="0.2">
      <c r="B463" s="11"/>
      <c r="C463" s="11"/>
      <c r="E463" s="11"/>
      <c r="F463" s="11"/>
      <c r="I463" s="11"/>
      <c r="J463" s="11"/>
    </row>
    <row r="464" spans="1:25" x14ac:dyDescent="0.2">
      <c r="B464" s="11"/>
      <c r="C464" s="11"/>
      <c r="E464" s="11"/>
      <c r="F464" s="11"/>
      <c r="I464" s="11"/>
      <c r="J464" s="11"/>
    </row>
    <row r="465" spans="2:10" x14ac:dyDescent="0.2">
      <c r="B465" s="11"/>
      <c r="C465" s="11"/>
      <c r="E465" s="11"/>
      <c r="F465" s="11"/>
      <c r="I465" s="11"/>
      <c r="J465" s="11"/>
    </row>
    <row r="466" spans="2:10" x14ac:dyDescent="0.2">
      <c r="B466" s="11"/>
      <c r="C466" s="11"/>
      <c r="E466" s="11"/>
      <c r="F466" s="11"/>
      <c r="I466" s="11"/>
      <c r="J466" s="11"/>
    </row>
    <row r="467" spans="2:10" x14ac:dyDescent="0.2">
      <c r="B467" s="11"/>
      <c r="C467" s="11"/>
      <c r="E467" s="11"/>
      <c r="F467" s="11"/>
      <c r="I467" s="11"/>
      <c r="J467" s="11"/>
    </row>
    <row r="468" spans="2:10" x14ac:dyDescent="0.2">
      <c r="B468" s="11"/>
      <c r="C468" s="11"/>
      <c r="E468" s="11"/>
      <c r="F468" s="11"/>
      <c r="I468" s="11"/>
      <c r="J468" s="11"/>
    </row>
    <row r="469" spans="2:10" x14ac:dyDescent="0.2">
      <c r="B469" s="11"/>
      <c r="C469" s="11"/>
      <c r="E469" s="11"/>
      <c r="F469" s="11"/>
      <c r="I469" s="11"/>
      <c r="J469" s="11"/>
    </row>
    <row r="470" spans="2:10" x14ac:dyDescent="0.2">
      <c r="B470" s="11"/>
      <c r="C470" s="11"/>
      <c r="E470" s="11"/>
      <c r="F470" s="11"/>
      <c r="I470" s="11"/>
      <c r="J470" s="11"/>
    </row>
    <row r="471" spans="2:10" x14ac:dyDescent="0.2">
      <c r="B471" s="11"/>
      <c r="C471" s="11"/>
      <c r="E471" s="11"/>
      <c r="F471" s="11"/>
      <c r="I471" s="11"/>
      <c r="J471" s="11"/>
    </row>
    <row r="472" spans="2:10" x14ac:dyDescent="0.2">
      <c r="B472" s="11"/>
      <c r="C472" s="11"/>
      <c r="E472" s="11"/>
      <c r="F472" s="11"/>
      <c r="I472" s="11"/>
      <c r="J472" s="11"/>
    </row>
    <row r="473" spans="2:10" x14ac:dyDescent="0.2">
      <c r="B473" s="11"/>
      <c r="C473" s="11"/>
      <c r="E473" s="11"/>
      <c r="F473" s="11"/>
      <c r="I473" s="11"/>
      <c r="J473" s="11"/>
    </row>
    <row r="474" spans="2:10" x14ac:dyDescent="0.2">
      <c r="B474" s="11"/>
      <c r="C474" s="11"/>
      <c r="E474" s="11"/>
      <c r="F474" s="11"/>
      <c r="I474" s="11"/>
      <c r="J474" s="11"/>
    </row>
  </sheetData>
  <autoFilter ref="M23:X474" xr:uid="{54DD3954-A76A-4741-8F3E-3D5015A7D82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F214-B51B-DC49-9DB8-7ED35F6E949B}">
  <sheetPr codeName="Sheet34">
    <tabColor rgb="FF00B050"/>
  </sheetPr>
  <dimension ref="A1:E56"/>
  <sheetViews>
    <sheetView workbookViewId="0">
      <selection activeCell="K26" sqref="K26"/>
    </sheetView>
  </sheetViews>
  <sheetFormatPr baseColWidth="10" defaultColWidth="11" defaultRowHeight="16" x14ac:dyDescent="0.2"/>
  <cols>
    <col min="1" max="1" width="19.33203125" style="516" customWidth="1"/>
    <col min="2" max="2" width="28.6640625" customWidth="1"/>
    <col min="3" max="6" width="12.5" customWidth="1"/>
  </cols>
  <sheetData>
    <row r="1" spans="1:3" ht="19" x14ac:dyDescent="0.25">
      <c r="A1" s="520" t="s">
        <v>198</v>
      </c>
      <c r="B1" s="139"/>
    </row>
    <row r="2" spans="1:3" ht="19" x14ac:dyDescent="0.25">
      <c r="A2" s="520" t="s">
        <v>302</v>
      </c>
    </row>
    <row r="4" spans="1:3" x14ac:dyDescent="0.2">
      <c r="B4" s="26" t="s">
        <v>199</v>
      </c>
      <c r="C4" t="s">
        <v>303</v>
      </c>
    </row>
    <row r="5" spans="1:3" x14ac:dyDescent="0.2">
      <c r="B5" s="26" t="s">
        <v>200</v>
      </c>
      <c r="C5" t="s">
        <v>304</v>
      </c>
    </row>
    <row r="6" spans="1:3" x14ac:dyDescent="0.2">
      <c r="B6" s="26" t="s">
        <v>201</v>
      </c>
      <c r="C6" t="s">
        <v>298</v>
      </c>
    </row>
    <row r="7" spans="1:3" x14ac:dyDescent="0.2">
      <c r="A7" s="526"/>
    </row>
    <row r="9" spans="1:3" ht="19" x14ac:dyDescent="0.25">
      <c r="A9" s="521" t="s">
        <v>204</v>
      </c>
    </row>
    <row r="11" spans="1:3" x14ac:dyDescent="0.2">
      <c r="A11" s="516" t="s">
        <v>217</v>
      </c>
      <c r="B11" s="132">
        <v>18396</v>
      </c>
      <c r="C11" t="s">
        <v>299</v>
      </c>
    </row>
    <row r="12" spans="1:3" x14ac:dyDescent="0.2">
      <c r="A12" s="516" t="s">
        <v>218</v>
      </c>
      <c r="B12" s="12">
        <f>B11/365</f>
        <v>50.4</v>
      </c>
      <c r="C12" t="s">
        <v>45</v>
      </c>
    </row>
    <row r="13" spans="1:3" x14ac:dyDescent="0.2">
      <c r="A13" s="516" t="s">
        <v>300</v>
      </c>
      <c r="B13">
        <v>1020</v>
      </c>
      <c r="C13" t="s">
        <v>301</v>
      </c>
    </row>
    <row r="14" spans="1:3" x14ac:dyDescent="0.2">
      <c r="A14" s="516" t="s">
        <v>217</v>
      </c>
      <c r="B14" s="47">
        <f>B11/B13</f>
        <v>18.035294117647059</v>
      </c>
      <c r="C14" t="s">
        <v>257</v>
      </c>
    </row>
    <row r="15" spans="1:3" x14ac:dyDescent="0.2">
      <c r="A15" s="516" t="s">
        <v>218</v>
      </c>
      <c r="B15" s="46">
        <f>B12/B13</f>
        <v>4.9411764705882349E-2</v>
      </c>
      <c r="C15" t="s">
        <v>244</v>
      </c>
    </row>
    <row r="18" spans="1:5" ht="34" x14ac:dyDescent="0.2">
      <c r="A18" s="522" t="s">
        <v>209</v>
      </c>
      <c r="B18" s="29" t="s">
        <v>208</v>
      </c>
      <c r="C18" s="29" t="s">
        <v>237</v>
      </c>
      <c r="D18" s="29" t="s">
        <v>211</v>
      </c>
      <c r="E18" s="29" t="s">
        <v>212</v>
      </c>
    </row>
    <row r="19" spans="1:5" x14ac:dyDescent="0.2">
      <c r="A19" s="516" t="s">
        <v>100</v>
      </c>
      <c r="B19" t="s">
        <v>15</v>
      </c>
      <c r="C19">
        <v>8.0000000000000002E-3</v>
      </c>
      <c r="D19" s="13">
        <f>C19*$B$14</f>
        <v>0.14428235294117647</v>
      </c>
      <c r="E19" s="13">
        <f>C19*$B$15</f>
        <v>3.9529411764705879E-4</v>
      </c>
    </row>
    <row r="20" spans="1:5" x14ac:dyDescent="0.2">
      <c r="A20" s="516" t="s">
        <v>105</v>
      </c>
      <c r="B20" t="s">
        <v>17</v>
      </c>
      <c r="C20">
        <v>1.7000000000000001E-2</v>
      </c>
      <c r="D20" s="13">
        <f t="shared" ref="D20:D45" si="0">C20*$B$14</f>
        <v>0.30660000000000004</v>
      </c>
      <c r="E20" s="13">
        <f t="shared" ref="E20:E45" si="1">C20*$B$15</f>
        <v>8.4000000000000003E-4</v>
      </c>
    </row>
    <row r="21" spans="1:5" x14ac:dyDescent="0.2">
      <c r="A21" s="515">
        <v>401</v>
      </c>
      <c r="B21" t="s">
        <v>232</v>
      </c>
      <c r="C21">
        <v>1E-4</v>
      </c>
      <c r="D21" s="13">
        <f t="shared" si="0"/>
        <v>1.803529411764706E-3</v>
      </c>
      <c r="E21" s="13">
        <f t="shared" si="1"/>
        <v>4.9411764705882354E-6</v>
      </c>
    </row>
    <row r="22" spans="1:5" x14ac:dyDescent="0.2">
      <c r="A22" s="516" t="s">
        <v>192</v>
      </c>
      <c r="B22" t="s">
        <v>223</v>
      </c>
      <c r="C22">
        <v>1.1999999999999999E-6</v>
      </c>
      <c r="D22" s="13">
        <f t="shared" si="0"/>
        <v>2.1642352941176468E-5</v>
      </c>
      <c r="E22" s="13">
        <f t="shared" si="1"/>
        <v>5.9294117647058814E-8</v>
      </c>
    </row>
    <row r="23" spans="1:5" x14ac:dyDescent="0.2">
      <c r="A23" s="516" t="s">
        <v>107</v>
      </c>
      <c r="B23" t="s">
        <v>19</v>
      </c>
      <c r="C23">
        <v>2.9999999999999997E-4</v>
      </c>
      <c r="D23" s="13">
        <f t="shared" si="0"/>
        <v>5.4105882352941176E-3</v>
      </c>
      <c r="E23" s="13">
        <f t="shared" si="1"/>
        <v>1.4823529411764704E-5</v>
      </c>
    </row>
    <row r="24" spans="1:5" x14ac:dyDescent="0.2">
      <c r="A24" s="516" t="s">
        <v>97</v>
      </c>
      <c r="B24" t="s">
        <v>13</v>
      </c>
      <c r="C24">
        <v>4.3E-3</v>
      </c>
      <c r="D24" s="13">
        <f t="shared" si="0"/>
        <v>7.7551764705882348E-2</v>
      </c>
      <c r="E24" s="13">
        <f t="shared" si="1"/>
        <v>2.1247058823529411E-4</v>
      </c>
    </row>
    <row r="25" spans="1:5" x14ac:dyDescent="0.2">
      <c r="A25" s="516" t="s">
        <v>98</v>
      </c>
      <c r="B25" t="s">
        <v>14</v>
      </c>
      <c r="C25">
        <v>2.7000000000000001E-3</v>
      </c>
      <c r="D25" s="13">
        <f t="shared" si="0"/>
        <v>4.8695294117647059E-2</v>
      </c>
      <c r="E25" s="13">
        <f t="shared" si="1"/>
        <v>1.3341176470588236E-4</v>
      </c>
    </row>
    <row r="26" spans="1:5" x14ac:dyDescent="0.2">
      <c r="A26" s="516" t="s">
        <v>99</v>
      </c>
      <c r="B26" t="s">
        <v>33</v>
      </c>
      <c r="C26">
        <v>18</v>
      </c>
      <c r="D26" s="13">
        <f t="shared" si="0"/>
        <v>324.63529411764705</v>
      </c>
      <c r="E26" s="13">
        <f t="shared" si="1"/>
        <v>0.88941176470588235</v>
      </c>
    </row>
    <row r="27" spans="1:5" x14ac:dyDescent="0.2">
      <c r="A27" s="516" t="s">
        <v>83</v>
      </c>
      <c r="B27" t="s">
        <v>221</v>
      </c>
      <c r="C27">
        <v>2.0000000000000001E-4</v>
      </c>
      <c r="D27" s="13">
        <f t="shared" si="0"/>
        <v>3.607058823529412E-3</v>
      </c>
      <c r="E27" s="13">
        <f t="shared" si="1"/>
        <v>9.8823529411764707E-6</v>
      </c>
    </row>
    <row r="28" spans="1:5" x14ac:dyDescent="0.2">
      <c r="A28" s="516" t="s">
        <v>95</v>
      </c>
      <c r="B28" t="s">
        <v>222</v>
      </c>
      <c r="C28">
        <v>4.4000000000000003E-3</v>
      </c>
      <c r="D28" s="13">
        <f t="shared" si="0"/>
        <v>7.9355294117647066E-2</v>
      </c>
      <c r="E28" s="13">
        <f t="shared" si="1"/>
        <v>2.1741176470588234E-4</v>
      </c>
    </row>
    <row r="29" spans="1:5" x14ac:dyDescent="0.2">
      <c r="A29" s="516" t="s">
        <v>93</v>
      </c>
      <c r="B29" t="s">
        <v>224</v>
      </c>
      <c r="C29">
        <v>1.2E-5</v>
      </c>
      <c r="D29" s="13">
        <f t="shared" si="0"/>
        <v>2.1642352941176471E-4</v>
      </c>
      <c r="E29" s="13">
        <f t="shared" si="1"/>
        <v>5.9294117647058826E-7</v>
      </c>
    </row>
    <row r="30" spans="1:5" x14ac:dyDescent="0.2">
      <c r="A30" s="516" t="s">
        <v>84</v>
      </c>
      <c r="B30" t="s">
        <v>225</v>
      </c>
      <c r="C30">
        <v>1.1000000000000001E-3</v>
      </c>
      <c r="D30" s="13">
        <f t="shared" si="0"/>
        <v>1.9838823529411766E-2</v>
      </c>
      <c r="E30" s="13">
        <f t="shared" si="1"/>
        <v>5.4352941176470585E-5</v>
      </c>
    </row>
    <row r="31" spans="1:5" x14ac:dyDescent="0.2">
      <c r="A31" s="516" t="s">
        <v>85</v>
      </c>
      <c r="B31" t="s">
        <v>215</v>
      </c>
      <c r="C31">
        <v>1.4E-3</v>
      </c>
      <c r="D31" s="13">
        <f t="shared" si="0"/>
        <v>2.5249411764705881E-2</v>
      </c>
      <c r="E31" s="13">
        <f t="shared" si="1"/>
        <v>6.9176470588235293E-5</v>
      </c>
    </row>
    <row r="32" spans="1:5" x14ac:dyDescent="0.2">
      <c r="A32" s="516" t="s">
        <v>86</v>
      </c>
      <c r="B32" t="s">
        <v>227</v>
      </c>
      <c r="C32">
        <v>8.3999999999999995E-5</v>
      </c>
      <c r="D32" s="13">
        <f t="shared" si="0"/>
        <v>1.5149647058823529E-3</v>
      </c>
      <c r="E32" s="13">
        <f t="shared" si="1"/>
        <v>4.1505882352941173E-6</v>
      </c>
    </row>
    <row r="33" spans="1:5" x14ac:dyDescent="0.2">
      <c r="A33" s="516" t="s">
        <v>87</v>
      </c>
      <c r="B33" t="s">
        <v>194</v>
      </c>
      <c r="C33">
        <v>8.4999999999999995E-4</v>
      </c>
      <c r="D33" s="13">
        <f t="shared" si="0"/>
        <v>1.533E-2</v>
      </c>
      <c r="E33" s="13">
        <f t="shared" si="1"/>
        <v>4.1999999999999998E-5</v>
      </c>
    </row>
    <row r="34" spans="1:5" x14ac:dyDescent="0.2">
      <c r="A34" s="516" t="s">
        <v>103</v>
      </c>
      <c r="B34" t="s">
        <v>32</v>
      </c>
      <c r="C34">
        <v>9.4999999999999998E-3</v>
      </c>
      <c r="D34" s="13">
        <f t="shared" si="0"/>
        <v>0.17133529411764706</v>
      </c>
      <c r="E34" s="13">
        <f t="shared" si="1"/>
        <v>4.6941176470588231E-4</v>
      </c>
    </row>
    <row r="35" spans="1:5" x14ac:dyDescent="0.2">
      <c r="A35" s="516" t="s">
        <v>106</v>
      </c>
      <c r="B35" t="s">
        <v>18</v>
      </c>
      <c r="C35">
        <v>6.3E-3</v>
      </c>
      <c r="D35" s="13">
        <f t="shared" si="0"/>
        <v>0.11362235294117647</v>
      </c>
      <c r="E35" s="13">
        <f t="shared" si="1"/>
        <v>3.1129411764705881E-4</v>
      </c>
    </row>
    <row r="36" spans="1:5" x14ac:dyDescent="0.2">
      <c r="A36" s="516" t="s">
        <v>88</v>
      </c>
      <c r="B36" t="s">
        <v>228</v>
      </c>
      <c r="C36">
        <v>5.0000000000000001E-4</v>
      </c>
      <c r="D36" s="13">
        <f t="shared" si="0"/>
        <v>9.0176470588235295E-3</v>
      </c>
      <c r="E36" s="13">
        <f t="shared" si="1"/>
        <v>2.4705882352941174E-5</v>
      </c>
    </row>
    <row r="37" spans="1:5" x14ac:dyDescent="0.2">
      <c r="A37" s="516" t="s">
        <v>89</v>
      </c>
      <c r="B37" t="s">
        <v>229</v>
      </c>
      <c r="C37">
        <v>3.8000000000000002E-4</v>
      </c>
      <c r="D37" s="13">
        <f t="shared" si="0"/>
        <v>6.853411764705883E-3</v>
      </c>
      <c r="E37" s="13">
        <f t="shared" si="1"/>
        <v>1.8776470588235295E-5</v>
      </c>
    </row>
    <row r="38" spans="1:5" x14ac:dyDescent="0.2">
      <c r="A38" s="516" t="s">
        <v>90</v>
      </c>
      <c r="B38" t="s">
        <v>230</v>
      </c>
      <c r="C38">
        <v>2.5999999999999998E-4</v>
      </c>
      <c r="D38" s="13">
        <f t="shared" si="0"/>
        <v>4.6891764705882348E-3</v>
      </c>
      <c r="E38" s="13">
        <f t="shared" si="1"/>
        <v>1.284705882352941E-5</v>
      </c>
    </row>
    <row r="39" spans="1:5" x14ac:dyDescent="0.2">
      <c r="A39" s="516" t="s">
        <v>96</v>
      </c>
      <c r="B39" t="s">
        <v>196</v>
      </c>
      <c r="C39">
        <v>1.65E-3</v>
      </c>
      <c r="D39" s="13">
        <f t="shared" si="0"/>
        <v>2.9758235294117648E-2</v>
      </c>
      <c r="E39" s="13">
        <f t="shared" si="1"/>
        <v>8.1529411764705881E-5</v>
      </c>
    </row>
    <row r="40" spans="1:5" x14ac:dyDescent="0.2">
      <c r="A40" s="515">
        <v>365</v>
      </c>
      <c r="B40" t="s">
        <v>231</v>
      </c>
      <c r="C40">
        <v>2.0999999999999999E-3</v>
      </c>
      <c r="D40" s="13">
        <f t="shared" si="0"/>
        <v>3.7874117647058822E-2</v>
      </c>
      <c r="E40" s="13">
        <f t="shared" si="1"/>
        <v>1.0376470588235293E-4</v>
      </c>
    </row>
    <row r="41" spans="1:5" x14ac:dyDescent="0.2">
      <c r="A41" s="516" t="s">
        <v>91</v>
      </c>
      <c r="B41" t="s">
        <v>233</v>
      </c>
      <c r="C41">
        <v>2.4000000000000001E-5</v>
      </c>
      <c r="D41" s="13">
        <f t="shared" si="0"/>
        <v>4.3284705882352942E-4</v>
      </c>
      <c r="E41" s="13">
        <f t="shared" si="1"/>
        <v>1.1858823529411765E-6</v>
      </c>
    </row>
    <row r="42" spans="1:5" x14ac:dyDescent="0.2">
      <c r="A42" s="516" t="s">
        <v>109</v>
      </c>
      <c r="B42" t="s">
        <v>21</v>
      </c>
      <c r="C42">
        <v>3.6600000000000001E-2</v>
      </c>
      <c r="D42" s="13">
        <f t="shared" si="0"/>
        <v>0.66009176470588238</v>
      </c>
      <c r="E42" s="13">
        <f t="shared" si="1"/>
        <v>1.808470588235294E-3</v>
      </c>
    </row>
    <row r="43" spans="1:5" x14ac:dyDescent="0.2">
      <c r="A43" s="516" t="s">
        <v>92</v>
      </c>
      <c r="B43" t="s">
        <v>197</v>
      </c>
      <c r="C43">
        <v>2.3E-3</v>
      </c>
      <c r="D43" s="13">
        <f t="shared" si="0"/>
        <v>4.1481176470588237E-2</v>
      </c>
      <c r="E43" s="13">
        <f t="shared" si="1"/>
        <v>1.136470588235294E-4</v>
      </c>
    </row>
    <row r="44" spans="1:5" x14ac:dyDescent="0.2">
      <c r="A44" s="516" t="s">
        <v>111</v>
      </c>
      <c r="B44" t="s">
        <v>234</v>
      </c>
      <c r="C44">
        <v>2.7199999999999998E-2</v>
      </c>
      <c r="D44" s="13">
        <f t="shared" si="0"/>
        <v>0.49056</v>
      </c>
      <c r="E44" s="13">
        <f t="shared" si="1"/>
        <v>1.3439999999999999E-3</v>
      </c>
    </row>
    <row r="45" spans="1:5" x14ac:dyDescent="0.2">
      <c r="A45" s="516" t="s">
        <v>94</v>
      </c>
      <c r="B45" t="s">
        <v>235</v>
      </c>
      <c r="C45">
        <v>2.9000000000000001E-2</v>
      </c>
      <c r="D45" s="13">
        <f t="shared" si="0"/>
        <v>0.52302352941176478</v>
      </c>
      <c r="E45" s="13">
        <f t="shared" si="1"/>
        <v>1.4329411764705882E-3</v>
      </c>
    </row>
    <row r="56" spans="4:5" x14ac:dyDescent="0.2">
      <c r="D56" s="13"/>
      <c r="E56" s="13"/>
    </row>
  </sheetData>
  <sheetProtection algorithmName="SHA-512" hashValue="ATrWfG39uCz+Wvsm0auBDD4k5nsp6P8ofQv0N3jL7P88rQ0A7cd0RvVKariuJfVobOCTQWiwAFrQmPdMbDlngA==" saltValue="EuM1opfEUmWNGzCtd17fpw==" spinCount="100000" sheet="1" objects="1" scenarios="1"/>
  <pageMargins left="0.7" right="0.7" top="0.75" bottom="0.75" header="0.3" footer="0.3"/>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2CF54-6077-D046-926B-BE5CE88012AB}">
  <sheetPr codeName="Sheet35">
    <tabColor rgb="FF00B050"/>
  </sheetPr>
  <dimension ref="A1:E97"/>
  <sheetViews>
    <sheetView workbookViewId="0">
      <selection activeCell="A75" sqref="A75"/>
    </sheetView>
  </sheetViews>
  <sheetFormatPr baseColWidth="10" defaultColWidth="11" defaultRowHeight="16" x14ac:dyDescent="0.2"/>
  <cols>
    <col min="1" max="1" width="42.83203125" style="516" customWidth="1"/>
    <col min="2" max="2" width="24.83203125" customWidth="1"/>
    <col min="3" max="3" width="10.83203125" customWidth="1"/>
    <col min="4" max="4" width="22.33203125" customWidth="1"/>
    <col min="5" max="5" width="21" customWidth="1"/>
    <col min="7" max="7" width="14.33203125" customWidth="1"/>
  </cols>
  <sheetData>
    <row r="1" spans="1:3" ht="19" x14ac:dyDescent="0.25">
      <c r="A1" s="520" t="s">
        <v>198</v>
      </c>
      <c r="B1" s="139"/>
    </row>
    <row r="2" spans="1:3" ht="19" x14ac:dyDescent="0.25">
      <c r="A2" s="520" t="s">
        <v>326</v>
      </c>
    </row>
    <row r="4" spans="1:3" x14ac:dyDescent="0.2">
      <c r="B4" s="26" t="s">
        <v>199</v>
      </c>
      <c r="C4" t="s">
        <v>306</v>
      </c>
    </row>
    <row r="5" spans="1:3" x14ac:dyDescent="0.2">
      <c r="B5" s="26" t="s">
        <v>200</v>
      </c>
      <c r="C5" t="s">
        <v>305</v>
      </c>
    </row>
    <row r="6" spans="1:3" x14ac:dyDescent="0.2">
      <c r="B6" s="26" t="s">
        <v>201</v>
      </c>
      <c r="C6" t="s">
        <v>307</v>
      </c>
    </row>
    <row r="7" spans="1:3" x14ac:dyDescent="0.2">
      <c r="B7" s="26"/>
    </row>
    <row r="8" spans="1:3" x14ac:dyDescent="0.2">
      <c r="B8" s="26"/>
    </row>
    <row r="9" spans="1:3" x14ac:dyDescent="0.2">
      <c r="B9" s="26"/>
    </row>
    <row r="10" spans="1:3" x14ac:dyDescent="0.2">
      <c r="B10" s="26"/>
    </row>
    <row r="11" spans="1:3" x14ac:dyDescent="0.2">
      <c r="B11" s="26"/>
    </row>
    <row r="12" spans="1:3" x14ac:dyDescent="0.2">
      <c r="B12" s="26"/>
    </row>
    <row r="13" spans="1:3" x14ac:dyDescent="0.2">
      <c r="B13" s="26"/>
    </row>
    <row r="14" spans="1:3" x14ac:dyDescent="0.2">
      <c r="B14" s="26"/>
    </row>
    <row r="15" spans="1:3" x14ac:dyDescent="0.2">
      <c r="B15" s="26"/>
    </row>
    <row r="16" spans="1:3" x14ac:dyDescent="0.2">
      <c r="B16" s="26"/>
    </row>
    <row r="17" spans="1:3" x14ac:dyDescent="0.2">
      <c r="B17" s="26"/>
    </row>
    <row r="18" spans="1:3" x14ac:dyDescent="0.2">
      <c r="B18" s="26"/>
    </row>
    <row r="19" spans="1:3" ht="19" customHeight="1" x14ac:dyDescent="0.2">
      <c r="A19" s="528"/>
      <c r="B19" s="156"/>
      <c r="C19" s="28"/>
    </row>
    <row r="20" spans="1:3" ht="19" customHeight="1" x14ac:dyDescent="0.2">
      <c r="A20" s="528"/>
      <c r="B20" s="156"/>
      <c r="C20" s="28"/>
    </row>
    <row r="21" spans="1:3" ht="19" x14ac:dyDescent="0.25">
      <c r="A21" s="521" t="s">
        <v>204</v>
      </c>
    </row>
    <row r="23" spans="1:3" x14ac:dyDescent="0.2">
      <c r="A23" s="516" t="s">
        <v>308</v>
      </c>
      <c r="B23" s="132">
        <v>10000</v>
      </c>
      <c r="C23" t="s">
        <v>309</v>
      </c>
    </row>
    <row r="24" spans="1:3" x14ac:dyDescent="0.2">
      <c r="A24" s="516" t="s">
        <v>1668</v>
      </c>
      <c r="B24" s="12">
        <v>500</v>
      </c>
      <c r="C24" t="s">
        <v>310</v>
      </c>
    </row>
    <row r="25" spans="1:3" x14ac:dyDescent="0.2">
      <c r="A25" s="516" t="s">
        <v>1642</v>
      </c>
      <c r="B25" s="12">
        <v>6000</v>
      </c>
      <c r="C25" t="s">
        <v>765</v>
      </c>
    </row>
    <row r="26" spans="1:3" ht="18" x14ac:dyDescent="0.25">
      <c r="A26" s="516" t="s">
        <v>1656</v>
      </c>
      <c r="B26" s="12">
        <v>6000</v>
      </c>
      <c r="C26" t="s">
        <v>1643</v>
      </c>
    </row>
    <row r="27" spans="1:3" x14ac:dyDescent="0.2">
      <c r="A27" s="516" t="s">
        <v>1646</v>
      </c>
      <c r="B27" s="12">
        <v>6000</v>
      </c>
      <c r="C27" t="s">
        <v>1647</v>
      </c>
    </row>
    <row r="28" spans="1:3" x14ac:dyDescent="0.2">
      <c r="A28" s="516" t="s">
        <v>1644</v>
      </c>
      <c r="B28" s="153" t="s">
        <v>1649</v>
      </c>
      <c r="C28" t="s">
        <v>1645</v>
      </c>
    </row>
    <row r="29" spans="1:3" x14ac:dyDescent="0.2">
      <c r="A29" s="516" t="s">
        <v>1651</v>
      </c>
      <c r="B29" s="153">
        <v>62</v>
      </c>
      <c r="C29" t="s">
        <v>1650</v>
      </c>
    </row>
    <row r="30" spans="1:3" x14ac:dyDescent="0.2">
      <c r="A30" s="516" t="s">
        <v>1652</v>
      </c>
      <c r="B30" s="465">
        <v>11.644</v>
      </c>
      <c r="C30" t="s">
        <v>1654</v>
      </c>
    </row>
    <row r="31" spans="1:3" ht="19" x14ac:dyDescent="0.2">
      <c r="A31" s="516" t="s">
        <v>1653</v>
      </c>
      <c r="B31" s="464">
        <v>5043.6000000000004</v>
      </c>
      <c r="C31" t="s">
        <v>1655</v>
      </c>
    </row>
    <row r="32" spans="1:3" x14ac:dyDescent="0.2">
      <c r="A32" s="516" t="s">
        <v>1657</v>
      </c>
      <c r="B32" s="465">
        <v>80.272999999999996</v>
      </c>
      <c r="C32" t="s">
        <v>1658</v>
      </c>
    </row>
    <row r="33" spans="1:3" ht="20" x14ac:dyDescent="0.25">
      <c r="A33" s="516" t="s">
        <v>1661</v>
      </c>
      <c r="B33">
        <f>CONVERT(95,"F","Rank")</f>
        <v>554.67000000000007</v>
      </c>
      <c r="C33" t="s">
        <v>1659</v>
      </c>
    </row>
    <row r="34" spans="1:3" x14ac:dyDescent="0.2">
      <c r="A34" s="516" t="s">
        <v>1665</v>
      </c>
      <c r="B34">
        <v>11</v>
      </c>
      <c r="C34" t="s">
        <v>1666</v>
      </c>
    </row>
    <row r="35" spans="1:3" x14ac:dyDescent="0.2">
      <c r="A35" s="516" t="s">
        <v>1667</v>
      </c>
      <c r="B35">
        <v>0.7</v>
      </c>
      <c r="C35" t="s">
        <v>1666</v>
      </c>
    </row>
    <row r="37" spans="1:3" x14ac:dyDescent="0.2">
      <c r="B37" s="465"/>
    </row>
    <row r="38" spans="1:3" x14ac:dyDescent="0.2">
      <c r="B38" s="153"/>
    </row>
    <row r="39" spans="1:3" ht="19" x14ac:dyDescent="0.25">
      <c r="A39" s="521" t="s">
        <v>1648</v>
      </c>
      <c r="B39" s="153"/>
    </row>
    <row r="41" spans="1:3" x14ac:dyDescent="0.2">
      <c r="A41" s="516" t="s">
        <v>1660</v>
      </c>
    </row>
    <row r="43" spans="1:3" ht="18" x14ac:dyDescent="0.25">
      <c r="A43" s="516" t="s">
        <v>1662</v>
      </c>
      <c r="B43" s="11">
        <f>EXP(B30-(B31/B33))</f>
        <v>12.820248039032494</v>
      </c>
      <c r="C43" t="s">
        <v>812</v>
      </c>
    </row>
    <row r="45" spans="1:3" x14ac:dyDescent="0.2">
      <c r="A45" s="516" t="s">
        <v>1663</v>
      </c>
    </row>
    <row r="47" spans="1:3" ht="18" x14ac:dyDescent="0.25">
      <c r="A47" s="516" t="s">
        <v>1675</v>
      </c>
      <c r="B47" s="47">
        <f>((B29*B43)/(B32*B33))*B26</f>
        <v>107.11127686419272</v>
      </c>
      <c r="C47" t="s">
        <v>1664</v>
      </c>
    </row>
    <row r="48" spans="1:3" x14ac:dyDescent="0.2">
      <c r="B48" s="153"/>
    </row>
    <row r="49" spans="1:3" x14ac:dyDescent="0.2">
      <c r="A49" s="516" t="s">
        <v>1669</v>
      </c>
      <c r="B49" s="153"/>
    </row>
    <row r="50" spans="1:3" x14ac:dyDescent="0.2">
      <c r="B50" s="153"/>
    </row>
    <row r="51" spans="1:3" ht="18" x14ac:dyDescent="0.25">
      <c r="A51" s="516" t="s">
        <v>1676</v>
      </c>
      <c r="B51" s="47">
        <f>(B34+B35)*B24/1000</f>
        <v>5.85</v>
      </c>
      <c r="C51" t="s">
        <v>1664</v>
      </c>
    </row>
    <row r="52" spans="1:3" x14ac:dyDescent="0.2">
      <c r="B52" s="47"/>
    </row>
    <row r="53" spans="1:3" x14ac:dyDescent="0.2">
      <c r="A53" s="529" t="s">
        <v>1674</v>
      </c>
      <c r="B53" s="467">
        <f>B47+B51</f>
        <v>112.96127686419271</v>
      </c>
      <c r="C53" s="466" t="s">
        <v>1664</v>
      </c>
    </row>
    <row r="54" spans="1:3" x14ac:dyDescent="0.2">
      <c r="B54" s="47"/>
    </row>
    <row r="55" spans="1:3" x14ac:dyDescent="0.2">
      <c r="B55" s="153"/>
    </row>
    <row r="56" spans="1:3" ht="19" x14ac:dyDescent="0.25">
      <c r="A56" s="521" t="s">
        <v>1670</v>
      </c>
      <c r="B56" s="153"/>
    </row>
    <row r="57" spans="1:3" x14ac:dyDescent="0.2">
      <c r="B57" s="153"/>
    </row>
    <row r="58" spans="1:3" x14ac:dyDescent="0.2">
      <c r="A58" s="530" t="s">
        <v>1671</v>
      </c>
      <c r="B58" s="153"/>
    </row>
    <row r="59" spans="1:3" x14ac:dyDescent="0.2">
      <c r="A59" s="530" t="s">
        <v>1672</v>
      </c>
      <c r="B59" s="153"/>
    </row>
    <row r="60" spans="1:3" x14ac:dyDescent="0.2">
      <c r="A60" s="530"/>
      <c r="B60" s="153"/>
    </row>
    <row r="61" spans="1:3" x14ac:dyDescent="0.2">
      <c r="A61" s="516" t="s">
        <v>1677</v>
      </c>
      <c r="B61" s="464">
        <f>'Horizontal tank'!P52</f>
        <v>3125.6378399077639</v>
      </c>
      <c r="C61" t="s">
        <v>829</v>
      </c>
    </row>
    <row r="62" spans="1:3" x14ac:dyDescent="0.2">
      <c r="A62" s="530"/>
      <c r="B62" s="153"/>
    </row>
    <row r="63" spans="1:3" x14ac:dyDescent="0.2">
      <c r="A63" s="516" t="s">
        <v>1673</v>
      </c>
      <c r="B63" s="153"/>
    </row>
    <row r="64" spans="1:3" x14ac:dyDescent="0.2">
      <c r="A64" s="530"/>
      <c r="B64" s="153"/>
    </row>
    <row r="65" spans="1:5" x14ac:dyDescent="0.2">
      <c r="A65" s="516" t="s">
        <v>1678</v>
      </c>
      <c r="B65" s="47">
        <f>(B34+B35)*B23/1000</f>
        <v>117</v>
      </c>
      <c r="C65" t="s">
        <v>829</v>
      </c>
    </row>
    <row r="66" spans="1:5" ht="19" customHeight="1" x14ac:dyDescent="0.2">
      <c r="A66" s="528"/>
      <c r="B66" s="156"/>
      <c r="C66" s="28"/>
    </row>
    <row r="67" spans="1:5" x14ac:dyDescent="0.2">
      <c r="A67" s="529" t="s">
        <v>1679</v>
      </c>
      <c r="B67" s="467">
        <f>B61+B65</f>
        <v>3242.6378399077639</v>
      </c>
      <c r="C67" s="466" t="s">
        <v>829</v>
      </c>
    </row>
    <row r="68" spans="1:5" ht="19" customHeight="1" x14ac:dyDescent="0.2">
      <c r="A68" s="528"/>
      <c r="B68" s="156"/>
      <c r="C68" s="28"/>
    </row>
    <row r="69" spans="1:5" ht="19" customHeight="1" x14ac:dyDescent="0.2">
      <c r="A69" s="528"/>
      <c r="B69" s="156"/>
      <c r="C69" s="28"/>
    </row>
    <row r="70" spans="1:5" ht="19" x14ac:dyDescent="0.25">
      <c r="A70" s="521" t="s">
        <v>1680</v>
      </c>
      <c r="B70" s="153"/>
    </row>
    <row r="71" spans="1:5" ht="19" customHeight="1" x14ac:dyDescent="0.2">
      <c r="A71" s="528" t="s">
        <v>1707</v>
      </c>
      <c r="B71" s="156"/>
      <c r="C71" s="28"/>
    </row>
    <row r="72" spans="1:5" ht="19" customHeight="1" x14ac:dyDescent="0.2">
      <c r="A72" s="528"/>
      <c r="B72" s="156"/>
      <c r="C72" s="28"/>
    </row>
    <row r="74" spans="1:5" ht="66" customHeight="1" x14ac:dyDescent="0.2">
      <c r="A74" s="522" t="s">
        <v>209</v>
      </c>
      <c r="B74" s="29" t="s">
        <v>208</v>
      </c>
      <c r="C74" s="29" t="s">
        <v>1708</v>
      </c>
      <c r="D74" s="29" t="s">
        <v>311</v>
      </c>
      <c r="E74" s="29" t="s">
        <v>312</v>
      </c>
    </row>
    <row r="75" spans="1:5" ht="19" customHeight="1" x14ac:dyDescent="0.2">
      <c r="A75" s="531" t="s">
        <v>1681</v>
      </c>
      <c r="B75" t="s">
        <v>1682</v>
      </c>
      <c r="C75" s="468">
        <v>7.0580000000000005E-5</v>
      </c>
      <c r="D75" s="11">
        <f>C75*$B$67</f>
        <v>0.22886537874068999</v>
      </c>
      <c r="E75" s="25">
        <f>C75*$B$53</f>
        <v>7.9728069210747224E-3</v>
      </c>
    </row>
    <row r="76" spans="1:5" ht="19" customHeight="1" x14ac:dyDescent="0.2">
      <c r="A76" s="531" t="s">
        <v>1683</v>
      </c>
      <c r="B76" t="s">
        <v>1684</v>
      </c>
      <c r="C76" s="468">
        <v>3.9798999999999998E-4</v>
      </c>
      <c r="D76" s="11">
        <f t="shared" ref="D76:D90" si="0">C76*$B$67</f>
        <v>1.290537433904891</v>
      </c>
      <c r="E76" s="25">
        <f t="shared" ref="E76:E90" si="1">C76*$B$53</f>
        <v>4.4957458579180057E-2</v>
      </c>
    </row>
    <row r="77" spans="1:5" ht="19" customHeight="1" x14ac:dyDescent="0.2">
      <c r="A77" s="531" t="s">
        <v>1685</v>
      </c>
      <c r="B77" t="s">
        <v>1686</v>
      </c>
      <c r="C77" s="468">
        <v>1.5564999999999999E-4</v>
      </c>
      <c r="D77" s="11">
        <f t="shared" si="0"/>
        <v>0.50471657978164342</v>
      </c>
      <c r="E77" s="25">
        <f t="shared" si="1"/>
        <v>1.7582422743911596E-2</v>
      </c>
    </row>
    <row r="78" spans="1:5" x14ac:dyDescent="0.2">
      <c r="A78" s="516" t="s">
        <v>1687</v>
      </c>
      <c r="B78" t="s">
        <v>1688</v>
      </c>
      <c r="C78">
        <v>1.5434710000000001E-2</v>
      </c>
      <c r="D78" s="11">
        <f t="shared" si="0"/>
        <v>50.049174694002765</v>
      </c>
      <c r="E78" s="25">
        <f t="shared" si="1"/>
        <v>1.7435245496285239</v>
      </c>
    </row>
    <row r="79" spans="1:5" x14ac:dyDescent="0.2">
      <c r="A79" s="516" t="s">
        <v>1689</v>
      </c>
      <c r="B79" t="s">
        <v>1690</v>
      </c>
      <c r="C79">
        <v>1.8300000000000001E-6</v>
      </c>
      <c r="D79" s="11">
        <f t="shared" si="0"/>
        <v>5.9340272470312086E-3</v>
      </c>
      <c r="E79" s="25">
        <f t="shared" si="1"/>
        <v>2.0671913666147268E-4</v>
      </c>
    </row>
    <row r="80" spans="1:5" x14ac:dyDescent="0.2">
      <c r="A80" s="516" t="s">
        <v>1691</v>
      </c>
      <c r="B80" t="s">
        <v>15</v>
      </c>
      <c r="C80">
        <v>5.4944199999999999E-3</v>
      </c>
      <c r="D80" s="11">
        <f t="shared" si="0"/>
        <v>17.816414200346017</v>
      </c>
      <c r="E80" s="25">
        <f t="shared" si="1"/>
        <v>0.62065669882815766</v>
      </c>
    </row>
    <row r="81" spans="1:5" x14ac:dyDescent="0.2">
      <c r="A81" s="516" t="s">
        <v>1692</v>
      </c>
      <c r="B81" t="s">
        <v>1076</v>
      </c>
      <c r="C81">
        <v>4.5282600000000001E-3</v>
      </c>
      <c r="D81" s="11">
        <f t="shared" si="0"/>
        <v>14.683507224940731</v>
      </c>
      <c r="E81" s="25">
        <f t="shared" si="1"/>
        <v>0.51151803157304931</v>
      </c>
    </row>
    <row r="82" spans="1:5" x14ac:dyDescent="0.2">
      <c r="A82" s="516" t="s">
        <v>1693</v>
      </c>
      <c r="B82" t="s">
        <v>32</v>
      </c>
      <c r="C82">
        <v>1.41423E-3</v>
      </c>
      <c r="D82" s="11">
        <f t="shared" si="0"/>
        <v>4.5858357123327576</v>
      </c>
      <c r="E82" s="25">
        <f t="shared" si="1"/>
        <v>0.15975322657964727</v>
      </c>
    </row>
    <row r="83" spans="1:5" x14ac:dyDescent="0.2">
      <c r="A83" s="516" t="s">
        <v>1694</v>
      </c>
      <c r="B83" t="s">
        <v>18</v>
      </c>
      <c r="C83">
        <v>2.1693219999999999E-2</v>
      </c>
      <c r="D83" s="11">
        <f t="shared" si="0"/>
        <v>70.343256041443894</v>
      </c>
      <c r="E83" s="25">
        <f t="shared" si="1"/>
        <v>2.4504938304958426</v>
      </c>
    </row>
    <row r="84" spans="1:5" x14ac:dyDescent="0.2">
      <c r="A84" s="516" t="s">
        <v>1695</v>
      </c>
      <c r="B84" t="s">
        <v>1696</v>
      </c>
      <c r="C84">
        <v>2.6760999999999999E-4</v>
      </c>
      <c r="D84" s="11">
        <f t="shared" si="0"/>
        <v>0.86776231233771672</v>
      </c>
      <c r="E84" s="25">
        <f t="shared" si="1"/>
        <v>3.0229567301626611E-2</v>
      </c>
    </row>
    <row r="85" spans="1:5" x14ac:dyDescent="0.2">
      <c r="A85" s="516" t="s">
        <v>1697</v>
      </c>
      <c r="B85" t="s">
        <v>1698</v>
      </c>
      <c r="C85">
        <v>4.2790000000000002E-5</v>
      </c>
      <c r="D85" s="11">
        <f t="shared" si="0"/>
        <v>0.13875247316965322</v>
      </c>
      <c r="E85" s="25">
        <f t="shared" si="1"/>
        <v>4.833613037018806E-3</v>
      </c>
    </row>
    <row r="86" spans="1:5" x14ac:dyDescent="0.2">
      <c r="A86" s="516" t="s">
        <v>1699</v>
      </c>
      <c r="B86" t="s">
        <v>1700</v>
      </c>
      <c r="C86">
        <v>2.6753300000000001E-3</v>
      </c>
      <c r="D86" s="11">
        <f t="shared" si="0"/>
        <v>8.6751262922404386</v>
      </c>
      <c r="E86" s="25">
        <f t="shared" si="1"/>
        <v>0.30220869283308072</v>
      </c>
    </row>
    <row r="87" spans="1:5" x14ac:dyDescent="0.2">
      <c r="A87" s="516" t="s">
        <v>1701</v>
      </c>
      <c r="B87" t="s">
        <v>19</v>
      </c>
      <c r="C87">
        <v>5.9699999999999996E-6</v>
      </c>
      <c r="D87" s="11">
        <f t="shared" si="0"/>
        <v>1.9358547904249349E-2</v>
      </c>
      <c r="E87" s="25">
        <f t="shared" si="1"/>
        <v>6.7437882287923047E-4</v>
      </c>
    </row>
    <row r="88" spans="1:5" x14ac:dyDescent="0.2">
      <c r="A88" s="516" t="s">
        <v>1702</v>
      </c>
      <c r="B88" t="s">
        <v>1703</v>
      </c>
      <c r="C88">
        <v>1.25055E-3</v>
      </c>
      <c r="D88" s="11">
        <f t="shared" si="0"/>
        <v>4.0550807506966544</v>
      </c>
      <c r="E88" s="25">
        <f t="shared" si="1"/>
        <v>0.1412637247825162</v>
      </c>
    </row>
    <row r="89" spans="1:5" x14ac:dyDescent="0.2">
      <c r="A89" s="516" t="s">
        <v>1704</v>
      </c>
      <c r="B89" t="s">
        <v>1705</v>
      </c>
      <c r="C89">
        <v>1.16709E-3</v>
      </c>
      <c r="D89" s="11">
        <f t="shared" si="0"/>
        <v>3.7844501965779522</v>
      </c>
      <c r="E89" s="25">
        <f t="shared" si="1"/>
        <v>0.13183597661543067</v>
      </c>
    </row>
    <row r="90" spans="1:5" x14ac:dyDescent="0.2">
      <c r="A90" s="516" t="s">
        <v>1706</v>
      </c>
      <c r="B90" t="s">
        <v>21</v>
      </c>
      <c r="C90">
        <v>1.3467E-2</v>
      </c>
      <c r="D90" s="11">
        <f t="shared" si="0"/>
        <v>43.668603790037857</v>
      </c>
      <c r="E90" s="25">
        <f t="shared" si="1"/>
        <v>1.5212495155300831</v>
      </c>
    </row>
    <row r="91" spans="1:5" x14ac:dyDescent="0.2">
      <c r="A91" s="516" t="s">
        <v>111</v>
      </c>
      <c r="B91" t="s">
        <v>234</v>
      </c>
      <c r="C91">
        <f>SUM(C86,C88,C89)</f>
        <v>5.0929699999999996E-3</v>
      </c>
      <c r="D91" s="11">
        <f t="shared" ref="D91" si="2">C91*$B$67</f>
        <v>16.514657239515042</v>
      </c>
      <c r="E91" s="25">
        <f t="shared" ref="E91" si="3">C91*$B$53</f>
        <v>0.57530839423102753</v>
      </c>
    </row>
    <row r="97" spans="4:5" x14ac:dyDescent="0.2">
      <c r="D97" s="11"/>
      <c r="E97" s="11"/>
    </row>
  </sheetData>
  <sheetProtection algorithmName="SHA-512" hashValue="wd29eryLwW5eS2ZtbEs/HyfaDynsr5ZScUCGcT5HYI8HV5qopiXbXLYZclJiiXv8c3fA1j5Ok0TaHjT/dFfw2g==" saltValue="ghyImr+Mq5f0tLSyQsNmJA==" spinCount="100000" sheet="1" objects="1" scenarios="1"/>
  <phoneticPr fontId="19" type="noConversion"/>
  <pageMargins left="0.75" right="0.75" top="1" bottom="1" header="0.5" footer="0.5"/>
  <pageSetup orientation="portrait" horizontalDpi="4294967292" verticalDpi="429496729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8E19-DE98-4045-B254-0BD64C75115F}">
  <sheetPr>
    <tabColor rgb="FF00B050"/>
    <pageSetUpPr fitToPage="1"/>
  </sheetPr>
  <dimension ref="A1:Y75"/>
  <sheetViews>
    <sheetView topLeftCell="A44" workbookViewId="0">
      <selection activeCell="O35" sqref="O35"/>
    </sheetView>
  </sheetViews>
  <sheetFormatPr baseColWidth="10" defaultColWidth="8.83203125" defaultRowHeight="15" x14ac:dyDescent="0.2"/>
  <cols>
    <col min="1" max="1" width="30.5" style="535" customWidth="1"/>
    <col min="2" max="2" width="37" style="177" customWidth="1"/>
    <col min="3" max="11" width="10" style="177" customWidth="1"/>
    <col min="12" max="13" width="8.83203125" style="177"/>
    <col min="14" max="14" width="10.6640625" style="177" bestFit="1" customWidth="1"/>
    <col min="15" max="15" width="12.6640625" style="177" bestFit="1" customWidth="1"/>
    <col min="16" max="23" width="8.83203125" style="177"/>
    <col min="24" max="24" width="10.1640625" style="177" customWidth="1"/>
    <col min="25" max="16384" width="8.83203125" style="177"/>
  </cols>
  <sheetData>
    <row r="1" spans="1:3" customFormat="1" ht="19" x14ac:dyDescent="0.25">
      <c r="A1" s="520" t="s">
        <v>198</v>
      </c>
      <c r="B1" s="139"/>
    </row>
    <row r="2" spans="1:3" customFormat="1" ht="19" x14ac:dyDescent="0.25">
      <c r="A2" s="520" t="s">
        <v>1715</v>
      </c>
    </row>
    <row r="3" spans="1:3" customFormat="1" ht="16" x14ac:dyDescent="0.2">
      <c r="A3" s="516"/>
    </row>
    <row r="4" spans="1:3" customFormat="1" ht="16" x14ac:dyDescent="0.2">
      <c r="A4" s="516"/>
      <c r="B4" s="26" t="s">
        <v>199</v>
      </c>
      <c r="C4" t="s">
        <v>1716</v>
      </c>
    </row>
    <row r="5" spans="1:3" customFormat="1" ht="16" x14ac:dyDescent="0.2">
      <c r="A5" s="516"/>
      <c r="B5" s="26" t="s">
        <v>200</v>
      </c>
      <c r="C5" t="s">
        <v>1785</v>
      </c>
    </row>
    <row r="6" spans="1:3" customFormat="1" ht="16" x14ac:dyDescent="0.2">
      <c r="A6" s="516"/>
      <c r="B6" s="26"/>
      <c r="C6" t="s">
        <v>1786</v>
      </c>
    </row>
    <row r="7" spans="1:3" customFormat="1" ht="16" x14ac:dyDescent="0.2">
      <c r="A7" s="516"/>
      <c r="B7" s="26"/>
      <c r="C7" t="s">
        <v>1787</v>
      </c>
    </row>
    <row r="8" spans="1:3" customFormat="1" ht="16" x14ac:dyDescent="0.2">
      <c r="A8" s="516"/>
      <c r="B8" s="26"/>
      <c r="C8" t="s">
        <v>1788</v>
      </c>
    </row>
    <row r="9" spans="1:3" customFormat="1" ht="16" x14ac:dyDescent="0.2">
      <c r="A9" s="516"/>
      <c r="B9" s="26"/>
      <c r="C9" t="s">
        <v>1789</v>
      </c>
    </row>
    <row r="10" spans="1:3" customFormat="1" ht="16" x14ac:dyDescent="0.2">
      <c r="A10" s="516"/>
      <c r="B10" s="26" t="s">
        <v>201</v>
      </c>
      <c r="C10" t="s">
        <v>1717</v>
      </c>
    </row>
    <row r="11" spans="1:3" customFormat="1" ht="16" x14ac:dyDescent="0.2">
      <c r="A11" s="516"/>
      <c r="B11" s="26"/>
    </row>
    <row r="12" spans="1:3" customFormat="1" ht="16" x14ac:dyDescent="0.2">
      <c r="A12" s="516"/>
      <c r="B12" s="26"/>
    </row>
    <row r="13" spans="1:3" customFormat="1" ht="16" x14ac:dyDescent="0.2">
      <c r="A13" s="516"/>
      <c r="B13" s="26"/>
    </row>
    <row r="14" spans="1:3" customFormat="1" ht="16" x14ac:dyDescent="0.2">
      <c r="A14" s="516"/>
      <c r="B14" s="26"/>
    </row>
    <row r="15" spans="1:3" customFormat="1" ht="16" x14ac:dyDescent="0.2">
      <c r="A15" s="516"/>
      <c r="B15" s="26"/>
    </row>
    <row r="16" spans="1:3" customFormat="1" ht="16" x14ac:dyDescent="0.2">
      <c r="A16" s="516"/>
      <c r="B16" s="26"/>
    </row>
    <row r="17" spans="1:5" customFormat="1" ht="16" x14ac:dyDescent="0.2">
      <c r="A17" s="516"/>
      <c r="B17" s="26"/>
    </row>
    <row r="18" spans="1:5" customFormat="1" ht="16" x14ac:dyDescent="0.2">
      <c r="A18" s="516"/>
      <c r="B18" s="26"/>
    </row>
    <row r="19" spans="1:5" customFormat="1" ht="16" x14ac:dyDescent="0.2">
      <c r="A19" s="516"/>
      <c r="B19" s="26"/>
    </row>
    <row r="21" spans="1:5" x14ac:dyDescent="0.2">
      <c r="A21" s="532" t="s">
        <v>1734</v>
      </c>
    </row>
    <row r="22" spans="1:5" x14ac:dyDescent="0.2">
      <c r="A22" s="532"/>
    </row>
    <row r="23" spans="1:5" x14ac:dyDescent="0.2">
      <c r="A23" s="532"/>
    </row>
    <row r="24" spans="1:5" x14ac:dyDescent="0.2">
      <c r="A24" s="532"/>
    </row>
    <row r="25" spans="1:5" x14ac:dyDescent="0.2">
      <c r="A25" s="532"/>
    </row>
    <row r="26" spans="1:5" x14ac:dyDescent="0.2">
      <c r="A26" s="533" t="s">
        <v>1739</v>
      </c>
    </row>
    <row r="27" spans="1:5" x14ac:dyDescent="0.2">
      <c r="A27" s="532"/>
    </row>
    <row r="28" spans="1:5" ht="19" x14ac:dyDescent="0.25">
      <c r="A28" s="534" t="s">
        <v>1709</v>
      </c>
      <c r="B28" s="469" t="s">
        <v>1719</v>
      </c>
      <c r="C28" s="469"/>
      <c r="D28" s="469" t="s">
        <v>1710</v>
      </c>
      <c r="E28" s="469" t="s">
        <v>568</v>
      </c>
    </row>
    <row r="29" spans="1:5" x14ac:dyDescent="0.2">
      <c r="A29" s="535" t="s">
        <v>1711</v>
      </c>
      <c r="B29" s="177" t="s">
        <v>1720</v>
      </c>
      <c r="D29" s="177">
        <v>1.5</v>
      </c>
      <c r="E29" s="177" t="s">
        <v>1712</v>
      </c>
    </row>
    <row r="30" spans="1:5" x14ac:dyDescent="0.2">
      <c r="A30" s="535" t="s">
        <v>1711</v>
      </c>
      <c r="B30" s="177" t="s">
        <v>1721</v>
      </c>
      <c r="D30" s="177">
        <v>0.9</v>
      </c>
      <c r="E30" s="177" t="s">
        <v>1735</v>
      </c>
    </row>
    <row r="31" spans="1:5" x14ac:dyDescent="0.2">
      <c r="A31" s="535" t="s">
        <v>1711</v>
      </c>
      <c r="B31" s="177" t="s">
        <v>1722</v>
      </c>
      <c r="D31" s="177">
        <v>0.45</v>
      </c>
      <c r="E31" s="177" t="s">
        <v>1735</v>
      </c>
    </row>
    <row r="32" spans="1:5" x14ac:dyDescent="0.2">
      <c r="A32" s="535" t="s">
        <v>1718</v>
      </c>
      <c r="B32" s="177" t="s">
        <v>1737</v>
      </c>
      <c r="D32" s="177">
        <v>6</v>
      </c>
      <c r="E32" s="177" t="s">
        <v>1713</v>
      </c>
    </row>
    <row r="33" spans="1:20" x14ac:dyDescent="0.2">
      <c r="A33" s="535" t="s">
        <v>1714</v>
      </c>
      <c r="B33" s="177" t="s">
        <v>1723</v>
      </c>
      <c r="D33" s="177">
        <v>150</v>
      </c>
      <c r="E33" s="177" t="s">
        <v>1736</v>
      </c>
    </row>
    <row r="34" spans="1:20" x14ac:dyDescent="0.2">
      <c r="A34" s="535" t="s">
        <v>1724</v>
      </c>
      <c r="B34" s="177" t="s">
        <v>1738</v>
      </c>
      <c r="C34" s="471"/>
      <c r="D34" s="471">
        <v>0.8</v>
      </c>
      <c r="E34" s="177" t="s">
        <v>1713</v>
      </c>
    </row>
    <row r="36" spans="1:20" x14ac:dyDescent="0.2">
      <c r="A36" s="536"/>
    </row>
    <row r="37" spans="1:20" x14ac:dyDescent="0.2">
      <c r="A37" s="532" t="s">
        <v>1725</v>
      </c>
    </row>
    <row r="38" spans="1:20" x14ac:dyDescent="0.2">
      <c r="A38" s="536"/>
    </row>
    <row r="39" spans="1:20" x14ac:dyDescent="0.2">
      <c r="A39" s="536"/>
    </row>
    <row r="40" spans="1:20" ht="64" x14ac:dyDescent="0.2">
      <c r="A40" s="537" t="s">
        <v>1726</v>
      </c>
      <c r="B40" s="472" t="s">
        <v>1727</v>
      </c>
      <c r="C40" s="472" t="s">
        <v>1728</v>
      </c>
      <c r="D40" s="472" t="s">
        <v>1729</v>
      </c>
      <c r="E40" s="472" t="s">
        <v>1730</v>
      </c>
      <c r="F40" s="472" t="s">
        <v>1731</v>
      </c>
      <c r="G40" s="472" t="s">
        <v>1732</v>
      </c>
      <c r="H40" s="472" t="s">
        <v>1733</v>
      </c>
      <c r="I40" s="472" t="s">
        <v>1744</v>
      </c>
      <c r="J40" s="472" t="s">
        <v>1745</v>
      </c>
      <c r="K40" s="486" t="s">
        <v>1813</v>
      </c>
      <c r="L40" s="486" t="s">
        <v>1814</v>
      </c>
      <c r="M40" s="472"/>
    </row>
    <row r="41" spans="1:20" x14ac:dyDescent="0.2">
      <c r="A41" s="533" t="s">
        <v>1740</v>
      </c>
      <c r="B41" s="176" t="s">
        <v>1750</v>
      </c>
      <c r="C41" s="177">
        <v>30</v>
      </c>
      <c r="D41" s="177">
        <v>57</v>
      </c>
      <c r="E41" s="177">
        <v>16239</v>
      </c>
      <c r="F41" s="473">
        <f>251/5280</f>
        <v>4.7537878787878789E-2</v>
      </c>
      <c r="G41" s="474">
        <f>F41*D41</f>
        <v>2.7096590909090907</v>
      </c>
      <c r="H41" s="474">
        <f>F41*E41</f>
        <v>771.96761363636369</v>
      </c>
      <c r="I41" s="470">
        <f>($D$29*(($D$32/12)^$D$30)*((C41/3)^$D$31))*(1-$D$34)</f>
        <v>0.45310020494917358</v>
      </c>
      <c r="J41" s="470">
        <f>I41*(365-$D$33)/365</f>
        <v>0.26689464127143103</v>
      </c>
      <c r="K41" s="474">
        <f>I41*G41</f>
        <v>1.2277470894333005</v>
      </c>
      <c r="L41" s="474">
        <f>J41*H41</f>
        <v>206.03401931463995</v>
      </c>
      <c r="N41" s="474"/>
      <c r="O41" s="474"/>
    </row>
    <row r="42" spans="1:20" x14ac:dyDescent="0.2">
      <c r="A42" s="533" t="s">
        <v>1741</v>
      </c>
      <c r="B42" s="176" t="s">
        <v>1751</v>
      </c>
      <c r="C42" s="177">
        <v>50</v>
      </c>
      <c r="D42" s="177">
        <v>20</v>
      </c>
      <c r="E42" s="177">
        <v>4160</v>
      </c>
      <c r="F42" s="473">
        <f>559/5280</f>
        <v>0.10587121212121212</v>
      </c>
      <c r="G42" s="474">
        <f t="shared" ref="G42:G45" si="0">F42*D42</f>
        <v>2.1174242424242422</v>
      </c>
      <c r="H42" s="474">
        <f t="shared" ref="H42:H45" si="1">F42*E42</f>
        <v>440.42424242424238</v>
      </c>
      <c r="I42" s="470">
        <f t="shared" ref="I42:I45" si="2">($D$29*(($D$32/12)^$D$30)*((C42/3)^$D$31))*(1-$D$34)</f>
        <v>0.57019866471615266</v>
      </c>
      <c r="J42" s="470">
        <f t="shared" ref="J42:J45" si="3">I42*(365-$D$33)/365</f>
        <v>0.33587044633965157</v>
      </c>
      <c r="K42" s="474">
        <f t="shared" ref="K42:K45" si="4">I42*G42</f>
        <v>1.2073524756679139</v>
      </c>
      <c r="L42" s="474">
        <f t="shared" ref="L42:L45" si="5">J42*H42</f>
        <v>147.92548688183319</v>
      </c>
      <c r="N42" s="474"/>
      <c r="O42" s="474"/>
    </row>
    <row r="43" spans="1:20" x14ac:dyDescent="0.2">
      <c r="A43" s="533" t="s">
        <v>1741</v>
      </c>
      <c r="B43" s="176" t="s">
        <v>703</v>
      </c>
      <c r="C43" s="177">
        <v>50</v>
      </c>
      <c r="D43" s="177">
        <v>16</v>
      </c>
      <c r="E43" s="177">
        <v>3328</v>
      </c>
      <c r="F43" s="473">
        <f>469/5280</f>
        <v>8.8825757575757572E-2</v>
      </c>
      <c r="G43" s="474">
        <f t="shared" si="0"/>
        <v>1.4212121212121211</v>
      </c>
      <c r="H43" s="474">
        <f t="shared" si="1"/>
        <v>295.61212121212122</v>
      </c>
      <c r="I43" s="470">
        <f t="shared" si="2"/>
        <v>0.57019866471615266</v>
      </c>
      <c r="J43" s="470">
        <f t="shared" si="3"/>
        <v>0.33587044633965157</v>
      </c>
      <c r="K43" s="474">
        <f t="shared" si="4"/>
        <v>0.8103732537935624</v>
      </c>
      <c r="L43" s="474">
        <f t="shared" si="5"/>
        <v>99.287375094926333</v>
      </c>
      <c r="N43" s="474"/>
      <c r="O43" s="474"/>
    </row>
    <row r="44" spans="1:20" x14ac:dyDescent="0.2">
      <c r="A44" s="533" t="s">
        <v>1742</v>
      </c>
      <c r="B44" s="176" t="s">
        <v>1752</v>
      </c>
      <c r="C44" s="177">
        <v>28.5</v>
      </c>
      <c r="D44" s="177">
        <v>60</v>
      </c>
      <c r="E44" s="177">
        <v>12480</v>
      </c>
      <c r="F44" s="473">
        <f>522/5280</f>
        <v>9.8863636363636362E-2</v>
      </c>
      <c r="G44" s="474">
        <f t="shared" si="0"/>
        <v>5.9318181818181817</v>
      </c>
      <c r="H44" s="474">
        <f t="shared" si="1"/>
        <v>1233.8181818181818</v>
      </c>
      <c r="I44" s="470">
        <f t="shared" si="2"/>
        <v>0.44276153151292003</v>
      </c>
      <c r="J44" s="470">
        <f t="shared" si="3"/>
        <v>0.26080473774048712</v>
      </c>
      <c r="K44" s="474">
        <f t="shared" si="4"/>
        <v>2.6263809028380027</v>
      </c>
      <c r="L44" s="474">
        <f t="shared" si="5"/>
        <v>321.78562732853555</v>
      </c>
      <c r="N44" s="474"/>
      <c r="O44" s="474"/>
      <c r="Q44" s="265"/>
      <c r="R44" s="265"/>
    </row>
    <row r="45" spans="1:20" x14ac:dyDescent="0.2">
      <c r="A45" s="533" t="s">
        <v>1743</v>
      </c>
      <c r="B45" s="176" t="s">
        <v>1753</v>
      </c>
      <c r="C45" s="177">
        <v>3</v>
      </c>
      <c r="D45" s="177">
        <v>50</v>
      </c>
      <c r="E45" s="177">
        <v>10400</v>
      </c>
      <c r="F45" s="473">
        <f>2296/5280</f>
        <v>0.43484848484848487</v>
      </c>
      <c r="G45" s="474">
        <f t="shared" si="0"/>
        <v>21.742424242424242</v>
      </c>
      <c r="H45" s="474">
        <f t="shared" si="1"/>
        <v>4522.4242424242429</v>
      </c>
      <c r="I45" s="470">
        <f t="shared" si="2"/>
        <v>0.16076601938044394</v>
      </c>
      <c r="J45" s="470">
        <f t="shared" si="3"/>
        <v>9.4697792237795744E-2</v>
      </c>
      <c r="K45" s="474">
        <f t="shared" si="4"/>
        <v>3.49544299713541</v>
      </c>
      <c r="L45" s="474">
        <f t="shared" si="5"/>
        <v>428.26359132026175</v>
      </c>
      <c r="N45" s="474"/>
      <c r="O45" s="474"/>
      <c r="T45" s="265"/>
    </row>
    <row r="46" spans="1:20" x14ac:dyDescent="0.2">
      <c r="A46" s="533"/>
      <c r="B46" s="176"/>
      <c r="J46" s="177" t="s">
        <v>1746</v>
      </c>
      <c r="K46" s="474">
        <f>SUM(K41:K45)</f>
        <v>9.3672967188681895</v>
      </c>
      <c r="L46" s="474">
        <f>SUM(L41:L45)</f>
        <v>1203.2960999401967</v>
      </c>
      <c r="N46" s="474"/>
      <c r="O46" s="474"/>
      <c r="P46" s="265"/>
    </row>
    <row r="47" spans="1:20" x14ac:dyDescent="0.2">
      <c r="A47" s="533"/>
      <c r="B47" s="176"/>
    </row>
    <row r="48" spans="1:20" customFormat="1" ht="19" x14ac:dyDescent="0.25">
      <c r="A48" s="521" t="s">
        <v>1747</v>
      </c>
    </row>
    <row r="49" spans="1:25" customFormat="1" ht="16" x14ac:dyDescent="0.2">
      <c r="A49" s="516"/>
      <c r="C49" s="547" t="s">
        <v>1754</v>
      </c>
      <c r="D49" s="547"/>
      <c r="E49" s="547"/>
      <c r="F49" s="547"/>
      <c r="G49" s="547" t="s">
        <v>1751</v>
      </c>
      <c r="H49" s="547"/>
      <c r="I49" s="547"/>
      <c r="J49" s="547"/>
      <c r="K49" s="547" t="s">
        <v>703</v>
      </c>
      <c r="L49" s="547"/>
      <c r="M49" s="547"/>
      <c r="N49" s="547"/>
      <c r="O49" s="547" t="s">
        <v>1752</v>
      </c>
      <c r="P49" s="547"/>
      <c r="Q49" s="547"/>
      <c r="R49" s="547"/>
      <c r="S49" s="547" t="s">
        <v>1753</v>
      </c>
      <c r="T49" s="547"/>
      <c r="U49" s="547"/>
      <c r="V49" s="547"/>
      <c r="X49" t="s">
        <v>1928</v>
      </c>
    </row>
    <row r="50" spans="1:25" customFormat="1" ht="50" customHeight="1" x14ac:dyDescent="0.2">
      <c r="A50" s="522" t="s">
        <v>209</v>
      </c>
      <c r="B50" s="29" t="s">
        <v>208</v>
      </c>
      <c r="C50" s="29" t="s">
        <v>1748</v>
      </c>
      <c r="D50" s="29" t="s">
        <v>1749</v>
      </c>
      <c r="E50" s="475" t="s">
        <v>211</v>
      </c>
      <c r="F50" s="475" t="s">
        <v>212</v>
      </c>
      <c r="G50" s="29" t="s">
        <v>1748</v>
      </c>
      <c r="H50" s="29" t="s">
        <v>1749</v>
      </c>
      <c r="I50" s="475" t="s">
        <v>211</v>
      </c>
      <c r="J50" s="475" t="s">
        <v>212</v>
      </c>
      <c r="K50" s="29" t="s">
        <v>1748</v>
      </c>
      <c r="L50" s="29" t="s">
        <v>1749</v>
      </c>
      <c r="M50" s="475" t="s">
        <v>211</v>
      </c>
      <c r="N50" s="475" t="s">
        <v>212</v>
      </c>
      <c r="O50" s="29" t="s">
        <v>1748</v>
      </c>
      <c r="P50" s="29" t="s">
        <v>1749</v>
      </c>
      <c r="Q50" s="475" t="s">
        <v>211</v>
      </c>
      <c r="R50" s="475" t="s">
        <v>212</v>
      </c>
      <c r="S50" s="29" t="s">
        <v>1748</v>
      </c>
      <c r="T50" s="29" t="s">
        <v>1749</v>
      </c>
      <c r="U50" s="475" t="s">
        <v>211</v>
      </c>
      <c r="V50" s="475" t="s">
        <v>212</v>
      </c>
      <c r="X50" s="1" t="s">
        <v>1927</v>
      </c>
      <c r="Y50" s="1" t="s">
        <v>1926</v>
      </c>
    </row>
    <row r="51" spans="1:25" customFormat="1" ht="16" x14ac:dyDescent="0.2">
      <c r="A51" s="516" t="s">
        <v>82</v>
      </c>
      <c r="B51" t="s">
        <v>245</v>
      </c>
      <c r="C51" s="13">
        <f>IFERROR(VLOOKUP($B51,SlagComposition!$B$7:$D$24,3,FALSE),0)*_xlfn.XLOOKUP(C$49,$B$41:$B$45,$J$41:$J$45)</f>
        <v>4.0034196190714653E-3</v>
      </c>
      <c r="D51" s="13">
        <f>IFERROR(VLOOKUP($B51,SlagComposition!$B$7:$D$24,3,FALSE),0)*_xlfn.XLOOKUP(C$49,$B$41:$B$45,$I$41:$I$45)</f>
        <v>6.7965030742376037E-3</v>
      </c>
      <c r="E51" s="476">
        <f>C51*_xlfn.XLOOKUP(C$49,$B$41:$B$45,$H$41:$H$45)</f>
        <v>3.0905102897195991</v>
      </c>
      <c r="F51" s="476">
        <f>D51*_xlfn.XLOOKUP(C$49,$B$41:$B$45,$G$41:$G$45)</f>
        <v>1.8416206341499507E-2</v>
      </c>
      <c r="G51" s="13">
        <f>IFERROR(VLOOKUP($B51,SlagComposition!$B$7:$D$24,3,FALSE),0)*_xlfn.XLOOKUP(G$49,$B$41:$B$45,$J$41:$J$45)</f>
        <v>5.0380566950947734E-3</v>
      </c>
      <c r="H51" s="13">
        <f>IFERROR(VLOOKUP($B51,SlagComposition!$B$7:$D$24,3,FALSE),0)*_xlfn.XLOOKUP(G$49,$B$41:$B$45,$I$41:$I$45)</f>
        <v>8.5529799707422891E-3</v>
      </c>
      <c r="I51" s="476">
        <f>G51*_xlfn.XLOOKUP(G$49,$B$41:$B$45,$H$41:$H$45)</f>
        <v>2.218882303227498</v>
      </c>
      <c r="J51" s="476">
        <f>H51*_xlfn.XLOOKUP(G$49,$B$41:$B$45,$G$41:$G$45)</f>
        <v>1.8110287135018707E-2</v>
      </c>
      <c r="K51" s="13">
        <f>IFERROR(VLOOKUP($B51,SlagComposition!$B$7:$D$24,3,FALSE),0)*_xlfn.XLOOKUP(K$49,$B$41:$B$45,$J$41:$J$45)</f>
        <v>5.0380566950947734E-3</v>
      </c>
      <c r="L51" s="13">
        <f>IFERROR(VLOOKUP($B51,SlagComposition!$B$7:$D$24,3,FALSE),0)*_xlfn.XLOOKUP(K$49,$B$41:$B$45,$I$41:$I$45)</f>
        <v>8.5529799707422891E-3</v>
      </c>
      <c r="M51" s="476">
        <f>K51*_xlfn.XLOOKUP(K$49,$B$41:$B$45,$H$41:$H$45)</f>
        <v>1.4893106264238951</v>
      </c>
      <c r="N51" s="476">
        <f>L51*_xlfn.XLOOKUP(K$49,$B$41:$B$45,$G$41:$G$45)</f>
        <v>1.2155598806903435E-2</v>
      </c>
      <c r="O51" s="13">
        <f>IFERROR(VLOOKUP($B51,SlagComposition!$B$7:$D$24,3,FALSE),0)*_xlfn.XLOOKUP(O$49,$B$41:$B$45,$J$41:$J$45)</f>
        <v>3.9120710661073067E-3</v>
      </c>
      <c r="P51" s="13">
        <f>IFERROR(VLOOKUP($B51,SlagComposition!$B$7:$D$24,3,FALSE),0)*_xlfn.XLOOKUP(O$49,$B$41:$B$45,$I$41:$I$45)</f>
        <v>6.6414229726937998E-3</v>
      </c>
      <c r="Q51" s="476">
        <f>O51*_xlfn.XLOOKUP(O$49,$B$41:$B$45,$H$41:$H$45)</f>
        <v>4.8267844099280328</v>
      </c>
      <c r="R51" s="476">
        <f>P51*_xlfn.XLOOKUP(O$49,$B$41:$B$45,$G$41:$G$45)</f>
        <v>3.9395713542570036E-2</v>
      </c>
      <c r="S51" s="13">
        <f>IFERROR(VLOOKUP($B51,SlagComposition!$B$7:$D$24,3,FALSE),0)*_xlfn.XLOOKUP(S$49,$B$41:$B$45,$J$41:$J$45)</f>
        <v>1.4204668835669362E-3</v>
      </c>
      <c r="T51" s="13">
        <f>IFERROR(VLOOKUP($B51,SlagComposition!$B$7:$D$24,3,FALSE),0)*_xlfn.XLOOKUP(S$49,$B$41:$B$45,$I$41:$I$45)</f>
        <v>2.4114902907066589E-3</v>
      </c>
      <c r="U51" s="476">
        <f>S51*_xlfn.XLOOKUP(S$49,$B$41:$B$45,$H$41:$H$45)</f>
        <v>6.4239538698039267</v>
      </c>
      <c r="V51" s="476">
        <f>T51*_xlfn.XLOOKUP(S$49,$B$41:$B$45,$G$41:$G$45)</f>
        <v>5.2431644957031141E-2</v>
      </c>
      <c r="X51" s="13">
        <f>(E51+I51+M51+Q51+U51)/365</f>
        <v>4.9450524655076579E-2</v>
      </c>
      <c r="Y51" s="13">
        <f>(F51+J51+N51+R51+V51)</f>
        <v>0.14050945078302282</v>
      </c>
    </row>
    <row r="52" spans="1:25" customFormat="1" ht="16" x14ac:dyDescent="0.2">
      <c r="A52" s="516" t="s">
        <v>89</v>
      </c>
      <c r="B52" t="s">
        <v>213</v>
      </c>
      <c r="C52" s="13">
        <f>IFERROR(VLOOKUP($B52,SlagComposition!$B$7:$D$24,3,FALSE),0)*_xlfn.XLOOKUP(C$49,$B$41:$B$45,$J$41:$J$45)</f>
        <v>7.7399445968715005E-3</v>
      </c>
      <c r="D52" s="13">
        <f>IFERROR(VLOOKUP($B52,SlagComposition!$B$7:$D$24,3,FALSE),0)*_xlfn.XLOOKUP(C$49,$B$41:$B$45,$I$41:$I$45)</f>
        <v>1.3139905943526034E-2</v>
      </c>
      <c r="E52" s="476">
        <f t="shared" ref="E52:E68" si="6">C52*_xlfn.XLOOKUP(C$49,$B$41:$B$45,$H$41:$H$45)</f>
        <v>5.9749865601245595</v>
      </c>
      <c r="F52" s="476">
        <f t="shared" ref="F52:F68" si="7">D52*_xlfn.XLOOKUP(C$49,$B$41:$B$45,$G$41:$G$45)</f>
        <v>3.5604665593565711E-2</v>
      </c>
      <c r="G52" s="13">
        <f>IFERROR(VLOOKUP($B52,SlagComposition!$B$7:$D$24,3,FALSE),0)*_xlfn.XLOOKUP(G$49,$B$41:$B$45,$J$41:$J$45)</f>
        <v>9.7402429438498955E-3</v>
      </c>
      <c r="H52" s="13">
        <f>IFERROR(VLOOKUP($B52,SlagComposition!$B$7:$D$24,3,FALSE),0)*_xlfn.XLOOKUP(G$49,$B$41:$B$45,$I$41:$I$45)</f>
        <v>1.6535761276768427E-2</v>
      </c>
      <c r="I52" s="476">
        <f t="shared" ref="I52:I68" si="8">G52*_xlfn.XLOOKUP(G$49,$B$41:$B$45,$H$41:$H$45)</f>
        <v>4.2898391195731627</v>
      </c>
      <c r="J52" s="476">
        <f t="shared" ref="J52:J68" si="9">H52*_xlfn.XLOOKUP(G$49,$B$41:$B$45,$G$41:$G$45)</f>
        <v>3.5013221794369505E-2</v>
      </c>
      <c r="K52" s="13">
        <f>IFERROR(VLOOKUP($B52,SlagComposition!$B$7:$D$24,3,FALSE),0)*_xlfn.XLOOKUP(K$49,$B$41:$B$45,$J$41:$J$45)</f>
        <v>9.7402429438498955E-3</v>
      </c>
      <c r="L52" s="13">
        <f>IFERROR(VLOOKUP($B52,SlagComposition!$B$7:$D$24,3,FALSE),0)*_xlfn.XLOOKUP(K$49,$B$41:$B$45,$I$41:$I$45)</f>
        <v>1.6535761276768427E-2</v>
      </c>
      <c r="M52" s="476">
        <f t="shared" ref="M52:M68" si="10">K52*_xlfn.XLOOKUP(K$49,$B$41:$B$45,$H$41:$H$45)</f>
        <v>2.8793338777528636</v>
      </c>
      <c r="N52" s="476">
        <f t="shared" ref="N52:N68" si="11">L52*_xlfn.XLOOKUP(K$49,$B$41:$B$45,$G$41:$G$45)</f>
        <v>2.3500824360013307E-2</v>
      </c>
      <c r="O52" s="13">
        <f>IFERROR(VLOOKUP($B52,SlagComposition!$B$7:$D$24,3,FALSE),0)*_xlfn.XLOOKUP(O$49,$B$41:$B$45,$J$41:$J$45)</f>
        <v>7.5633373944741268E-3</v>
      </c>
      <c r="P52" s="13">
        <f>IFERROR(VLOOKUP($B52,SlagComposition!$B$7:$D$24,3,FALSE),0)*_xlfn.XLOOKUP(O$49,$B$41:$B$45,$I$41:$I$45)</f>
        <v>1.2840084413874681E-2</v>
      </c>
      <c r="Q52" s="476">
        <f t="shared" ref="Q52:Q68" si="12">O52*_xlfn.XLOOKUP(O$49,$B$41:$B$45,$H$41:$H$45)</f>
        <v>9.3317831925275314</v>
      </c>
      <c r="R52" s="476">
        <f t="shared" ref="R52:R68" si="13">P52*_xlfn.XLOOKUP(O$49,$B$41:$B$45,$G$41:$G$45)</f>
        <v>7.6165046182302076E-2</v>
      </c>
      <c r="S52" s="13">
        <f>IFERROR(VLOOKUP($B52,SlagComposition!$B$7:$D$24,3,FALSE),0)*_xlfn.XLOOKUP(S$49,$B$41:$B$45,$J$41:$J$45)</f>
        <v>2.7462359748960767E-3</v>
      </c>
      <c r="T52" s="13">
        <f>IFERROR(VLOOKUP($B52,SlagComposition!$B$7:$D$24,3,FALSE),0)*_xlfn.XLOOKUP(S$49,$B$41:$B$45,$I$41:$I$45)</f>
        <v>4.6622145620328747E-3</v>
      </c>
      <c r="U52" s="476">
        <f t="shared" ref="U52:U68" si="14">S52*_xlfn.XLOOKUP(S$49,$B$41:$B$45,$H$41:$H$45)</f>
        <v>12.419644148287592</v>
      </c>
      <c r="V52" s="476">
        <f t="shared" ref="V52:V68" si="15">T52*_xlfn.XLOOKUP(S$49,$B$41:$B$45,$G$41:$G$45)</f>
        <v>0.10136784691692689</v>
      </c>
      <c r="X52" s="13">
        <f t="shared" ref="X52:X70" si="16">(E52+I52+M52+Q52+U52)/365</f>
        <v>9.560434766648139E-2</v>
      </c>
      <c r="Y52" s="13">
        <f t="shared" ref="Y52:Y70" si="17">(F52+J52+N52+R52+V52)</f>
        <v>0.27165160484717749</v>
      </c>
    </row>
    <row r="53" spans="1:25" customFormat="1" ht="16" x14ac:dyDescent="0.2">
      <c r="A53" s="516" t="s">
        <v>193</v>
      </c>
      <c r="B53" t="s">
        <v>276</v>
      </c>
      <c r="C53" s="13">
        <f>IFERROR(VLOOKUP($B53,SlagComposition!$B$7:$D$24,3,FALSE),0)*_xlfn.XLOOKUP(C$49,$B$41:$B$45,$J$41:$J$45)</f>
        <v>1.014199636831438E-7</v>
      </c>
      <c r="D53" s="13">
        <f>IFERROR(VLOOKUP($B53,SlagComposition!$B$7:$D$24,3,FALSE),0)*_xlfn.XLOOKUP(C$49,$B$41:$B$45,$I$41:$I$45)</f>
        <v>1.7217807788068597E-7</v>
      </c>
      <c r="E53" s="476">
        <f t="shared" si="6"/>
        <v>7.8292927339563187E-5</v>
      </c>
      <c r="F53" s="476">
        <f t="shared" si="7"/>
        <v>4.6654389398465418E-7</v>
      </c>
      <c r="G53" s="13">
        <f>IFERROR(VLOOKUP($B53,SlagComposition!$B$7:$D$24,3,FALSE),0)*_xlfn.XLOOKUP(G$49,$B$41:$B$45,$J$41:$J$45)</f>
        <v>1.2763076960906761E-7</v>
      </c>
      <c r="H53" s="13">
        <f>IFERROR(VLOOKUP($B53,SlagComposition!$B$7:$D$24,3,FALSE),0)*_xlfn.XLOOKUP(G$49,$B$41:$B$45,$I$41:$I$45)</f>
        <v>2.1667549259213801E-7</v>
      </c>
      <c r="I53" s="476">
        <f t="shared" si="8"/>
        <v>5.6211685015096622E-5</v>
      </c>
      <c r="J53" s="476">
        <f t="shared" si="9"/>
        <v>4.5879394075380733E-7</v>
      </c>
      <c r="K53" s="13">
        <f>IFERROR(VLOOKUP($B53,SlagComposition!$B$7:$D$24,3,FALSE),0)*_xlfn.XLOOKUP(K$49,$B$41:$B$45,$J$41:$J$45)</f>
        <v>1.2763076960906761E-7</v>
      </c>
      <c r="L53" s="13">
        <f>IFERROR(VLOOKUP($B53,SlagComposition!$B$7:$D$24,3,FALSE),0)*_xlfn.XLOOKUP(K$49,$B$41:$B$45,$I$41:$I$45)</f>
        <v>2.1667549259213801E-7</v>
      </c>
      <c r="M53" s="476">
        <f t="shared" si="10"/>
        <v>3.7729202536072011E-5</v>
      </c>
      <c r="N53" s="476">
        <f t="shared" si="11"/>
        <v>3.079418364415537E-7</v>
      </c>
      <c r="O53" s="13">
        <f>IFERROR(VLOOKUP($B53,SlagComposition!$B$7:$D$24,3,FALSE),0)*_xlfn.XLOOKUP(O$49,$B$41:$B$45,$J$41:$J$45)</f>
        <v>9.9105800341385105E-8</v>
      </c>
      <c r="P53" s="13">
        <f>IFERROR(VLOOKUP($B53,SlagComposition!$B$7:$D$24,3,FALSE),0)*_xlfn.XLOOKUP(O$49,$B$41:$B$45,$I$41:$I$45)</f>
        <v>1.6824938197490961E-7</v>
      </c>
      <c r="Q53" s="476">
        <f t="shared" si="12"/>
        <v>1.2227853838484351E-4</v>
      </c>
      <c r="R53" s="476">
        <f t="shared" si="13"/>
        <v>9.9802474307844106E-7</v>
      </c>
      <c r="S53" s="13">
        <f>IFERROR(VLOOKUP($B53,SlagComposition!$B$7:$D$24,3,FALSE),0)*_xlfn.XLOOKUP(S$49,$B$41:$B$45,$J$41:$J$45)</f>
        <v>3.5985161050362385E-8</v>
      </c>
      <c r="T53" s="13">
        <f>IFERROR(VLOOKUP($B53,SlagComposition!$B$7:$D$24,3,FALSE),0)*_xlfn.XLOOKUP(S$49,$B$41:$B$45,$I$41:$I$45)</f>
        <v>6.1091087364568697E-8</v>
      </c>
      <c r="U53" s="476">
        <f t="shared" si="14"/>
        <v>1.6274016470169949E-4</v>
      </c>
      <c r="V53" s="476">
        <f t="shared" si="15"/>
        <v>1.3282683389114557E-6</v>
      </c>
      <c r="X53" s="13">
        <f t="shared" si="16"/>
        <v>1.2527466245952734E-6</v>
      </c>
      <c r="Y53" s="13">
        <f t="shared" si="17"/>
        <v>3.5595727531699118E-6</v>
      </c>
    </row>
    <row r="54" spans="1:25" customFormat="1" ht="16" x14ac:dyDescent="0.2">
      <c r="A54" s="515" t="s">
        <v>85</v>
      </c>
      <c r="B54" t="s">
        <v>215</v>
      </c>
      <c r="C54" s="13">
        <f>IFERROR(VLOOKUP($B54,SlagComposition!$B$7:$D$24,3,FALSE),0)*_xlfn.XLOOKUP(C$49,$B$41:$B$45,$J$41:$J$45)</f>
        <v>2.9358410539857414E-8</v>
      </c>
      <c r="D54" s="13">
        <f>IFERROR(VLOOKUP($B54,SlagComposition!$B$7:$D$24,3,FALSE),0)*_xlfn.XLOOKUP(C$49,$B$41:$B$45,$I$41:$I$45)</f>
        <v>4.9841022544409095E-8</v>
      </c>
      <c r="E54" s="476">
        <f t="shared" si="6"/>
        <v>2.2663742124610394E-5</v>
      </c>
      <c r="F54" s="476">
        <f t="shared" si="7"/>
        <v>1.3505217983766304E-7</v>
      </c>
      <c r="G54" s="13">
        <f>IFERROR(VLOOKUP($B54,SlagComposition!$B$7:$D$24,3,FALSE),0)*_xlfn.XLOOKUP(G$49,$B$41:$B$45,$J$41:$J$45)</f>
        <v>3.6945749097361674E-8</v>
      </c>
      <c r="H54" s="13">
        <f>IFERROR(VLOOKUP($B54,SlagComposition!$B$7:$D$24,3,FALSE),0)*_xlfn.XLOOKUP(G$49,$B$41:$B$45,$I$41:$I$45)</f>
        <v>6.272185311877679E-8</v>
      </c>
      <c r="I54" s="476">
        <f t="shared" si="8"/>
        <v>1.6271803557001653E-5</v>
      </c>
      <c r="J54" s="476">
        <f t="shared" si="9"/>
        <v>1.3280877232347053E-7</v>
      </c>
      <c r="K54" s="13">
        <f>IFERROR(VLOOKUP($B54,SlagComposition!$B$7:$D$24,3,FALSE),0)*_xlfn.XLOOKUP(K$49,$B$41:$B$45,$J$41:$J$45)</f>
        <v>3.6945749097361674E-8</v>
      </c>
      <c r="L54" s="13">
        <f>IFERROR(VLOOKUP($B54,SlagComposition!$B$7:$D$24,3,FALSE),0)*_xlfn.XLOOKUP(K$49,$B$41:$B$45,$I$41:$I$45)</f>
        <v>6.272185311877679E-8</v>
      </c>
      <c r="M54" s="476">
        <f t="shared" si="10"/>
        <v>1.0921611260441898E-5</v>
      </c>
      <c r="N54" s="476">
        <f t="shared" si="11"/>
        <v>8.9141057917291854E-8</v>
      </c>
      <c r="O54" s="13">
        <f>IFERROR(VLOOKUP($B54,SlagComposition!$B$7:$D$24,3,FALSE),0)*_xlfn.XLOOKUP(O$49,$B$41:$B$45,$J$41:$J$45)</f>
        <v>2.8688521151453586E-8</v>
      </c>
      <c r="P54" s="13">
        <f>IFERROR(VLOOKUP($B54,SlagComposition!$B$7:$D$24,3,FALSE),0)*_xlfn.XLOOKUP(O$49,$B$41:$B$45,$I$41:$I$45)</f>
        <v>4.8703768466421203E-8</v>
      </c>
      <c r="Q54" s="476">
        <f t="shared" si="12"/>
        <v>3.5396419006138913E-5</v>
      </c>
      <c r="R54" s="476">
        <f t="shared" si="13"/>
        <v>2.889018993121803E-7</v>
      </c>
      <c r="S54" s="13">
        <f>IFERROR(VLOOKUP($B54,SlagComposition!$B$7:$D$24,3,FALSE),0)*_xlfn.XLOOKUP(S$49,$B$41:$B$45,$J$41:$J$45)</f>
        <v>1.0416757146157532E-8</v>
      </c>
      <c r="T54" s="13">
        <f>IFERROR(VLOOKUP($B54,SlagComposition!$B$7:$D$24,3,FALSE),0)*_xlfn.XLOOKUP(S$49,$B$41:$B$45,$I$41:$I$45)</f>
        <v>1.7684262131848833E-8</v>
      </c>
      <c r="U54" s="476">
        <f t="shared" si="14"/>
        <v>4.7108995045228793E-5</v>
      </c>
      <c r="V54" s="476">
        <f t="shared" si="15"/>
        <v>3.844987296848951E-7</v>
      </c>
      <c r="X54" s="13">
        <f t="shared" si="16"/>
        <v>3.6263718080389489E-7</v>
      </c>
      <c r="Y54" s="13">
        <f t="shared" si="17"/>
        <v>1.030402639075501E-6</v>
      </c>
    </row>
    <row r="55" spans="1:25" customFormat="1" ht="16" x14ac:dyDescent="0.2">
      <c r="A55" s="516" t="s">
        <v>174</v>
      </c>
      <c r="B55" t="s">
        <v>246</v>
      </c>
      <c r="C55" s="13">
        <f>IFERROR(VLOOKUP($B55,SlagComposition!$B$7:$D$24,3,FALSE),0)*_xlfn.XLOOKUP(C$49,$B$41:$B$45,$J$41:$J$45)</f>
        <v>2.1084676660443054E-7</v>
      </c>
      <c r="D55" s="13">
        <f>IFERROR(VLOOKUP($B55,SlagComposition!$B$7:$D$24,3,FALSE),0)*_xlfn.XLOOKUP(C$49,$B$41:$B$45,$I$41:$I$45)</f>
        <v>3.5794916190984714E-7</v>
      </c>
      <c r="E55" s="476">
        <f t="shared" si="6"/>
        <v>1.6276687525856558E-4</v>
      </c>
      <c r="F55" s="476">
        <f t="shared" si="7"/>
        <v>9.699202006523073E-7</v>
      </c>
      <c r="G55" s="13">
        <f>IFERROR(VLOOKUP($B55,SlagComposition!$B$7:$D$24,3,FALSE),0)*_xlfn.XLOOKUP(G$49,$B$41:$B$45,$J$41:$J$45)</f>
        <v>2.6533765260832474E-7</v>
      </c>
      <c r="H55" s="13">
        <f>IFERROR(VLOOKUP($B55,SlagComposition!$B$7:$D$24,3,FALSE),0)*_xlfn.XLOOKUP(G$49,$B$41:$B$45,$I$41:$I$45)</f>
        <v>4.5045694512576063E-7</v>
      </c>
      <c r="I55" s="476">
        <f t="shared" si="8"/>
        <v>1.1686113463664823E-4</v>
      </c>
      <c r="J55" s="476">
        <f t="shared" si="9"/>
        <v>9.5380845577765221E-7</v>
      </c>
      <c r="K55" s="13">
        <f>IFERROR(VLOOKUP($B55,SlagComposition!$B$7:$D$24,3,FALSE),0)*_xlfn.XLOOKUP(K$49,$B$41:$B$45,$J$41:$J$45)</f>
        <v>2.6533765260832474E-7</v>
      </c>
      <c r="L55" s="13">
        <f>IFERROR(VLOOKUP($B55,SlagComposition!$B$7:$D$24,3,FALSE),0)*_xlfn.XLOOKUP(K$49,$B$41:$B$45,$I$41:$I$45)</f>
        <v>4.5045694512576063E-7</v>
      </c>
      <c r="M55" s="476">
        <f t="shared" si="10"/>
        <v>7.8437026324991809E-5</v>
      </c>
      <c r="N55" s="476">
        <f t="shared" si="11"/>
        <v>6.4019487049691437E-7</v>
      </c>
      <c r="O55" s="13">
        <f>IFERROR(VLOOKUP($B55,SlagComposition!$B$7:$D$24,3,FALSE),0)*_xlfn.XLOOKUP(O$49,$B$41:$B$45,$J$41:$J$45)</f>
        <v>2.0603574281498484E-7</v>
      </c>
      <c r="P55" s="13">
        <f>IFERROR(VLOOKUP($B55,SlagComposition!$B$7:$D$24,3,FALSE),0)*_xlfn.XLOOKUP(O$49,$B$41:$B$45,$I$41:$I$45)</f>
        <v>3.4978160989520685E-7</v>
      </c>
      <c r="Q55" s="476">
        <f t="shared" si="12"/>
        <v>2.5421064558954308E-4</v>
      </c>
      <c r="R55" s="476">
        <f t="shared" si="13"/>
        <v>2.0748409132420224E-6</v>
      </c>
      <c r="S55" s="13">
        <f>IFERROR(VLOOKUP($B55,SlagComposition!$B$7:$D$24,3,FALSE),0)*_xlfn.XLOOKUP(S$49,$B$41:$B$45,$J$41:$J$45)</f>
        <v>7.4811255867858648E-8</v>
      </c>
      <c r="T55" s="13">
        <f>IFERROR(VLOOKUP($B55,SlagComposition!$B$7:$D$24,3,FALSE),0)*_xlfn.XLOOKUP(S$49,$B$41:$B$45,$I$41:$I$45)</f>
        <v>1.2700515531055073E-7</v>
      </c>
      <c r="U55" s="476">
        <f t="shared" si="14"/>
        <v>3.3832823714300683E-4</v>
      </c>
      <c r="V55" s="476">
        <f t="shared" si="15"/>
        <v>2.7613999677369741E-6</v>
      </c>
      <c r="X55" s="13">
        <f t="shared" si="16"/>
        <v>2.6043942985006997E-6</v>
      </c>
      <c r="Y55" s="13">
        <f t="shared" si="17"/>
        <v>7.4001644079058705E-6</v>
      </c>
    </row>
    <row r="56" spans="1:25" customFormat="1" ht="16" x14ac:dyDescent="0.2">
      <c r="A56" s="516" t="s">
        <v>83</v>
      </c>
      <c r="B56" t="s">
        <v>247</v>
      </c>
      <c r="C56" s="13">
        <f>IFERROR(VLOOKUP($B56,SlagComposition!$B$7:$D$24,3,FALSE),0)*_xlfn.XLOOKUP(C$49,$B$41:$B$45,$J$41:$J$45)</f>
        <v>8.8075231619572235E-7</v>
      </c>
      <c r="D56" s="13">
        <f>IFERROR(VLOOKUP($B56,SlagComposition!$B$7:$D$24,3,FALSE),0)*_xlfn.XLOOKUP(C$49,$B$41:$B$45,$I$41:$I$45)</f>
        <v>1.4952306763322726E-6</v>
      </c>
      <c r="E56" s="476">
        <f t="shared" si="6"/>
        <v>6.7991226373831186E-4</v>
      </c>
      <c r="F56" s="476">
        <f t="shared" si="7"/>
        <v>4.0515653951298911E-6</v>
      </c>
      <c r="G56" s="13">
        <f>IFERROR(VLOOKUP($B56,SlagComposition!$B$7:$D$24,3,FALSE),0)*_xlfn.XLOOKUP(G$49,$B$41:$B$45,$J$41:$J$45)</f>
        <v>1.1083724729208501E-6</v>
      </c>
      <c r="H56" s="13">
        <f>IFERROR(VLOOKUP($B56,SlagComposition!$B$7:$D$24,3,FALSE),0)*_xlfn.XLOOKUP(G$49,$B$41:$B$45,$I$41:$I$45)</f>
        <v>1.8816555935633037E-6</v>
      </c>
      <c r="I56" s="476">
        <f t="shared" si="8"/>
        <v>4.8815410671004952E-4</v>
      </c>
      <c r="J56" s="476">
        <f t="shared" si="9"/>
        <v>3.9842631697041163E-6</v>
      </c>
      <c r="K56" s="13">
        <f>IFERROR(VLOOKUP($B56,SlagComposition!$B$7:$D$24,3,FALSE),0)*_xlfn.XLOOKUP(K$49,$B$41:$B$45,$J$41:$J$45)</f>
        <v>1.1083724729208501E-6</v>
      </c>
      <c r="L56" s="13">
        <f>IFERROR(VLOOKUP($B56,SlagComposition!$B$7:$D$24,3,FALSE),0)*_xlfn.XLOOKUP(K$49,$B$41:$B$45,$I$41:$I$45)</f>
        <v>1.8816555935633037E-6</v>
      </c>
      <c r="M56" s="476">
        <f t="shared" si="10"/>
        <v>3.276483378132569E-4</v>
      </c>
      <c r="N56" s="476">
        <f t="shared" si="11"/>
        <v>2.6742317375187556E-6</v>
      </c>
      <c r="O56" s="13">
        <f>IFERROR(VLOOKUP($B56,SlagComposition!$B$7:$D$24,3,FALSE),0)*_xlfn.XLOOKUP(O$49,$B$41:$B$45,$J$41:$J$45)</f>
        <v>8.606556345436074E-7</v>
      </c>
      <c r="P56" s="13">
        <f>IFERROR(VLOOKUP($B56,SlagComposition!$B$7:$D$24,3,FALSE),0)*_xlfn.XLOOKUP(O$49,$B$41:$B$45,$I$41:$I$45)</f>
        <v>1.4611130539926359E-6</v>
      </c>
      <c r="Q56" s="476">
        <f t="shared" si="12"/>
        <v>1.0618925701841673E-3</v>
      </c>
      <c r="R56" s="476">
        <f t="shared" si="13"/>
        <v>8.6670569793654078E-6</v>
      </c>
      <c r="S56" s="13">
        <f>IFERROR(VLOOKUP($B56,SlagComposition!$B$7:$D$24,3,FALSE),0)*_xlfn.XLOOKUP(S$49,$B$41:$B$45,$J$41:$J$45)</f>
        <v>3.1250271438472594E-7</v>
      </c>
      <c r="T56" s="13">
        <f>IFERROR(VLOOKUP($B56,SlagComposition!$B$7:$D$24,3,FALSE),0)*_xlfn.XLOOKUP(S$49,$B$41:$B$45,$I$41:$I$45)</f>
        <v>5.3052786395546492E-7</v>
      </c>
      <c r="U56" s="476">
        <f t="shared" si="14"/>
        <v>1.4132698513568637E-3</v>
      </c>
      <c r="V56" s="476">
        <f t="shared" si="15"/>
        <v>1.1534961890546851E-5</v>
      </c>
      <c r="X56" s="13">
        <f t="shared" si="16"/>
        <v>1.0879115424116847E-5</v>
      </c>
      <c r="Y56" s="13">
        <f t="shared" si="17"/>
        <v>3.0912079172265022E-5</v>
      </c>
    </row>
    <row r="57" spans="1:25" customFormat="1" ht="16" x14ac:dyDescent="0.2">
      <c r="A57" s="516" t="s">
        <v>93</v>
      </c>
      <c r="B57" t="s">
        <v>248</v>
      </c>
      <c r="C57" s="13">
        <f>IFERROR(VLOOKUP($B57,SlagComposition!$B$7:$D$24,3,FALSE),0)*_xlfn.XLOOKUP(C$49,$B$41:$B$45,$J$41:$J$45)</f>
        <v>8.2737338794143618E-8</v>
      </c>
      <c r="D57" s="13">
        <f>IFERROR(VLOOKUP($B57,SlagComposition!$B$7:$D$24,3,FALSE),0)*_xlfn.XLOOKUP(C$49,$B$41:$B$45,$I$41:$I$45)</f>
        <v>1.4046106353424382E-7</v>
      </c>
      <c r="E57" s="476">
        <f t="shared" si="6"/>
        <v>6.387054598753838E-5</v>
      </c>
      <c r="F57" s="476">
        <f t="shared" si="7"/>
        <v>3.8060159772432315E-7</v>
      </c>
      <c r="G57" s="13">
        <f>IFERROR(VLOOKUP($B57,SlagComposition!$B$7:$D$24,3,FALSE),0)*_xlfn.XLOOKUP(G$49,$B$41:$B$45,$J$41:$J$45)</f>
        <v>1.0411983836529199E-7</v>
      </c>
      <c r="H57" s="13">
        <f>IFERROR(VLOOKUP($B57,SlagComposition!$B$7:$D$24,3,FALSE),0)*_xlfn.XLOOKUP(G$49,$B$41:$B$45,$I$41:$I$45)</f>
        <v>1.7676158606200732E-7</v>
      </c>
      <c r="I57" s="476">
        <f t="shared" si="8"/>
        <v>4.5856900933368289E-5</v>
      </c>
      <c r="J57" s="476">
        <f t="shared" si="9"/>
        <v>3.7427926745705334E-7</v>
      </c>
      <c r="K57" s="13">
        <f>IFERROR(VLOOKUP($B57,SlagComposition!$B$7:$D$24,3,FALSE),0)*_xlfn.XLOOKUP(K$49,$B$41:$B$45,$J$41:$J$45)</f>
        <v>1.0411983836529199E-7</v>
      </c>
      <c r="L57" s="13">
        <f>IFERROR(VLOOKUP($B57,SlagComposition!$B$7:$D$24,3,FALSE),0)*_xlfn.XLOOKUP(K$49,$B$41:$B$45,$I$41:$I$45)</f>
        <v>1.7676158606200732E-7</v>
      </c>
      <c r="M57" s="476">
        <f t="shared" si="10"/>
        <v>3.0779086279427163E-5</v>
      </c>
      <c r="N57" s="476">
        <f t="shared" si="11"/>
        <v>2.5121570867600433E-7</v>
      </c>
      <c r="O57" s="13">
        <f>IFERROR(VLOOKUP($B57,SlagComposition!$B$7:$D$24,3,FALSE),0)*_xlfn.XLOOKUP(O$49,$B$41:$B$45,$J$41:$J$45)</f>
        <v>8.0849468699551013E-8</v>
      </c>
      <c r="P57" s="13">
        <f>IFERROR(VLOOKUP($B57,SlagComposition!$B$7:$D$24,3,FALSE),0)*_xlfn.XLOOKUP(O$49,$B$41:$B$45,$I$41:$I$45)</f>
        <v>1.372560747690052E-7</v>
      </c>
      <c r="Q57" s="476">
        <f t="shared" si="12"/>
        <v>9.9753544471846032E-5</v>
      </c>
      <c r="R57" s="476">
        <f t="shared" si="13"/>
        <v>8.141780798797808E-7</v>
      </c>
      <c r="S57" s="13">
        <f>IFERROR(VLOOKUP($B57,SlagComposition!$B$7:$D$24,3,FALSE),0)*_xlfn.XLOOKUP(S$49,$B$41:$B$45,$J$41:$J$45)</f>
        <v>2.9356315593716679E-8</v>
      </c>
      <c r="T57" s="13">
        <f>IFERROR(VLOOKUP($B57,SlagComposition!$B$7:$D$24,3,FALSE),0)*_xlfn.XLOOKUP(S$49,$B$41:$B$45,$I$41:$I$45)</f>
        <v>4.983746600793762E-8</v>
      </c>
      <c r="U57" s="476">
        <f t="shared" si="14"/>
        <v>1.3276171330928115E-4</v>
      </c>
      <c r="V57" s="476">
        <f t="shared" si="15"/>
        <v>1.0835873291119771E-6</v>
      </c>
      <c r="X57" s="13">
        <f t="shared" si="16"/>
        <v>1.0219775095382494E-6</v>
      </c>
      <c r="Y57" s="13">
        <f t="shared" si="17"/>
        <v>2.9038619828491389E-6</v>
      </c>
    </row>
    <row r="58" spans="1:25" customFormat="1" ht="16" x14ac:dyDescent="0.2">
      <c r="A58" s="516" t="s">
        <v>84</v>
      </c>
      <c r="B58" t="s">
        <v>253</v>
      </c>
      <c r="C58" s="13">
        <f>IFERROR(VLOOKUP($B58,SlagComposition!$B$7:$D$24,3,FALSE),0)*_xlfn.XLOOKUP(C$49,$B$41:$B$45,$J$41:$J$45)</f>
        <v>4.2703142603428966E-8</v>
      </c>
      <c r="D58" s="13">
        <f>IFERROR(VLOOKUP($B58,SlagComposition!$B$7:$D$24,3,FALSE),0)*_xlfn.XLOOKUP(C$49,$B$41:$B$45,$I$41:$I$45)</f>
        <v>7.2496032791867769E-8</v>
      </c>
      <c r="E58" s="476">
        <f t="shared" si="6"/>
        <v>3.2965443090342392E-5</v>
      </c>
      <c r="F58" s="476">
        <f t="shared" si="7"/>
        <v>1.9643953430932805E-7</v>
      </c>
      <c r="G58" s="13">
        <f>IFERROR(VLOOKUP($B58,SlagComposition!$B$7:$D$24,3,FALSE),0)*_xlfn.XLOOKUP(G$49,$B$41:$B$45,$J$41:$J$45)</f>
        <v>5.3739271414344251E-8</v>
      </c>
      <c r="H58" s="13">
        <f>IFERROR(VLOOKUP($B58,SlagComposition!$B$7:$D$24,3,FALSE),0)*_xlfn.XLOOKUP(G$49,$B$41:$B$45,$I$41:$I$45)</f>
        <v>9.1231786354584427E-8</v>
      </c>
      <c r="I58" s="476">
        <f t="shared" si="8"/>
        <v>2.3668077901093312E-5</v>
      </c>
      <c r="J58" s="476">
        <f t="shared" si="9"/>
        <v>1.9317639610686625E-7</v>
      </c>
      <c r="K58" s="13">
        <f>IFERROR(VLOOKUP($B58,SlagComposition!$B$7:$D$24,3,FALSE),0)*_xlfn.XLOOKUP(K$49,$B$41:$B$45,$J$41:$J$45)</f>
        <v>5.3739271414344251E-8</v>
      </c>
      <c r="L58" s="13">
        <f>IFERROR(VLOOKUP($B58,SlagComposition!$B$7:$D$24,3,FALSE),0)*_xlfn.XLOOKUP(K$49,$B$41:$B$45,$I$41:$I$45)</f>
        <v>9.1231786354584427E-8</v>
      </c>
      <c r="M58" s="476">
        <f t="shared" si="10"/>
        <v>1.5885980015188214E-5</v>
      </c>
      <c r="N58" s="476">
        <f t="shared" si="11"/>
        <v>1.2965972060696999E-7</v>
      </c>
      <c r="O58" s="13">
        <f>IFERROR(VLOOKUP($B58,SlagComposition!$B$7:$D$24,3,FALSE),0)*_xlfn.XLOOKUP(O$49,$B$41:$B$45,$J$41:$J$45)</f>
        <v>4.1728758038477939E-8</v>
      </c>
      <c r="P58" s="13">
        <f>IFERROR(VLOOKUP($B58,SlagComposition!$B$7:$D$24,3,FALSE),0)*_xlfn.XLOOKUP(O$49,$B$41:$B$45,$I$41:$I$45)</f>
        <v>7.0841845042067203E-8</v>
      </c>
      <c r="Q58" s="476">
        <f t="shared" si="12"/>
        <v>5.1485700372565688E-5</v>
      </c>
      <c r="R58" s="476">
        <f t="shared" si="13"/>
        <v>4.2022094445408046E-7</v>
      </c>
      <c r="S58" s="13">
        <f>IFERROR(VLOOKUP($B58,SlagComposition!$B$7:$D$24,3,FALSE),0)*_xlfn.XLOOKUP(S$49,$B$41:$B$45,$J$41:$J$45)</f>
        <v>1.5151646758047321E-8</v>
      </c>
      <c r="T58" s="13">
        <f>IFERROR(VLOOKUP($B58,SlagComposition!$B$7:$D$24,3,FALSE),0)*_xlfn.XLOOKUP(S$49,$B$41:$B$45,$I$41:$I$45)</f>
        <v>2.5722563100871031E-8</v>
      </c>
      <c r="U58" s="476">
        <f t="shared" si="14"/>
        <v>6.8522174611241894E-5</v>
      </c>
      <c r="V58" s="476">
        <f t="shared" si="15"/>
        <v>5.5927087954166562E-7</v>
      </c>
      <c r="X58" s="13">
        <f t="shared" si="16"/>
        <v>5.274722629874835E-7</v>
      </c>
      <c r="Y58" s="13">
        <f t="shared" si="17"/>
        <v>1.4987674750189105E-6</v>
      </c>
    </row>
    <row r="59" spans="1:25" customFormat="1" ht="16" x14ac:dyDescent="0.2">
      <c r="A59" s="516" t="s">
        <v>87</v>
      </c>
      <c r="B59" t="s">
        <v>214</v>
      </c>
      <c r="C59" s="13">
        <f>IFERROR(VLOOKUP($B59,SlagComposition!$B$7:$D$24,3,FALSE),0)*_xlfn.XLOOKUP(C$49,$B$41:$B$45,$J$41:$J$45)</f>
        <v>4.0034196190714651E-5</v>
      </c>
      <c r="D59" s="13">
        <f>IFERROR(VLOOKUP($B59,SlagComposition!$B$7:$D$24,3,FALSE),0)*_xlfn.XLOOKUP(C$49,$B$41:$B$45,$I$41:$I$45)</f>
        <v>6.7965030742376029E-5</v>
      </c>
      <c r="E59" s="476">
        <f t="shared" si="6"/>
        <v>3.0905102897195991E-2</v>
      </c>
      <c r="F59" s="476">
        <f t="shared" si="7"/>
        <v>1.8416206341499505E-4</v>
      </c>
      <c r="G59" s="13">
        <f>IFERROR(VLOOKUP($B59,SlagComposition!$B$7:$D$24,3,FALSE),0)*_xlfn.XLOOKUP(G$49,$B$41:$B$45,$J$41:$J$45)</f>
        <v>5.0380566950947732E-5</v>
      </c>
      <c r="H59" s="13">
        <f>IFERROR(VLOOKUP($B59,SlagComposition!$B$7:$D$24,3,FALSE),0)*_xlfn.XLOOKUP(G$49,$B$41:$B$45,$I$41:$I$45)</f>
        <v>8.5529799707422896E-5</v>
      </c>
      <c r="I59" s="476">
        <f t="shared" si="8"/>
        <v>2.2188823032274978E-2</v>
      </c>
      <c r="J59" s="476">
        <f t="shared" si="9"/>
        <v>1.8110287135018709E-4</v>
      </c>
      <c r="K59" s="13">
        <f>IFERROR(VLOOKUP($B59,SlagComposition!$B$7:$D$24,3,FALSE),0)*_xlfn.XLOOKUP(K$49,$B$41:$B$45,$J$41:$J$45)</f>
        <v>5.0380566950947732E-5</v>
      </c>
      <c r="L59" s="13">
        <f>IFERROR(VLOOKUP($B59,SlagComposition!$B$7:$D$24,3,FALSE),0)*_xlfn.XLOOKUP(K$49,$B$41:$B$45,$I$41:$I$45)</f>
        <v>8.5529799707422896E-5</v>
      </c>
      <c r="M59" s="476">
        <f t="shared" si="10"/>
        <v>1.489310626423895E-2</v>
      </c>
      <c r="N59" s="476">
        <f t="shared" si="11"/>
        <v>1.2155598806903436E-4</v>
      </c>
      <c r="O59" s="13">
        <f>IFERROR(VLOOKUP($B59,SlagComposition!$B$7:$D$24,3,FALSE),0)*_xlfn.XLOOKUP(O$49,$B$41:$B$45,$J$41:$J$45)</f>
        <v>3.9120710661073064E-5</v>
      </c>
      <c r="P59" s="13">
        <f>IFERROR(VLOOKUP($B59,SlagComposition!$B$7:$D$24,3,FALSE),0)*_xlfn.XLOOKUP(O$49,$B$41:$B$45,$I$41:$I$45)</f>
        <v>6.6414229726937998E-5</v>
      </c>
      <c r="Q59" s="476">
        <f t="shared" si="12"/>
        <v>4.8267844099280324E-2</v>
      </c>
      <c r="R59" s="476">
        <f t="shared" si="13"/>
        <v>3.9395713542570039E-4</v>
      </c>
      <c r="S59" s="13">
        <f>IFERROR(VLOOKUP($B59,SlagComposition!$B$7:$D$24,3,FALSE),0)*_xlfn.XLOOKUP(S$49,$B$41:$B$45,$J$41:$J$45)</f>
        <v>1.420466883566936E-5</v>
      </c>
      <c r="T59" s="13">
        <f>IFERROR(VLOOKUP($B59,SlagComposition!$B$7:$D$24,3,FALSE),0)*_xlfn.XLOOKUP(S$49,$B$41:$B$45,$I$41:$I$45)</f>
        <v>2.4114902907066588E-5</v>
      </c>
      <c r="U59" s="476">
        <f t="shared" si="14"/>
        <v>6.4239538698039264E-2</v>
      </c>
      <c r="V59" s="476">
        <f t="shared" si="15"/>
        <v>5.2431644957031136E-4</v>
      </c>
      <c r="X59" s="13">
        <f t="shared" si="16"/>
        <v>4.9450524655076582E-4</v>
      </c>
      <c r="Y59" s="13">
        <f t="shared" si="17"/>
        <v>1.4050945078302284E-3</v>
      </c>
    </row>
    <row r="60" spans="1:25" customFormat="1" ht="16" x14ac:dyDescent="0.2">
      <c r="A60" s="516" t="s">
        <v>88</v>
      </c>
      <c r="B60" t="s">
        <v>216</v>
      </c>
      <c r="C60" s="13">
        <f>IFERROR(VLOOKUP($B60,SlagComposition!$B$7:$D$24,3,FALSE),0)*_xlfn.XLOOKUP(C$49,$B$41:$B$45,$J$41:$J$45)</f>
        <v>1.2544048139757258E-6</v>
      </c>
      <c r="D60" s="13">
        <f>IFERROR(VLOOKUP($B60,SlagComposition!$B$7:$D$24,3,FALSE),0)*_xlfn.XLOOKUP(C$49,$B$41:$B$45,$I$41:$I$45)</f>
        <v>2.1295709632611158E-6</v>
      </c>
      <c r="E60" s="476">
        <f t="shared" si="6"/>
        <v>9.6835989077880783E-4</v>
      </c>
      <c r="F60" s="476">
        <f t="shared" si="7"/>
        <v>5.770411320336512E-6</v>
      </c>
      <c r="G60" s="13">
        <f>IFERROR(VLOOKUP($B60,SlagComposition!$B$7:$D$24,3,FALSE),0)*_xlfn.XLOOKUP(G$49,$B$41:$B$45,$J$41:$J$45)</f>
        <v>1.5785910977963624E-6</v>
      </c>
      <c r="H60" s="13">
        <f>IFERROR(VLOOKUP($B60,SlagComposition!$B$7:$D$24,3,FALSE),0)*_xlfn.XLOOKUP(G$49,$B$41:$B$45,$I$41:$I$45)</f>
        <v>2.6799337241659176E-6</v>
      </c>
      <c r="I60" s="476">
        <f t="shared" si="8"/>
        <v>6.9524978834461604E-4</v>
      </c>
      <c r="J60" s="476">
        <f t="shared" si="9"/>
        <v>5.6745566356391958E-6</v>
      </c>
      <c r="K60" s="13">
        <f>IFERROR(VLOOKUP($B60,SlagComposition!$B$7:$D$24,3,FALSE),0)*_xlfn.XLOOKUP(K$49,$B$41:$B$45,$J$41:$J$45)</f>
        <v>1.5785910977963624E-6</v>
      </c>
      <c r="L60" s="13">
        <f>IFERROR(VLOOKUP($B60,SlagComposition!$B$7:$D$24,3,FALSE),0)*_xlfn.XLOOKUP(K$49,$B$41:$B$45,$I$41:$I$45)</f>
        <v>2.6799337241659176E-6</v>
      </c>
      <c r="M60" s="476">
        <f t="shared" si="10"/>
        <v>4.666506629461538E-4</v>
      </c>
      <c r="N60" s="476">
        <f t="shared" si="11"/>
        <v>3.8087542928297434E-6</v>
      </c>
      <c r="O60" s="13">
        <f>IFERROR(VLOOKUP($B60,SlagComposition!$B$7:$D$24,3,FALSE),0)*_xlfn.XLOOKUP(O$49,$B$41:$B$45,$J$41:$J$45)</f>
        <v>1.2257822673802895E-6</v>
      </c>
      <c r="P60" s="13">
        <f>IFERROR(VLOOKUP($B60,SlagComposition!$B$7:$D$24,3,FALSE),0)*_xlfn.XLOOKUP(O$49,$B$41:$B$45,$I$41:$I$45)</f>
        <v>2.0809791981107239E-6</v>
      </c>
      <c r="Q60" s="476">
        <f t="shared" si="12"/>
        <v>1.5123924484441171E-3</v>
      </c>
      <c r="R60" s="476">
        <f t="shared" si="13"/>
        <v>1.2343990243338612E-5</v>
      </c>
      <c r="S60" s="13">
        <f>IFERROR(VLOOKUP($B60,SlagComposition!$B$7:$D$24,3,FALSE),0)*_xlfn.XLOOKUP(S$49,$B$41:$B$45,$J$41:$J$45)</f>
        <v>4.4507962351764001E-7</v>
      </c>
      <c r="T60" s="13">
        <f>IFERROR(VLOOKUP($B60,SlagComposition!$B$7:$D$24,3,FALSE),0)*_xlfn.XLOOKUP(S$49,$B$41:$B$45,$I$41:$I$45)</f>
        <v>7.5560029108808646E-7</v>
      </c>
      <c r="U60" s="476">
        <f t="shared" si="14"/>
        <v>2.0128388792052302E-3</v>
      </c>
      <c r="V60" s="476">
        <f t="shared" si="15"/>
        <v>1.6428582086536424E-5</v>
      </c>
      <c r="X60" s="13">
        <f t="shared" si="16"/>
        <v>1.5494497725257328E-5</v>
      </c>
      <c r="Y60" s="13">
        <f t="shared" si="17"/>
        <v>4.4026294578680488E-5</v>
      </c>
    </row>
    <row r="61" spans="1:25" customFormat="1" ht="16" x14ac:dyDescent="0.2">
      <c r="A61" s="516" t="s">
        <v>90</v>
      </c>
      <c r="B61" t="s">
        <v>230</v>
      </c>
      <c r="C61" s="13">
        <f>IFERROR(VLOOKUP($B61,SlagComposition!$B$7:$D$24,3,FALSE),0)*_xlfn.XLOOKUP(C$49,$B$41:$B$45,$J$41:$J$45)</f>
        <v>1.7348151682643015E-9</v>
      </c>
      <c r="D61" s="13">
        <f>IFERROR(VLOOKUP($B61,SlagComposition!$B$7:$D$24,3,FALSE),0)*_xlfn.XLOOKUP(C$49,$B$41:$B$45,$I$41:$I$45)</f>
        <v>2.945151332169628E-9</v>
      </c>
      <c r="E61" s="476">
        <f t="shared" si="6"/>
        <v>1.3392211255451596E-6</v>
      </c>
      <c r="F61" s="476">
        <f t="shared" si="7"/>
        <v>7.980356081316452E-9</v>
      </c>
      <c r="G61" s="13">
        <f>IFERROR(VLOOKUP($B61,SlagComposition!$B$7:$D$24,3,FALSE),0)*_xlfn.XLOOKUP(G$49,$B$41:$B$45,$J$41:$J$45)</f>
        <v>2.1831579012077349E-9</v>
      </c>
      <c r="H61" s="13">
        <f>IFERROR(VLOOKUP($B61,SlagComposition!$B$7:$D$24,3,FALSE),0)*_xlfn.XLOOKUP(G$49,$B$41:$B$45,$I$41:$I$45)</f>
        <v>3.7062913206549919E-9</v>
      </c>
      <c r="I61" s="476">
        <f t="shared" si="8"/>
        <v>9.6151566473191555E-7</v>
      </c>
      <c r="J61" s="476">
        <f t="shared" si="9"/>
        <v>7.8477910918414396E-9</v>
      </c>
      <c r="K61" s="13">
        <f>IFERROR(VLOOKUP($B61,SlagComposition!$B$7:$D$24,3,FALSE),0)*_xlfn.XLOOKUP(K$49,$B$41:$B$45,$J$41:$J$45)</f>
        <v>2.1831579012077349E-9</v>
      </c>
      <c r="L61" s="13">
        <f>IFERROR(VLOOKUP($B61,SlagComposition!$B$7:$D$24,3,FALSE),0)*_xlfn.XLOOKUP(K$49,$B$41:$B$45,$I$41:$I$45)</f>
        <v>3.7062913206549919E-9</v>
      </c>
      <c r="M61" s="476">
        <f t="shared" si="10"/>
        <v>6.4536793811702104E-7</v>
      </c>
      <c r="N61" s="476">
        <f t="shared" si="11"/>
        <v>5.2674261496581547E-9</v>
      </c>
      <c r="O61" s="13">
        <f>IFERROR(VLOOKUP($B61,SlagComposition!$B$7:$D$24,3,FALSE),0)*_xlfn.XLOOKUP(O$49,$B$41:$B$45,$J$41:$J$45)</f>
        <v>1.6952307953131661E-9</v>
      </c>
      <c r="P61" s="13">
        <f>IFERROR(VLOOKUP($B61,SlagComposition!$B$7:$D$24,3,FALSE),0)*_xlfn.XLOOKUP(O$49,$B$41:$B$45,$I$41:$I$45)</f>
        <v>2.8779499548339798E-9</v>
      </c>
      <c r="Q61" s="476">
        <f t="shared" si="12"/>
        <v>2.091606577635481E-6</v>
      </c>
      <c r="R61" s="476">
        <f t="shared" si="13"/>
        <v>1.7071475868447016E-8</v>
      </c>
      <c r="S61" s="13">
        <f>IFERROR(VLOOKUP($B61,SlagComposition!$B$7:$D$24,3,FALSE),0)*_xlfn.XLOOKUP(S$49,$B$41:$B$45,$J$41:$J$45)</f>
        <v>6.1553564954567227E-10</v>
      </c>
      <c r="T61" s="13">
        <f>IFERROR(VLOOKUP($B61,SlagComposition!$B$7:$D$24,3,FALSE),0)*_xlfn.XLOOKUP(S$49,$B$41:$B$45,$I$41:$I$45)</f>
        <v>1.0449791259728856E-9</v>
      </c>
      <c r="U61" s="476">
        <f t="shared" si="14"/>
        <v>2.7837133435817011E-6</v>
      </c>
      <c r="V61" s="476">
        <f t="shared" si="15"/>
        <v>2.2720379481380162E-8</v>
      </c>
      <c r="X61" s="13">
        <f t="shared" si="16"/>
        <v>2.1428560683866517E-8</v>
      </c>
      <c r="Y61" s="13">
        <f t="shared" si="17"/>
        <v>6.0887428672643222E-8</v>
      </c>
    </row>
    <row r="62" spans="1:25" customFormat="1" ht="16" x14ac:dyDescent="0.2">
      <c r="A62" s="515">
        <v>365</v>
      </c>
      <c r="B62" t="s">
        <v>231</v>
      </c>
      <c r="C62" s="13">
        <f>IFERROR(VLOOKUP($B62,SlagComposition!$B$7:$D$24,3,FALSE),0)*_xlfn.XLOOKUP(C$49,$B$41:$B$45,$J$41:$J$45)</f>
        <v>6.9392606730572067E-6</v>
      </c>
      <c r="D62" s="13">
        <f>IFERROR(VLOOKUP($B62,SlagComposition!$B$7:$D$24,3,FALSE),0)*_xlfn.XLOOKUP(C$49,$B$41:$B$45,$I$41:$I$45)</f>
        <v>1.1780605328678512E-5</v>
      </c>
      <c r="E62" s="476">
        <f t="shared" si="6"/>
        <v>5.3568845021806392E-3</v>
      </c>
      <c r="F62" s="476">
        <f t="shared" si="7"/>
        <v>3.1921424325265803E-5</v>
      </c>
      <c r="G62" s="13">
        <f>IFERROR(VLOOKUP($B62,SlagComposition!$B$7:$D$24,3,FALSE),0)*_xlfn.XLOOKUP(G$49,$B$41:$B$45,$J$41:$J$45)</f>
        <v>8.7326316048309401E-6</v>
      </c>
      <c r="H62" s="13">
        <f>IFERROR(VLOOKUP($B62,SlagComposition!$B$7:$D$24,3,FALSE),0)*_xlfn.XLOOKUP(G$49,$B$41:$B$45,$I$41:$I$45)</f>
        <v>1.4825165282619969E-5</v>
      </c>
      <c r="I62" s="476">
        <f t="shared" si="8"/>
        <v>3.8460626589276628E-3</v>
      </c>
      <c r="J62" s="476">
        <f t="shared" si="9"/>
        <v>3.1391164367365765E-5</v>
      </c>
      <c r="K62" s="13">
        <f>IFERROR(VLOOKUP($B62,SlagComposition!$B$7:$D$24,3,FALSE),0)*_xlfn.XLOOKUP(K$49,$B$41:$B$45,$J$41:$J$45)</f>
        <v>8.7326316048309401E-6</v>
      </c>
      <c r="L62" s="13">
        <f>IFERROR(VLOOKUP($B62,SlagComposition!$B$7:$D$24,3,FALSE),0)*_xlfn.XLOOKUP(K$49,$B$41:$B$45,$I$41:$I$45)</f>
        <v>1.4825165282619969E-5</v>
      </c>
      <c r="M62" s="476">
        <f t="shared" si="10"/>
        <v>2.5814717524680845E-3</v>
      </c>
      <c r="N62" s="476">
        <f t="shared" si="11"/>
        <v>2.1069704598632621E-5</v>
      </c>
      <c r="O62" s="13">
        <f>IFERROR(VLOOKUP($B62,SlagComposition!$B$7:$D$24,3,FALSE),0)*_xlfn.XLOOKUP(O$49,$B$41:$B$45,$J$41:$J$45)</f>
        <v>6.7809231812526647E-6</v>
      </c>
      <c r="P62" s="13">
        <f>IFERROR(VLOOKUP($B62,SlagComposition!$B$7:$D$24,3,FALSE),0)*_xlfn.XLOOKUP(O$49,$B$41:$B$45,$I$41:$I$45)</f>
        <v>1.151179981933592E-5</v>
      </c>
      <c r="Q62" s="476">
        <f t="shared" si="12"/>
        <v>8.3664263105419235E-3</v>
      </c>
      <c r="R62" s="476">
        <f t="shared" si="13"/>
        <v>6.8285903473788067E-5</v>
      </c>
      <c r="S62" s="13">
        <f>IFERROR(VLOOKUP($B62,SlagComposition!$B$7:$D$24,3,FALSE),0)*_xlfn.XLOOKUP(S$49,$B$41:$B$45,$J$41:$J$45)</f>
        <v>2.4621425981826892E-6</v>
      </c>
      <c r="T62" s="13">
        <f>IFERROR(VLOOKUP($B62,SlagComposition!$B$7:$D$24,3,FALSE),0)*_xlfn.XLOOKUP(S$49,$B$41:$B$45,$I$41:$I$45)</f>
        <v>4.1799165038915418E-6</v>
      </c>
      <c r="U62" s="476">
        <f t="shared" si="14"/>
        <v>1.1134853374326806E-2</v>
      </c>
      <c r="V62" s="476">
        <f t="shared" si="15"/>
        <v>9.088151792552064E-5</v>
      </c>
      <c r="X62" s="13">
        <f t="shared" si="16"/>
        <v>8.5714242735466058E-5</v>
      </c>
      <c r="Y62" s="13">
        <f t="shared" si="17"/>
        <v>2.4354971469057291E-4</v>
      </c>
    </row>
    <row r="63" spans="1:25" customFormat="1" ht="16" x14ac:dyDescent="0.2">
      <c r="A63" s="516" t="s">
        <v>91</v>
      </c>
      <c r="B63" t="s">
        <v>251</v>
      </c>
      <c r="C63" s="13">
        <f>IFERROR(VLOOKUP($B63,SlagComposition!$B$7:$D$24,3,FALSE),0)*_xlfn.XLOOKUP(C$49,$B$41:$B$45,$J$41:$J$45)</f>
        <v>9.3413124445000859E-8</v>
      </c>
      <c r="D63" s="13">
        <f>IFERROR(VLOOKUP($B63,SlagComposition!$B$7:$D$24,3,FALSE),0)*_xlfn.XLOOKUP(C$49,$B$41:$B$45,$I$41:$I$45)</f>
        <v>1.5858507173221076E-7</v>
      </c>
      <c r="E63" s="476">
        <f t="shared" si="6"/>
        <v>7.2111906760123978E-5</v>
      </c>
      <c r="F63" s="476">
        <f t="shared" si="7"/>
        <v>4.2971148130165514E-7</v>
      </c>
      <c r="G63" s="13">
        <f>IFERROR(VLOOKUP($B63,SlagComposition!$B$7:$D$24,3,FALSE),0)*_xlfn.XLOOKUP(G$49,$B$41:$B$45,$J$41:$J$45)</f>
        <v>1.1755465621887804E-7</v>
      </c>
      <c r="H63" s="13">
        <f>IFERROR(VLOOKUP($B63,SlagComposition!$B$7:$D$24,3,FALSE),0)*_xlfn.XLOOKUP(G$49,$B$41:$B$45,$I$41:$I$45)</f>
        <v>1.9956953265065342E-7</v>
      </c>
      <c r="I63" s="476">
        <f t="shared" si="8"/>
        <v>5.1773920408641617E-5</v>
      </c>
      <c r="J63" s="476">
        <f t="shared" si="9"/>
        <v>4.2257336648376988E-7</v>
      </c>
      <c r="K63" s="13">
        <f>IFERROR(VLOOKUP($B63,SlagComposition!$B$7:$D$24,3,FALSE),0)*_xlfn.XLOOKUP(K$49,$B$41:$B$45,$J$41:$J$45)</f>
        <v>1.1755465621887804E-7</v>
      </c>
      <c r="L63" s="13">
        <f>IFERROR(VLOOKUP($B63,SlagComposition!$B$7:$D$24,3,FALSE),0)*_xlfn.XLOOKUP(K$49,$B$41:$B$45,$I$41:$I$45)</f>
        <v>1.9956953265065342E-7</v>
      </c>
      <c r="M63" s="476">
        <f t="shared" si="10"/>
        <v>3.4750581283224216E-5</v>
      </c>
      <c r="N63" s="476">
        <f t="shared" si="11"/>
        <v>2.8363063882774679E-7</v>
      </c>
      <c r="O63" s="13">
        <f>IFERROR(VLOOKUP($B63,SlagComposition!$B$7:$D$24,3,FALSE),0)*_xlfn.XLOOKUP(O$49,$B$41:$B$45,$J$41:$J$45)</f>
        <v>9.1281658209170485E-8</v>
      </c>
      <c r="P63" s="13">
        <f>IFERROR(VLOOKUP($B63,SlagComposition!$B$7:$D$24,3,FALSE),0)*_xlfn.XLOOKUP(O$49,$B$41:$B$45,$I$41:$I$45)</f>
        <v>1.5496653602952201E-7</v>
      </c>
      <c r="Q63" s="476">
        <f t="shared" si="12"/>
        <v>1.1262496956498743E-4</v>
      </c>
      <c r="R63" s="476">
        <f t="shared" si="13"/>
        <v>9.1923331599330099E-7</v>
      </c>
      <c r="S63" s="13">
        <f>IFERROR(VLOOKUP($B63,SlagComposition!$B$7:$D$24,3,FALSE),0)*_xlfn.XLOOKUP(S$49,$B$41:$B$45,$J$41:$J$45)</f>
        <v>3.3144227283228506E-8</v>
      </c>
      <c r="T63" s="13">
        <f>IFERROR(VLOOKUP($B63,SlagComposition!$B$7:$D$24,3,FALSE),0)*_xlfn.XLOOKUP(S$49,$B$41:$B$45,$I$41:$I$45)</f>
        <v>5.6268106783155372E-8</v>
      </c>
      <c r="U63" s="476">
        <f t="shared" si="14"/>
        <v>1.498922569620916E-4</v>
      </c>
      <c r="V63" s="476">
        <f t="shared" si="15"/>
        <v>1.2234050489973933E-6</v>
      </c>
      <c r="X63" s="13">
        <f t="shared" si="16"/>
        <v>1.1538455752851201E-6</v>
      </c>
      <c r="Y63" s="13">
        <f t="shared" si="17"/>
        <v>3.2785538516038661E-6</v>
      </c>
    </row>
    <row r="64" spans="1:25" customFormat="1" ht="16" x14ac:dyDescent="0.2">
      <c r="A64" s="515" t="s">
        <v>92</v>
      </c>
      <c r="B64" t="s">
        <v>197</v>
      </c>
      <c r="C64" s="13">
        <f>IFERROR(VLOOKUP($B64,SlagComposition!$B$7:$D$24,3,FALSE),0)*_xlfn.XLOOKUP(C$49,$B$41:$B$45,$J$41:$J$45)</f>
        <v>1.7348151682643016E-4</v>
      </c>
      <c r="D64" s="13">
        <f>IFERROR(VLOOKUP($B64,SlagComposition!$B$7:$D$24,3,FALSE),0)*_xlfn.XLOOKUP(C$49,$B$41:$B$45,$I$41:$I$45)</f>
        <v>2.9451513321696282E-4</v>
      </c>
      <c r="E64" s="476">
        <f t="shared" si="6"/>
        <v>0.13392211255451597</v>
      </c>
      <c r="F64" s="476">
        <f t="shared" si="7"/>
        <v>7.9803560813164519E-4</v>
      </c>
      <c r="G64" s="13">
        <f>IFERROR(VLOOKUP($B64,SlagComposition!$B$7:$D$24,3,FALSE),0)*_xlfn.XLOOKUP(G$49,$B$41:$B$45,$J$41:$J$45)</f>
        <v>2.1831579012077351E-4</v>
      </c>
      <c r="H64" s="13">
        <f>IFERROR(VLOOKUP($B64,SlagComposition!$B$7:$D$24,3,FALSE),0)*_xlfn.XLOOKUP(G$49,$B$41:$B$45,$I$41:$I$45)</f>
        <v>3.7062913206549919E-4</v>
      </c>
      <c r="I64" s="476">
        <f t="shared" si="8"/>
        <v>9.6151566473191577E-2</v>
      </c>
      <c r="J64" s="476">
        <f t="shared" si="9"/>
        <v>7.8477910918414403E-4</v>
      </c>
      <c r="K64" s="13">
        <f>IFERROR(VLOOKUP($B64,SlagComposition!$B$7:$D$24,3,FALSE),0)*_xlfn.XLOOKUP(K$49,$B$41:$B$45,$J$41:$J$45)</f>
        <v>2.1831579012077351E-4</v>
      </c>
      <c r="L64" s="13">
        <f>IFERROR(VLOOKUP($B64,SlagComposition!$B$7:$D$24,3,FALSE),0)*_xlfn.XLOOKUP(K$49,$B$41:$B$45,$I$41:$I$45)</f>
        <v>3.7062913206549919E-4</v>
      </c>
      <c r="M64" s="476">
        <f t="shared" si="10"/>
        <v>6.4536793811702117E-2</v>
      </c>
      <c r="N64" s="476">
        <f t="shared" si="11"/>
        <v>5.2674261496581554E-4</v>
      </c>
      <c r="O64" s="13">
        <f>IFERROR(VLOOKUP($B64,SlagComposition!$B$7:$D$24,3,FALSE),0)*_xlfn.XLOOKUP(O$49,$B$41:$B$45,$J$41:$J$45)</f>
        <v>1.6952307953131663E-4</v>
      </c>
      <c r="P64" s="13">
        <f>IFERROR(VLOOKUP($B64,SlagComposition!$B$7:$D$24,3,FALSE),0)*_xlfn.XLOOKUP(O$49,$B$41:$B$45,$I$41:$I$45)</f>
        <v>2.8779499548339799E-4</v>
      </c>
      <c r="Q64" s="476">
        <f t="shared" si="12"/>
        <v>0.20916065776354811</v>
      </c>
      <c r="R64" s="476">
        <f t="shared" si="13"/>
        <v>1.7071475868447017E-3</v>
      </c>
      <c r="S64" s="13">
        <f>IFERROR(VLOOKUP($B64,SlagComposition!$B$7:$D$24,3,FALSE),0)*_xlfn.XLOOKUP(S$49,$B$41:$B$45,$J$41:$J$45)</f>
        <v>6.155356495456723E-5</v>
      </c>
      <c r="T64" s="13">
        <f>IFERROR(VLOOKUP($B64,SlagComposition!$B$7:$D$24,3,FALSE),0)*_xlfn.XLOOKUP(S$49,$B$41:$B$45,$I$41:$I$45)</f>
        <v>1.0449791259728855E-4</v>
      </c>
      <c r="U64" s="476">
        <f t="shared" si="14"/>
        <v>0.27837133435817013</v>
      </c>
      <c r="V64" s="476">
        <f t="shared" si="15"/>
        <v>2.2720379481380162E-3</v>
      </c>
      <c r="X64" s="13">
        <f t="shared" si="16"/>
        <v>2.1428560683866521E-3</v>
      </c>
      <c r="Y64" s="13">
        <f t="shared" si="17"/>
        <v>6.0887428672643223E-3</v>
      </c>
    </row>
    <row r="65" spans="1:25" customFormat="1" ht="16" x14ac:dyDescent="0.2">
      <c r="A65" s="515" t="s">
        <v>95</v>
      </c>
      <c r="B65" t="s">
        <v>277</v>
      </c>
      <c r="C65" s="13">
        <f>IFERROR(VLOOKUP($B65,SlagComposition!$B$7:$D$24,3,FALSE),0)*_xlfn.XLOOKUP(C$49,$B$41:$B$45,$J$41:$J$45)</f>
        <v>1.1209574933400103E-4</v>
      </c>
      <c r="D65" s="13">
        <f>IFERROR(VLOOKUP($B65,SlagComposition!$B$7:$D$24,3,FALSE),0)*_xlfn.XLOOKUP(C$49,$B$41:$B$45,$I$41:$I$45)</f>
        <v>1.9030208607865291E-4</v>
      </c>
      <c r="E65" s="476">
        <f t="shared" si="6"/>
        <v>8.6534288112148777E-2</v>
      </c>
      <c r="F65" s="476">
        <f t="shared" si="7"/>
        <v>5.1565377756198618E-4</v>
      </c>
      <c r="G65" s="13">
        <f>IFERROR(VLOOKUP($B65,SlagComposition!$B$7:$D$24,3,FALSE),0)*_xlfn.XLOOKUP(G$49,$B$41:$B$45,$J$41:$J$45)</f>
        <v>1.4106558746265367E-4</v>
      </c>
      <c r="H65" s="13">
        <f>IFERROR(VLOOKUP($B65,SlagComposition!$B$7:$D$24,3,FALSE),0)*_xlfn.XLOOKUP(G$49,$B$41:$B$45,$I$41:$I$45)</f>
        <v>2.3948343918078413E-4</v>
      </c>
      <c r="I65" s="476">
        <f t="shared" si="8"/>
        <v>6.2128704490369946E-2</v>
      </c>
      <c r="J65" s="476">
        <f t="shared" si="9"/>
        <v>5.0708803978052398E-4</v>
      </c>
      <c r="K65" s="13">
        <f>IFERROR(VLOOKUP($B65,SlagComposition!$B$7:$D$24,3,FALSE),0)*_xlfn.XLOOKUP(K$49,$B$41:$B$45,$J$41:$J$45)</f>
        <v>1.4106558746265367E-4</v>
      </c>
      <c r="L65" s="13">
        <f>IFERROR(VLOOKUP($B65,SlagComposition!$B$7:$D$24,3,FALSE),0)*_xlfn.XLOOKUP(K$49,$B$41:$B$45,$I$41:$I$45)</f>
        <v>2.3948343918078413E-4</v>
      </c>
      <c r="M65" s="476">
        <f t="shared" si="10"/>
        <v>4.1700697539869068E-2</v>
      </c>
      <c r="N65" s="476">
        <f t="shared" si="11"/>
        <v>3.4035676659329621E-4</v>
      </c>
      <c r="O65" s="13">
        <f>IFERROR(VLOOKUP($B65,SlagComposition!$B$7:$D$24,3,FALSE),0)*_xlfn.XLOOKUP(O$49,$B$41:$B$45,$J$41:$J$45)</f>
        <v>1.0953798985100459E-4</v>
      </c>
      <c r="P65" s="13">
        <f>IFERROR(VLOOKUP($B65,SlagComposition!$B$7:$D$24,3,FALSE),0)*_xlfn.XLOOKUP(O$49,$B$41:$B$45,$I$41:$I$45)</f>
        <v>1.8595984323542642E-4</v>
      </c>
      <c r="Q65" s="476">
        <f t="shared" si="12"/>
        <v>0.13514996347798494</v>
      </c>
      <c r="R65" s="476">
        <f t="shared" si="13"/>
        <v>1.1030799791919613E-3</v>
      </c>
      <c r="S65" s="13">
        <f>IFERROR(VLOOKUP($B65,SlagComposition!$B$7:$D$24,3,FALSE),0)*_xlfn.XLOOKUP(S$49,$B$41:$B$45,$J$41:$J$45)</f>
        <v>3.9773072739874217E-5</v>
      </c>
      <c r="T65" s="13">
        <f>IFERROR(VLOOKUP($B65,SlagComposition!$B$7:$D$24,3,FALSE),0)*_xlfn.XLOOKUP(S$49,$B$41:$B$45,$I$41:$I$45)</f>
        <v>6.7521728139786455E-5</v>
      </c>
      <c r="U65" s="476">
        <f t="shared" si="14"/>
        <v>0.17987070835450997</v>
      </c>
      <c r="V65" s="476">
        <f t="shared" si="15"/>
        <v>1.4680860587968721E-3</v>
      </c>
      <c r="X65" s="13">
        <f t="shared" si="16"/>
        <v>1.3846146903421447E-3</v>
      </c>
      <c r="Y65" s="13">
        <f t="shared" si="17"/>
        <v>3.9342646219246401E-3</v>
      </c>
    </row>
    <row r="66" spans="1:25" customFormat="1" ht="16" x14ac:dyDescent="0.2">
      <c r="A66" s="516" t="s">
        <v>96</v>
      </c>
      <c r="B66" t="s">
        <v>196</v>
      </c>
      <c r="C66" s="13">
        <f>IFERROR(VLOOKUP($B66,SlagComposition!$B$7:$D$24,3,FALSE),0)*_xlfn.XLOOKUP(C$49,$B$41:$B$45,$J$41:$J$45)</f>
        <v>4.4037615809786128E-6</v>
      </c>
      <c r="D66" s="13">
        <f>IFERROR(VLOOKUP($B66,SlagComposition!$B$7:$D$24,3,FALSE),0)*_xlfn.XLOOKUP(C$49,$B$41:$B$45,$I$41:$I$45)</f>
        <v>7.4761533816613649E-6</v>
      </c>
      <c r="E66" s="476">
        <f t="shared" si="6"/>
        <v>3.3995613186915598E-3</v>
      </c>
      <c r="F66" s="476">
        <f t="shared" si="7"/>
        <v>2.0257826975649458E-5</v>
      </c>
      <c r="G66" s="13">
        <f>IFERROR(VLOOKUP($B66,SlagComposition!$B$7:$D$24,3,FALSE),0)*_xlfn.XLOOKUP(G$49,$B$41:$B$45,$J$41:$J$45)</f>
        <v>5.5418623646042518E-6</v>
      </c>
      <c r="H66" s="13">
        <f>IFERROR(VLOOKUP($B66,SlagComposition!$B$7:$D$24,3,FALSE),0)*_xlfn.XLOOKUP(G$49,$B$41:$B$45,$I$41:$I$45)</f>
        <v>9.4082779678165199E-6</v>
      </c>
      <c r="I66" s="476">
        <f t="shared" si="8"/>
        <v>2.4407705335502479E-3</v>
      </c>
      <c r="J66" s="476">
        <f t="shared" si="9"/>
        <v>1.9921315848520584E-5</v>
      </c>
      <c r="K66" s="13">
        <f>IFERROR(VLOOKUP($B66,SlagComposition!$B$7:$D$24,3,FALSE),0)*_xlfn.XLOOKUP(K$49,$B$41:$B$45,$J$41:$J$45)</f>
        <v>5.5418623646042518E-6</v>
      </c>
      <c r="L66" s="13">
        <f>IFERROR(VLOOKUP($B66,SlagComposition!$B$7:$D$24,3,FALSE),0)*_xlfn.XLOOKUP(K$49,$B$41:$B$45,$I$41:$I$45)</f>
        <v>9.4082779678165199E-6</v>
      </c>
      <c r="M66" s="476">
        <f t="shared" si="10"/>
        <v>1.6382416890662849E-3</v>
      </c>
      <c r="N66" s="476">
        <f t="shared" si="11"/>
        <v>1.3371158687593781E-5</v>
      </c>
      <c r="O66" s="13">
        <f>IFERROR(VLOOKUP($B66,SlagComposition!$B$7:$D$24,3,FALSE),0)*_xlfn.XLOOKUP(O$49,$B$41:$B$45,$J$41:$J$45)</f>
        <v>4.3032781727180383E-6</v>
      </c>
      <c r="P66" s="13">
        <f>IFERROR(VLOOKUP($B66,SlagComposition!$B$7:$D$24,3,FALSE),0)*_xlfn.XLOOKUP(O$49,$B$41:$B$45,$I$41:$I$45)</f>
        <v>7.3055652699631807E-6</v>
      </c>
      <c r="Q66" s="476">
        <f t="shared" si="12"/>
        <v>5.3094628509208373E-3</v>
      </c>
      <c r="R66" s="476">
        <f t="shared" si="13"/>
        <v>4.3335284896827047E-5</v>
      </c>
      <c r="S66" s="13">
        <f>IFERROR(VLOOKUP($B66,SlagComposition!$B$7:$D$24,3,FALSE),0)*_xlfn.XLOOKUP(S$49,$B$41:$B$45,$J$41:$J$45)</f>
        <v>1.56251357192363E-6</v>
      </c>
      <c r="T66" s="13">
        <f>IFERROR(VLOOKUP($B66,SlagComposition!$B$7:$D$24,3,FALSE),0)*_xlfn.XLOOKUP(S$49,$B$41:$B$45,$I$41:$I$45)</f>
        <v>2.6526393197773253E-6</v>
      </c>
      <c r="U66" s="476">
        <f t="shared" si="14"/>
        <v>7.0663492567843199E-3</v>
      </c>
      <c r="V66" s="476">
        <f t="shared" si="15"/>
        <v>5.7674809452734269E-5</v>
      </c>
      <c r="X66" s="13">
        <f t="shared" si="16"/>
        <v>5.4395577120584242E-5</v>
      </c>
      <c r="Y66" s="13">
        <f t="shared" si="17"/>
        <v>1.5456039586132515E-4</v>
      </c>
    </row>
    <row r="67" spans="1:25" customFormat="1" ht="16" x14ac:dyDescent="0.2">
      <c r="A67" s="515" t="s">
        <v>1934</v>
      </c>
      <c r="B67" t="s">
        <v>254</v>
      </c>
      <c r="C67" s="13">
        <f>IFERROR(VLOOKUP($B67,SlagComposition!$B$7:$D$24,3,FALSE),0)*_xlfn.XLOOKUP(C$49,$B$41:$B$45,$J$41:$J$45)</f>
        <v>9.3413124445000862E-5</v>
      </c>
      <c r="D67" s="13">
        <f>IFERROR(VLOOKUP($B67,SlagComposition!$B$7:$D$24,3,FALSE),0)*_xlfn.XLOOKUP(C$49,$B$41:$B$45,$I$41:$I$45)</f>
        <v>1.5858507173221076E-4</v>
      </c>
      <c r="E67" s="476">
        <f t="shared" si="6"/>
        <v>7.2111906760123981E-2</v>
      </c>
      <c r="F67" s="476">
        <f t="shared" si="7"/>
        <v>4.2971148130165515E-4</v>
      </c>
      <c r="G67" s="13">
        <f>IFERROR(VLOOKUP($B67,SlagComposition!$B$7:$D$24,3,FALSE),0)*_xlfn.XLOOKUP(G$49,$B$41:$B$45,$J$41:$J$45)</f>
        <v>1.1755465621887804E-4</v>
      </c>
      <c r="H67" s="13">
        <f>IFERROR(VLOOKUP($B67,SlagComposition!$B$7:$D$24,3,FALSE),0)*_xlfn.XLOOKUP(G$49,$B$41:$B$45,$I$41:$I$45)</f>
        <v>1.9956953265065343E-4</v>
      </c>
      <c r="I67" s="476">
        <f t="shared" si="8"/>
        <v>5.1773920408641615E-2</v>
      </c>
      <c r="J67" s="476">
        <f t="shared" si="9"/>
        <v>4.2257336648376991E-4</v>
      </c>
      <c r="K67" s="13">
        <f>IFERROR(VLOOKUP($B67,SlagComposition!$B$7:$D$24,3,FALSE),0)*_xlfn.XLOOKUP(K$49,$B$41:$B$45,$J$41:$J$45)</f>
        <v>1.1755465621887804E-4</v>
      </c>
      <c r="L67" s="13">
        <f>IFERROR(VLOOKUP($B67,SlagComposition!$B$7:$D$24,3,FALSE),0)*_xlfn.XLOOKUP(K$49,$B$41:$B$45,$I$41:$I$45)</f>
        <v>1.9956953265065343E-4</v>
      </c>
      <c r="M67" s="476">
        <f t="shared" si="10"/>
        <v>3.4750581283224218E-2</v>
      </c>
      <c r="N67" s="476">
        <f t="shared" si="11"/>
        <v>2.8363063882774683E-4</v>
      </c>
      <c r="O67" s="13">
        <f>IFERROR(VLOOKUP($B67,SlagComposition!$B$7:$D$24,3,FALSE),0)*_xlfn.XLOOKUP(O$49,$B$41:$B$45,$J$41:$J$45)</f>
        <v>9.1281658209170499E-5</v>
      </c>
      <c r="P67" s="13">
        <f>IFERROR(VLOOKUP($B67,SlagComposition!$B$7:$D$24,3,FALSE),0)*_xlfn.XLOOKUP(O$49,$B$41:$B$45,$I$41:$I$45)</f>
        <v>1.5496653602952202E-4</v>
      </c>
      <c r="Q67" s="476">
        <f t="shared" si="12"/>
        <v>0.11262496956498745</v>
      </c>
      <c r="R67" s="476">
        <f t="shared" si="13"/>
        <v>9.1923331599330106E-4</v>
      </c>
      <c r="S67" s="13">
        <f>IFERROR(VLOOKUP($B67,SlagComposition!$B$7:$D$24,3,FALSE),0)*_xlfn.XLOOKUP(S$49,$B$41:$B$45,$J$41:$J$45)</f>
        <v>3.3144227283228513E-5</v>
      </c>
      <c r="T67" s="13">
        <f>IFERROR(VLOOKUP($B67,SlagComposition!$B$7:$D$24,3,FALSE),0)*_xlfn.XLOOKUP(S$49,$B$41:$B$45,$I$41:$I$45)</f>
        <v>5.6268106783155374E-5</v>
      </c>
      <c r="U67" s="476">
        <f t="shared" si="14"/>
        <v>0.14989225696209163</v>
      </c>
      <c r="V67" s="476">
        <f t="shared" si="15"/>
        <v>1.2234050489973933E-3</v>
      </c>
      <c r="X67" s="13">
        <f t="shared" si="16"/>
        <v>1.1538455752851202E-3</v>
      </c>
      <c r="Y67" s="13">
        <f t="shared" si="17"/>
        <v>3.278553851603866E-3</v>
      </c>
    </row>
    <row r="68" spans="1:25" customFormat="1" ht="16" x14ac:dyDescent="0.2">
      <c r="A68" s="516" t="s">
        <v>94</v>
      </c>
      <c r="B68" t="s">
        <v>235</v>
      </c>
      <c r="C68" s="13">
        <f>IFERROR(VLOOKUP($B68,SlagComposition!$B$7:$D$24,3,FALSE),0)*_xlfn.XLOOKUP(C$49,$B$41:$B$45,$J$41:$J$45)</f>
        <v>4.2703142603428971E-5</v>
      </c>
      <c r="D68" s="13">
        <f>IFERROR(VLOOKUP($B68,SlagComposition!$B$7:$D$24,3,FALSE),0)*_xlfn.XLOOKUP(C$49,$B$41:$B$45,$I$41:$I$45)</f>
        <v>7.2496032791867778E-5</v>
      </c>
      <c r="E68" s="476">
        <f t="shared" si="6"/>
        <v>3.2965443090342397E-2</v>
      </c>
      <c r="F68" s="476">
        <f t="shared" si="7"/>
        <v>1.9643953430932809E-4</v>
      </c>
      <c r="G68" s="13">
        <f>IFERROR(VLOOKUP($B68,SlagComposition!$B$7:$D$24,3,FALSE),0)*_xlfn.XLOOKUP(G$49,$B$41:$B$45,$J$41:$J$45)</f>
        <v>5.3739271414344255E-5</v>
      </c>
      <c r="H68" s="13">
        <f>IFERROR(VLOOKUP($B68,SlagComposition!$B$7:$D$24,3,FALSE),0)*_xlfn.XLOOKUP(G$49,$B$41:$B$45,$I$41:$I$45)</f>
        <v>9.1231786354584429E-5</v>
      </c>
      <c r="I68" s="476">
        <f t="shared" si="8"/>
        <v>2.3668077901093314E-2</v>
      </c>
      <c r="J68" s="476">
        <f t="shared" si="9"/>
        <v>1.9317639610686626E-4</v>
      </c>
      <c r="K68" s="13">
        <f>IFERROR(VLOOKUP($B68,SlagComposition!$B$7:$D$24,3,FALSE),0)*_xlfn.XLOOKUP(K$49,$B$41:$B$45,$J$41:$J$45)</f>
        <v>5.3739271414344255E-5</v>
      </c>
      <c r="L68" s="13">
        <f>IFERROR(VLOOKUP($B68,SlagComposition!$B$7:$D$24,3,FALSE),0)*_xlfn.XLOOKUP(K$49,$B$41:$B$45,$I$41:$I$45)</f>
        <v>9.1231786354584429E-5</v>
      </c>
      <c r="M68" s="476">
        <f t="shared" si="10"/>
        <v>1.5885980015188216E-2</v>
      </c>
      <c r="N68" s="476">
        <f t="shared" si="11"/>
        <v>1.2965972060697E-4</v>
      </c>
      <c r="O68" s="13">
        <f>IFERROR(VLOOKUP($B68,SlagComposition!$B$7:$D$24,3,FALSE),0)*_xlfn.XLOOKUP(O$49,$B$41:$B$45,$J$41:$J$45)</f>
        <v>4.1728758038477947E-5</v>
      </c>
      <c r="P68" s="13">
        <f>IFERROR(VLOOKUP($B68,SlagComposition!$B$7:$D$24,3,FALSE),0)*_xlfn.XLOOKUP(O$49,$B$41:$B$45,$I$41:$I$45)</f>
        <v>7.0841845042067213E-5</v>
      </c>
      <c r="Q68" s="476">
        <f t="shared" si="12"/>
        <v>5.1485700372565696E-2</v>
      </c>
      <c r="R68" s="476">
        <f t="shared" si="13"/>
        <v>4.2022094445408049E-4</v>
      </c>
      <c r="S68" s="13">
        <f>IFERROR(VLOOKUP($B68,SlagComposition!$B$7:$D$24,3,FALSE),0)*_xlfn.XLOOKUP(S$49,$B$41:$B$45,$J$41:$J$45)</f>
        <v>1.515164675804732E-5</v>
      </c>
      <c r="T68" s="13">
        <f>IFERROR(VLOOKUP($B68,SlagComposition!$B$7:$D$24,3,FALSE),0)*_xlfn.XLOOKUP(S$49,$B$41:$B$45,$I$41:$I$45)</f>
        <v>2.5722563100871031E-5</v>
      </c>
      <c r="U68" s="476">
        <f t="shared" si="14"/>
        <v>6.8522174611241882E-2</v>
      </c>
      <c r="V68" s="476">
        <f t="shared" si="15"/>
        <v>5.5927087954166558E-4</v>
      </c>
      <c r="X68" s="13">
        <f t="shared" si="16"/>
        <v>5.2747226298748365E-4</v>
      </c>
      <c r="Y68" s="13">
        <f t="shared" si="17"/>
        <v>1.4987674750189103E-3</v>
      </c>
    </row>
    <row r="69" spans="1:25" customFormat="1" ht="16" x14ac:dyDescent="0.2">
      <c r="A69" s="515">
        <v>646</v>
      </c>
      <c r="B69" t="s">
        <v>681</v>
      </c>
      <c r="C69" s="13">
        <f>'Recommended Emission Factors'!$D13/2000*_xlfn.XLOOKUP(C$49,$B$41:$B$45,$J$41:$J$45)</f>
        <v>1.3678350365160843E-12</v>
      </c>
      <c r="D69" s="13">
        <f>'Recommended Emission Factors'!$D13/2000*_xlfn.XLOOKUP(C$49,$B$41:$B$45,$I$41:$I$45)</f>
        <v>2.3221385503645148E-12</v>
      </c>
      <c r="E69" s="476">
        <f>C69*_xlfn.XLOOKUP(C$49,$B$41:$B$45,$H$41:$H$45)</f>
        <v>1.0559243489875301E-9</v>
      </c>
      <c r="F69" s="476">
        <f>D69*_xlfn.XLOOKUP(C$49,$B$41:$B$45,$G$41:$G$45)</f>
        <v>6.2922038333456651E-12</v>
      </c>
      <c r="G69" s="13">
        <f>'Recommended Emission Factors'!$D13/2000*_xlfn.XLOOKUP(G$49,$B$41:$B$45,$J$41:$J$45)</f>
        <v>1.7213360374907146E-12</v>
      </c>
      <c r="H69" s="13">
        <f>'Recommended Emission Factors'!$D13/2000*_xlfn.XLOOKUP(G$49,$B$41:$B$45,$I$41:$I$45)</f>
        <v>2.9222681566702831E-12</v>
      </c>
      <c r="I69" s="476">
        <f>G69*_xlfn.XLOOKUP(G$49,$B$41:$B$45,$H$41:$H$45)</f>
        <v>7.5811812026939521E-10</v>
      </c>
      <c r="J69" s="476">
        <f>H69*_xlfn.XLOOKUP(G$49,$B$41:$B$45,$G$41:$G$45)</f>
        <v>6.187681437798061E-12</v>
      </c>
      <c r="K69" s="13">
        <f>'Recommended Emission Factors'!$D13/2000*_xlfn.XLOOKUP(K$49,$B$41:$B$45,$J$41:$J$45)</f>
        <v>1.7213360374907146E-12</v>
      </c>
      <c r="L69" s="13">
        <f>'Recommended Emission Factors'!$D13/2000*_xlfn.XLOOKUP(K$49,$B$41:$B$45,$I$41:$I$45)</f>
        <v>2.9222681566702831E-12</v>
      </c>
      <c r="M69" s="476">
        <f>K69*_xlfn.XLOOKUP(K$49,$B$41:$B$45,$H$41:$H$45)</f>
        <v>5.0884779736149752E-10</v>
      </c>
      <c r="N69" s="476">
        <f>L69*_xlfn.XLOOKUP(K$49,$B$41:$B$45,$G$41:$G$45)</f>
        <v>4.1531629256920078E-12</v>
      </c>
      <c r="O69" s="13">
        <f>'Recommended Emission Factors'!$D13/2000*_xlfn.XLOOKUP(O$49,$B$41:$B$45,$J$41:$J$45)</f>
        <v>1.3366242809199968E-12</v>
      </c>
      <c r="P69" s="13">
        <f>'Recommended Emission Factors'!$D13/2000*_xlfn.XLOOKUP(O$49,$B$41:$B$45,$I$41:$I$45)</f>
        <v>2.2691528490037154E-12</v>
      </c>
      <c r="Q69" s="476">
        <f>O69*_xlfn.XLOOKUP(O$49,$B$41:$B$45,$H$41:$H$45)</f>
        <v>1.6491513400587451E-9</v>
      </c>
      <c r="R69" s="476">
        <f>P69*_xlfn.XLOOKUP(O$49,$B$41:$B$45,$G$41:$G$45)</f>
        <v>1.3460202127044765E-11</v>
      </c>
      <c r="S69" s="13">
        <f>'Recommended Emission Factors'!$D13/2000*_xlfn.XLOOKUP(S$49,$B$41:$B$45,$J$41:$J$45)</f>
        <v>4.8532618521870325E-13</v>
      </c>
      <c r="T69" s="13">
        <f>'Recommended Emission Factors'!$D13/2000*_xlfn.XLOOKUP(S$49,$B$41:$B$45,$I$41:$I$45)</f>
        <v>8.2392584932477528E-13</v>
      </c>
      <c r="U69" s="476">
        <f>S69*_xlfn.XLOOKUP(S$49,$B$41:$B$45,$H$41:$H$45)</f>
        <v>2.1948509055163418E-9</v>
      </c>
      <c r="V69" s="476">
        <f>T69*_xlfn.XLOOKUP(S$49,$B$41:$B$45,$G$41:$G$45)</f>
        <v>1.7914145360318978E-11</v>
      </c>
      <c r="X69" s="13">
        <f t="shared" si="16"/>
        <v>1.6895595923817834E-11</v>
      </c>
      <c r="Y69" s="13">
        <f t="shared" si="17"/>
        <v>4.8007395684199477E-11</v>
      </c>
    </row>
    <row r="70" spans="1:25" customFormat="1" ht="16" x14ac:dyDescent="0.2">
      <c r="A70" s="515">
        <v>645</v>
      </c>
      <c r="B70" t="s">
        <v>680</v>
      </c>
      <c r="C70" s="13">
        <f>'Recommended Emission Factors'!$D14/2000*_xlfn.XLOOKUP(C$49,$B$41:$B$45,$J$41:$J$45)</f>
        <v>1.3678350365160843E-13</v>
      </c>
      <c r="D70" s="13">
        <f>'Recommended Emission Factors'!$D14/2000*_xlfn.XLOOKUP(C$49,$B$41:$B$45,$I$41:$I$45)</f>
        <v>2.322138550364515E-13</v>
      </c>
      <c r="E70" s="476">
        <f>C70*_xlfn.XLOOKUP(C$49,$B$41:$B$45,$H$41:$H$45)</f>
        <v>1.05592434898753E-10</v>
      </c>
      <c r="F70" s="476">
        <f>D70*_xlfn.XLOOKUP(C$49,$B$41:$B$45,$G$41:$G$45)</f>
        <v>6.2922038333456657E-13</v>
      </c>
      <c r="G70" s="13">
        <f>'Recommended Emission Factors'!$D14/2000*_xlfn.XLOOKUP(G$49,$B$41:$B$45,$J$41:$J$45)</f>
        <v>1.7213360374907145E-13</v>
      </c>
      <c r="H70" s="13">
        <f>'Recommended Emission Factors'!$D14/2000*_xlfn.XLOOKUP(G$49,$B$41:$B$45,$I$41:$I$45)</f>
        <v>2.9222681566702827E-13</v>
      </c>
      <c r="I70" s="476">
        <f>G70*_xlfn.XLOOKUP(G$49,$B$41:$B$45,$H$41:$H$45)</f>
        <v>7.5811812026939521E-11</v>
      </c>
      <c r="J70" s="476">
        <f>H70*_xlfn.XLOOKUP(G$49,$B$41:$B$45,$G$41:$G$45)</f>
        <v>6.18768143779806E-13</v>
      </c>
      <c r="K70" s="13">
        <f>'Recommended Emission Factors'!$D14/2000*_xlfn.XLOOKUP(K$49,$B$41:$B$45,$J$41:$J$45)</f>
        <v>1.7213360374907145E-13</v>
      </c>
      <c r="L70" s="13">
        <f>'Recommended Emission Factors'!$D14/2000*_xlfn.XLOOKUP(K$49,$B$41:$B$45,$I$41:$I$45)</f>
        <v>2.9222681566702827E-13</v>
      </c>
      <c r="M70" s="476">
        <f>K70*_xlfn.XLOOKUP(K$49,$B$41:$B$45,$H$41:$H$45)</f>
        <v>5.0884779736149757E-11</v>
      </c>
      <c r="N70" s="476">
        <f>L70*_xlfn.XLOOKUP(K$49,$B$41:$B$45,$G$41:$G$45)</f>
        <v>4.1531629256920076E-13</v>
      </c>
      <c r="O70" s="13">
        <f>'Recommended Emission Factors'!$D14/2000*_xlfn.XLOOKUP(O$49,$B$41:$B$45,$J$41:$J$45)</f>
        <v>1.3366242809199969E-13</v>
      </c>
      <c r="P70" s="13">
        <f>'Recommended Emission Factors'!$D14/2000*_xlfn.XLOOKUP(O$49,$B$41:$B$45,$I$41:$I$45)</f>
        <v>2.2691528490037155E-13</v>
      </c>
      <c r="Q70" s="476">
        <f>O70*_xlfn.XLOOKUP(O$49,$B$41:$B$45,$H$41:$H$45)</f>
        <v>1.6491513400587451E-10</v>
      </c>
      <c r="R70" s="476">
        <f>P70*_xlfn.XLOOKUP(O$49,$B$41:$B$45,$G$41:$G$45)</f>
        <v>1.3460202127044767E-12</v>
      </c>
      <c r="S70" s="13">
        <f>'Recommended Emission Factors'!$D14/2000*_xlfn.XLOOKUP(S$49,$B$41:$B$45,$J$41:$J$45)</f>
        <v>4.8532618521870324E-14</v>
      </c>
      <c r="T70" s="13">
        <f>'Recommended Emission Factors'!$D14/2000*_xlfn.XLOOKUP(S$49,$B$41:$B$45,$I$41:$I$45)</f>
        <v>8.2392584932477531E-14</v>
      </c>
      <c r="U70" s="476">
        <f>S70*_xlfn.XLOOKUP(S$49,$B$41:$B$45,$H$41:$H$45)</f>
        <v>2.1948509055163419E-10</v>
      </c>
      <c r="V70" s="476">
        <f>T70*_xlfn.XLOOKUP(S$49,$B$41:$B$45,$G$41:$G$45)</f>
        <v>1.7914145360318977E-12</v>
      </c>
      <c r="X70" s="13">
        <f t="shared" si="16"/>
        <v>1.6895595923817836E-12</v>
      </c>
      <c r="Y70" s="13">
        <f t="shared" si="17"/>
        <v>4.800739568419948E-12</v>
      </c>
    </row>
    <row r="75" spans="1:25" x14ac:dyDescent="0.2">
      <c r="D75" s="479"/>
      <c r="E75" s="470"/>
      <c r="F75" s="470"/>
    </row>
  </sheetData>
  <sheetProtection algorithmName="SHA-512" hashValue="9N3CWK9pa0TFPSXPKRyUXaU9D8uqAzDVKjuJ6PH1ELqK1s5LKqyY5O0SX+a6eC3cyFwea00tNDKlogFLWTwScw==" saltValue="4XCHA60bOrMTytAyOoRlCA==" spinCount="100000" sheet="1" objects="1" scenarios="1"/>
  <mergeCells count="5">
    <mergeCell ref="C49:F49"/>
    <mergeCell ref="G49:J49"/>
    <mergeCell ref="K49:N49"/>
    <mergeCell ref="O49:R49"/>
    <mergeCell ref="S49:V49"/>
  </mergeCells>
  <phoneticPr fontId="19" type="noConversion"/>
  <pageMargins left="0.7" right="0.7" top="0.75" bottom="0.75" header="0.3" footer="0.3"/>
  <pageSetup paperSize="3" scale="67" orientation="landscape" r:id="rId1"/>
  <headerFooter>
    <oddFooter>&amp;L&amp;A
&amp;D&amp;RPage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34D22-B50E-7048-AA27-FDEBAC8AFF9D}">
  <sheetPr>
    <tabColor rgb="FF00B050"/>
    <pageSetUpPr fitToPage="1"/>
  </sheetPr>
  <dimension ref="A1:W23"/>
  <sheetViews>
    <sheetView topLeftCell="A12" workbookViewId="0">
      <selection activeCell="B17" sqref="B17"/>
    </sheetView>
  </sheetViews>
  <sheetFormatPr baseColWidth="10" defaultColWidth="8.83203125" defaultRowHeight="15" x14ac:dyDescent="0.2"/>
  <cols>
    <col min="1" max="1" width="30.5" style="177" customWidth="1"/>
    <col min="2" max="2" width="42.6640625" style="177" customWidth="1"/>
    <col min="3" max="3" width="10" style="177" customWidth="1"/>
    <col min="4" max="20" width="9.83203125" style="177" customWidth="1"/>
    <col min="21" max="22" width="9.5" style="177" customWidth="1"/>
    <col min="23" max="16384" width="8.83203125" style="177"/>
  </cols>
  <sheetData>
    <row r="1" spans="1:22" customFormat="1" ht="19" x14ac:dyDescent="0.25">
      <c r="A1" s="2" t="s">
        <v>198</v>
      </c>
      <c r="B1" s="139"/>
    </row>
    <row r="2" spans="1:22" customFormat="1" ht="19" x14ac:dyDescent="0.25">
      <c r="A2" s="2" t="s">
        <v>1816</v>
      </c>
    </row>
    <row r="3" spans="1:22" customFormat="1" ht="16" x14ac:dyDescent="0.2"/>
    <row r="4" spans="1:22" customFormat="1" ht="16" x14ac:dyDescent="0.2">
      <c r="B4" s="26" t="s">
        <v>199</v>
      </c>
      <c r="C4" t="s">
        <v>1755</v>
      </c>
    </row>
    <row r="5" spans="1:22" customFormat="1" ht="16" x14ac:dyDescent="0.2">
      <c r="B5" s="26" t="s">
        <v>200</v>
      </c>
      <c r="C5" t="s">
        <v>1756</v>
      </c>
    </row>
    <row r="6" spans="1:22" customFormat="1" ht="16" x14ac:dyDescent="0.2">
      <c r="B6" s="26" t="s">
        <v>201</v>
      </c>
      <c r="C6" t="s">
        <v>1757</v>
      </c>
    </row>
    <row r="7" spans="1:22" customFormat="1" ht="16" x14ac:dyDescent="0.2">
      <c r="B7" s="26"/>
    </row>
    <row r="8" spans="1:22" x14ac:dyDescent="0.2">
      <c r="A8" s="290"/>
      <c r="B8" s="176"/>
    </row>
    <row r="9" spans="1:22" customFormat="1" ht="19" x14ac:dyDescent="0.25">
      <c r="A9" s="140" t="s">
        <v>1758</v>
      </c>
    </row>
    <row r="10" spans="1:22" customFormat="1" ht="19" x14ac:dyDescent="0.25">
      <c r="A10" s="140"/>
    </row>
    <row r="11" spans="1:22" customFormat="1" ht="19" x14ac:dyDescent="0.25">
      <c r="A11" s="140"/>
      <c r="B11" s="26" t="s">
        <v>1759</v>
      </c>
      <c r="C11" s="547" t="s">
        <v>1762</v>
      </c>
      <c r="D11" s="547"/>
      <c r="E11" s="547"/>
      <c r="F11" s="547" t="s">
        <v>1763</v>
      </c>
      <c r="G11" s="547"/>
      <c r="H11" s="547"/>
      <c r="I11" s="547" t="s">
        <v>1764</v>
      </c>
      <c r="J11" s="547"/>
      <c r="K11" s="547"/>
      <c r="L11" s="547" t="s">
        <v>1765</v>
      </c>
      <c r="M11" s="547"/>
      <c r="N11" s="547"/>
      <c r="O11" s="547" t="s">
        <v>1766</v>
      </c>
      <c r="P11" s="547"/>
      <c r="Q11" s="547"/>
      <c r="R11" s="547" t="s">
        <v>1767</v>
      </c>
      <c r="S11" s="547"/>
      <c r="T11" s="547"/>
      <c r="U11" s="550" t="s">
        <v>1769</v>
      </c>
      <c r="V11" s="550"/>
    </row>
    <row r="12" spans="1:22" customFormat="1" ht="19" x14ac:dyDescent="0.25">
      <c r="A12" s="140"/>
      <c r="B12" s="26" t="s">
        <v>1760</v>
      </c>
      <c r="C12" s="549">
        <v>871.19999999999993</v>
      </c>
      <c r="D12" s="549"/>
      <c r="E12" s="549"/>
      <c r="F12" s="549">
        <v>48</v>
      </c>
      <c r="G12" s="549"/>
      <c r="H12" s="549"/>
      <c r="I12" s="549">
        <v>264</v>
      </c>
      <c r="J12" s="549"/>
      <c r="K12" s="549"/>
      <c r="L12" s="549">
        <v>135.6</v>
      </c>
      <c r="M12" s="549"/>
      <c r="N12" s="549"/>
      <c r="O12" s="549">
        <v>1212</v>
      </c>
      <c r="P12" s="549"/>
      <c r="Q12" s="549"/>
      <c r="R12" s="549">
        <v>490.8</v>
      </c>
      <c r="S12" s="549"/>
      <c r="T12" s="549"/>
      <c r="U12" s="550"/>
      <c r="V12" s="550"/>
    </row>
    <row r="13" spans="1:22" customFormat="1" ht="19" x14ac:dyDescent="0.25">
      <c r="A13" s="140"/>
      <c r="B13" s="26" t="s">
        <v>1761</v>
      </c>
      <c r="C13" s="549">
        <v>43.559999999999995</v>
      </c>
      <c r="D13" s="549"/>
      <c r="E13" s="549"/>
      <c r="F13" s="549">
        <v>2.4</v>
      </c>
      <c r="G13" s="549"/>
      <c r="H13" s="549"/>
      <c r="I13" s="549">
        <v>13.2</v>
      </c>
      <c r="J13" s="549"/>
      <c r="K13" s="549"/>
      <c r="L13" s="549">
        <v>6.7799999999999994</v>
      </c>
      <c r="M13" s="549"/>
      <c r="N13" s="549"/>
      <c r="O13" s="549">
        <v>60.6</v>
      </c>
      <c r="P13" s="549"/>
      <c r="Q13" s="549"/>
      <c r="R13" s="549">
        <v>24.54</v>
      </c>
      <c r="S13" s="549"/>
      <c r="T13" s="549"/>
      <c r="U13" s="550"/>
      <c r="V13" s="550"/>
    </row>
    <row r="14" spans="1:22" customFormat="1" ht="50" customHeight="1" x14ac:dyDescent="0.2">
      <c r="A14" s="29" t="s">
        <v>209</v>
      </c>
      <c r="B14" s="29" t="s">
        <v>208</v>
      </c>
      <c r="C14" s="29" t="s">
        <v>1768</v>
      </c>
      <c r="D14" s="29" t="s">
        <v>311</v>
      </c>
      <c r="E14" s="29" t="s">
        <v>312</v>
      </c>
      <c r="F14" s="29" t="s">
        <v>1768</v>
      </c>
      <c r="G14" s="29" t="s">
        <v>311</v>
      </c>
      <c r="H14" s="29" t="s">
        <v>312</v>
      </c>
      <c r="I14" s="29" t="s">
        <v>1768</v>
      </c>
      <c r="J14" s="29" t="s">
        <v>311</v>
      </c>
      <c r="K14" s="29" t="s">
        <v>312</v>
      </c>
      <c r="L14" s="29" t="s">
        <v>1768</v>
      </c>
      <c r="M14" s="29" t="s">
        <v>311</v>
      </c>
      <c r="N14" s="29" t="s">
        <v>312</v>
      </c>
      <c r="O14" s="29" t="s">
        <v>1768</v>
      </c>
      <c r="P14" s="29" t="s">
        <v>311</v>
      </c>
      <c r="Q14" s="29" t="s">
        <v>312</v>
      </c>
      <c r="R14" s="29" t="s">
        <v>1768</v>
      </c>
      <c r="S14" s="29" t="s">
        <v>311</v>
      </c>
      <c r="T14" s="29" t="s">
        <v>312</v>
      </c>
      <c r="U14" s="29" t="s">
        <v>311</v>
      </c>
      <c r="V14" s="29" t="s">
        <v>312</v>
      </c>
    </row>
    <row r="15" spans="1:22" customFormat="1" ht="16" x14ac:dyDescent="0.2">
      <c r="A15" s="515" t="s">
        <v>85</v>
      </c>
      <c r="B15" t="s">
        <v>215</v>
      </c>
      <c r="C15">
        <v>2E-3</v>
      </c>
      <c r="D15" s="13">
        <f>C15*C$12/1000</f>
        <v>1.7423999999999999E-3</v>
      </c>
      <c r="E15" s="13">
        <f>C15*C$13/1000</f>
        <v>8.7119999999999993E-5</v>
      </c>
      <c r="F15">
        <v>0.35899999999999999</v>
      </c>
      <c r="G15" s="13">
        <f>F15*F$12/1000</f>
        <v>1.7232000000000001E-2</v>
      </c>
      <c r="H15" s="13">
        <f>F15*F$13/1000</f>
        <v>8.6159999999999991E-4</v>
      </c>
      <c r="J15" s="13">
        <f>I15*I$12/1000</f>
        <v>0</v>
      </c>
      <c r="K15" s="13">
        <f>I15*I$13/1000</f>
        <v>0</v>
      </c>
      <c r="M15" s="13">
        <f>L15*L$12/1000</f>
        <v>0</v>
      </c>
      <c r="N15" s="13">
        <f>L15*L$13/1000</f>
        <v>0</v>
      </c>
      <c r="P15" s="13">
        <f>O15*O$12/1000</f>
        <v>0</v>
      </c>
      <c r="Q15" s="13">
        <f>O15*O$13/1000</f>
        <v>0</v>
      </c>
      <c r="S15" s="13">
        <f>R15*R$12/1000</f>
        <v>0</v>
      </c>
      <c r="T15" s="13">
        <f>R15*R$13/1000</f>
        <v>0</v>
      </c>
      <c r="U15" s="13">
        <f>SUM(D15,G15,J15,M15,P15,S15)</f>
        <v>1.8974400000000002E-2</v>
      </c>
      <c r="V15" s="13">
        <f>SUM(E15,H15,K15,N15,Q15,T15)</f>
        <v>9.487199999999999E-4</v>
      </c>
    </row>
    <row r="16" spans="1:22" customFormat="1" ht="16" x14ac:dyDescent="0.2">
      <c r="A16" s="516" t="s">
        <v>86</v>
      </c>
      <c r="B16" t="s">
        <v>249</v>
      </c>
      <c r="C16">
        <v>1E-3</v>
      </c>
      <c r="D16" s="13">
        <f t="shared" ref="D16:D18" si="0">C16*C$12/1000</f>
        <v>8.7119999999999993E-4</v>
      </c>
      <c r="E16" s="13">
        <f t="shared" ref="E16:E18" si="1">C16*C$13/1000</f>
        <v>4.3559999999999996E-5</v>
      </c>
      <c r="F16">
        <v>1E-3</v>
      </c>
      <c r="G16" s="13">
        <f t="shared" ref="G16:G18" si="2">F16*F$12/1000</f>
        <v>4.8000000000000001E-5</v>
      </c>
      <c r="H16" s="13">
        <f t="shared" ref="H16:H18" si="3">F16*F$13/1000</f>
        <v>2.3999999999999999E-6</v>
      </c>
      <c r="I16">
        <v>1E-3</v>
      </c>
      <c r="J16" s="13">
        <f t="shared" ref="J16:J18" si="4">I16*I$12/1000</f>
        <v>2.6400000000000002E-4</v>
      </c>
      <c r="K16" s="13">
        <f t="shared" ref="K16:K18" si="5">I16*I$13/1000</f>
        <v>1.3200000000000001E-5</v>
      </c>
      <c r="L16">
        <v>1E-3</v>
      </c>
      <c r="M16" s="13">
        <f t="shared" ref="M16:M18" si="6">L16*L$12/1000</f>
        <v>1.3559999999999999E-4</v>
      </c>
      <c r="N16" s="13">
        <f t="shared" ref="N16:N18" si="7">L16*L$13/1000</f>
        <v>6.7799999999999995E-6</v>
      </c>
      <c r="O16">
        <v>1E-3</v>
      </c>
      <c r="P16" s="13">
        <f t="shared" ref="P16:P18" si="8">O16*O$12/1000</f>
        <v>1.212E-3</v>
      </c>
      <c r="Q16" s="13">
        <f t="shared" ref="Q16:Q18" si="9">O16*O$13/1000</f>
        <v>6.0600000000000003E-5</v>
      </c>
      <c r="S16" s="13">
        <f t="shared" ref="S16:S18" si="10">R16*R$12/1000</f>
        <v>0</v>
      </c>
      <c r="T16" s="13">
        <f t="shared" ref="T16:T18" si="11">R16*R$13/1000</f>
        <v>0</v>
      </c>
      <c r="U16" s="13">
        <f t="shared" ref="U16:V18" si="12">SUM(D16,G16,J16,M16,P16,S16)</f>
        <v>2.5307999999999997E-3</v>
      </c>
      <c r="V16" s="13">
        <f t="shared" si="12"/>
        <v>1.2653999999999999E-4</v>
      </c>
    </row>
    <row r="17" spans="1:23" customFormat="1" ht="16" x14ac:dyDescent="0.2">
      <c r="A17" s="516" t="s">
        <v>89</v>
      </c>
      <c r="B17" t="s">
        <v>213</v>
      </c>
      <c r="C17">
        <v>0.66200000000000003</v>
      </c>
      <c r="D17" s="13">
        <f t="shared" si="0"/>
        <v>0.57673439999999998</v>
      </c>
      <c r="E17" s="13">
        <f t="shared" si="1"/>
        <v>2.883672E-2</v>
      </c>
      <c r="F17">
        <v>0.252</v>
      </c>
      <c r="G17" s="13">
        <f t="shared" si="2"/>
        <v>1.2096000000000001E-2</v>
      </c>
      <c r="H17" s="13">
        <f t="shared" si="3"/>
        <v>6.0479999999999996E-4</v>
      </c>
      <c r="I17">
        <v>0.318</v>
      </c>
      <c r="J17" s="13">
        <f t="shared" si="4"/>
        <v>8.3951999999999999E-2</v>
      </c>
      <c r="K17" s="13">
        <f t="shared" si="5"/>
        <v>4.1975999999999992E-3</v>
      </c>
      <c r="L17">
        <v>0.998</v>
      </c>
      <c r="M17" s="13">
        <f t="shared" si="6"/>
        <v>0.1353288</v>
      </c>
      <c r="N17" s="13">
        <f t="shared" si="7"/>
        <v>6.7664399999999994E-3</v>
      </c>
      <c r="O17">
        <v>1.03</v>
      </c>
      <c r="P17" s="13">
        <f t="shared" si="8"/>
        <v>1.2483600000000001</v>
      </c>
      <c r="Q17" s="13">
        <f t="shared" si="9"/>
        <v>6.2418000000000008E-2</v>
      </c>
      <c r="R17">
        <v>0.84599999999999997</v>
      </c>
      <c r="S17" s="13">
        <f t="shared" si="10"/>
        <v>0.4152168</v>
      </c>
      <c r="T17" s="13">
        <f t="shared" si="11"/>
        <v>2.0760839999999999E-2</v>
      </c>
      <c r="U17" s="13">
        <f t="shared" si="12"/>
        <v>2.4716880000000003</v>
      </c>
      <c r="V17" s="13">
        <f t="shared" si="12"/>
        <v>0.12358440000000001</v>
      </c>
    </row>
    <row r="18" spans="1:23" customFormat="1" ht="16" x14ac:dyDescent="0.2">
      <c r="A18" s="515">
        <v>365</v>
      </c>
      <c r="B18" t="s">
        <v>231</v>
      </c>
      <c r="C18">
        <v>4.0000000000000001E-3</v>
      </c>
      <c r="D18" s="13">
        <f t="shared" si="0"/>
        <v>3.4847999999999997E-3</v>
      </c>
      <c r="E18" s="13">
        <f t="shared" si="1"/>
        <v>1.7423999999999999E-4</v>
      </c>
      <c r="F18">
        <v>4.2999999999999997E-2</v>
      </c>
      <c r="G18" s="13">
        <f t="shared" si="2"/>
        <v>2.0639999999999999E-3</v>
      </c>
      <c r="H18" s="13">
        <f t="shared" si="3"/>
        <v>1.0319999999999999E-4</v>
      </c>
      <c r="I18">
        <v>1E-3</v>
      </c>
      <c r="J18" s="13">
        <f t="shared" si="4"/>
        <v>2.6400000000000002E-4</v>
      </c>
      <c r="K18" s="13">
        <f t="shared" si="5"/>
        <v>1.3200000000000001E-5</v>
      </c>
      <c r="L18">
        <v>5.0000000000000001E-3</v>
      </c>
      <c r="M18" s="13">
        <f t="shared" si="6"/>
        <v>6.7799999999999989E-4</v>
      </c>
      <c r="N18" s="13">
        <f t="shared" si="7"/>
        <v>3.3899999999999997E-5</v>
      </c>
      <c r="O18">
        <v>2E-3</v>
      </c>
      <c r="P18" s="13">
        <f t="shared" si="8"/>
        <v>2.4239999999999999E-3</v>
      </c>
      <c r="Q18" s="13">
        <f t="shared" si="9"/>
        <v>1.2120000000000001E-4</v>
      </c>
      <c r="R18">
        <v>0.48499999999999999</v>
      </c>
      <c r="S18" s="13">
        <f t="shared" si="10"/>
        <v>0.238038</v>
      </c>
      <c r="T18" s="13">
        <f t="shared" si="11"/>
        <v>1.19019E-2</v>
      </c>
      <c r="U18" s="13">
        <f t="shared" si="12"/>
        <v>0.2469528</v>
      </c>
      <c r="V18" s="13">
        <f t="shared" si="12"/>
        <v>1.234764E-2</v>
      </c>
    </row>
    <row r="19" spans="1:23" ht="16" x14ac:dyDescent="0.2">
      <c r="C19"/>
      <c r="D19"/>
      <c r="E19"/>
      <c r="F19"/>
      <c r="G19"/>
      <c r="H19"/>
      <c r="I19"/>
      <c r="J19"/>
      <c r="K19"/>
      <c r="L19"/>
      <c r="M19"/>
      <c r="N19"/>
      <c r="O19"/>
      <c r="P19"/>
      <c r="Q19"/>
      <c r="R19"/>
      <c r="S19"/>
      <c r="T19"/>
      <c r="U19"/>
      <c r="V19"/>
      <c r="W19"/>
    </row>
    <row r="20" spans="1:23" ht="16" x14ac:dyDescent="0.2">
      <c r="C20"/>
      <c r="D20"/>
      <c r="E20"/>
      <c r="F20"/>
      <c r="G20"/>
      <c r="H20"/>
      <c r="I20"/>
      <c r="J20"/>
      <c r="K20"/>
      <c r="L20"/>
      <c r="M20"/>
      <c r="N20"/>
      <c r="O20"/>
      <c r="P20"/>
      <c r="Q20"/>
      <c r="R20"/>
      <c r="S20"/>
      <c r="T20"/>
      <c r="U20"/>
      <c r="V20"/>
      <c r="W20"/>
    </row>
    <row r="21" spans="1:23" x14ac:dyDescent="0.2">
      <c r="A21" s="479"/>
    </row>
    <row r="23" spans="1:23" x14ac:dyDescent="0.2">
      <c r="S23" s="479"/>
      <c r="U23" s="265"/>
      <c r="V23" s="265"/>
    </row>
  </sheetData>
  <sheetProtection algorithmName="SHA-512" hashValue="WWGS4RNYYjX6t5tYsQJmTuA6GGhloAwhkL3aEs+4wh2NkRHwlOYNe9wt5yV7f+kRNQqQfsyI1XT85L6LB8buLw==" saltValue="zEIRNCgpku9EbeR8bHr9Bw==" spinCount="100000" sheet="1" objects="1" scenarios="1"/>
  <mergeCells count="19">
    <mergeCell ref="U11:V13"/>
    <mergeCell ref="C12:E12"/>
    <mergeCell ref="C13:E13"/>
    <mergeCell ref="F11:H11"/>
    <mergeCell ref="I11:K11"/>
    <mergeCell ref="L11:N11"/>
    <mergeCell ref="F12:H12"/>
    <mergeCell ref="I12:K12"/>
    <mergeCell ref="L12:N12"/>
    <mergeCell ref="C11:E11"/>
    <mergeCell ref="F13:H13"/>
    <mergeCell ref="I13:K13"/>
    <mergeCell ref="L13:N13"/>
    <mergeCell ref="O13:Q13"/>
    <mergeCell ref="R11:T11"/>
    <mergeCell ref="R12:T12"/>
    <mergeCell ref="R13:T13"/>
    <mergeCell ref="O11:Q11"/>
    <mergeCell ref="O12:Q12"/>
  </mergeCells>
  <pageMargins left="0.7" right="0.7" top="0.75" bottom="0.75" header="0.3" footer="0.3"/>
  <pageSetup paperSize="3" scale="67" orientation="landscape" r:id="rId1"/>
  <headerFooter>
    <oddFooter>&amp;L&amp;A
&amp;D&amp;RPage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1152-EBD5-5943-801E-56D056B3C414}">
  <sheetPr>
    <tabColor rgb="FF00B0F0"/>
  </sheetPr>
  <dimension ref="J6:M11"/>
  <sheetViews>
    <sheetView topLeftCell="A14" workbookViewId="0">
      <selection activeCell="H4" sqref="H4:O11"/>
    </sheetView>
  </sheetViews>
  <sheetFormatPr baseColWidth="10" defaultColWidth="11" defaultRowHeight="16" x14ac:dyDescent="0.2"/>
  <cols>
    <col min="10" max="10" width="14.5" customWidth="1"/>
    <col min="11" max="11" width="16.33203125" customWidth="1"/>
  </cols>
  <sheetData>
    <row r="6" spans="10:13" x14ac:dyDescent="0.2">
      <c r="J6" s="15"/>
      <c r="K6" s="15"/>
      <c r="L6" s="15"/>
    </row>
    <row r="7" spans="10:13" x14ac:dyDescent="0.2">
      <c r="J7" s="132"/>
      <c r="K7" s="504"/>
    </row>
    <row r="8" spans="10:13" x14ac:dyDescent="0.2">
      <c r="K8" s="504"/>
    </row>
    <row r="9" spans="10:13" x14ac:dyDescent="0.2">
      <c r="K9" s="504"/>
    </row>
    <row r="10" spans="10:13" x14ac:dyDescent="0.2">
      <c r="K10" s="504"/>
    </row>
    <row r="11" spans="10:13" x14ac:dyDescent="0.2">
      <c r="M11" s="11"/>
    </row>
  </sheetData>
  <sheetProtection algorithmName="SHA-512" hashValue="Hi2+VlezqjzP9fpBHw5qWkrOvtWWvagYXQOklkE6gMZm65AJFFK+jp25nJMpYOj3Ex+16PfDEOe1NIke5xfXuQ==" saltValue="z9sW6Zo5FmLeDy48V5MceA==" spinCount="100000" sheet="1" objects="1" scenarios="1"/>
  <phoneticPr fontId="19" type="noConversion"/>
  <pageMargins left="0.7" right="0.7" top="0.75" bottom="0.75" header="0.3" footer="0.3"/>
  <pageSetup orientation="portrait"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C466-AA0A-B448-AD44-7A852B3EB958}">
  <sheetPr codeName="Sheet36">
    <tabColor rgb="FF00B0F0"/>
  </sheetPr>
  <dimension ref="A1:F24"/>
  <sheetViews>
    <sheetView topLeftCell="D6" workbookViewId="0"/>
  </sheetViews>
  <sheetFormatPr baseColWidth="10" defaultColWidth="11" defaultRowHeight="16" x14ac:dyDescent="0.2"/>
  <cols>
    <col min="1" max="1" width="18.83203125" customWidth="1"/>
    <col min="2" max="2" width="33.83203125" customWidth="1"/>
    <col min="5" max="5" width="69.33203125" customWidth="1"/>
  </cols>
  <sheetData>
    <row r="1" spans="1:6" ht="19" x14ac:dyDescent="0.25">
      <c r="A1" s="50" t="s">
        <v>314</v>
      </c>
      <c r="C1" s="150"/>
      <c r="D1" s="150"/>
      <c r="E1" s="150"/>
    </row>
    <row r="2" spans="1:6" x14ac:dyDescent="0.2">
      <c r="A2" s="150" t="s">
        <v>316</v>
      </c>
      <c r="C2" s="150"/>
      <c r="D2" s="150"/>
      <c r="E2" s="150"/>
    </row>
    <row r="3" spans="1:6" ht="19" x14ac:dyDescent="0.25">
      <c r="A3" s="50"/>
      <c r="C3" s="150"/>
      <c r="D3" s="150"/>
      <c r="E3" s="150"/>
    </row>
    <row r="4" spans="1:6" ht="19" x14ac:dyDescent="0.25">
      <c r="A4" s="50"/>
      <c r="C4" s="150"/>
      <c r="D4" s="150"/>
      <c r="E4" s="150"/>
    </row>
    <row r="5" spans="1:6" x14ac:dyDescent="0.2">
      <c r="B5" s="15"/>
    </row>
    <row r="6" spans="1:6" ht="51" x14ac:dyDescent="0.2">
      <c r="A6" s="29" t="s">
        <v>209</v>
      </c>
      <c r="B6" s="29" t="s">
        <v>208</v>
      </c>
      <c r="C6" s="29" t="s">
        <v>275</v>
      </c>
      <c r="D6" s="29" t="s">
        <v>278</v>
      </c>
      <c r="E6" s="29" t="s">
        <v>22</v>
      </c>
    </row>
    <row r="7" spans="1:6" x14ac:dyDescent="0.2">
      <c r="A7" t="s">
        <v>82</v>
      </c>
      <c r="B7" t="s">
        <v>245</v>
      </c>
      <c r="C7">
        <v>15000</v>
      </c>
      <c r="D7" s="13">
        <f>C7/1000000</f>
        <v>1.4999999999999999E-2</v>
      </c>
    </row>
    <row r="8" spans="1:6" x14ac:dyDescent="0.2">
      <c r="A8" t="s">
        <v>89</v>
      </c>
      <c r="B8" t="s">
        <v>213</v>
      </c>
      <c r="C8">
        <v>29000</v>
      </c>
      <c r="D8" s="13">
        <f t="shared" ref="D8:D24" si="0">C8/1000000</f>
        <v>2.9000000000000001E-2</v>
      </c>
    </row>
    <row r="9" spans="1:6" x14ac:dyDescent="0.2">
      <c r="A9" t="s">
        <v>193</v>
      </c>
      <c r="B9" t="s">
        <v>276</v>
      </c>
      <c r="C9">
        <v>0.38</v>
      </c>
      <c r="D9" s="13">
        <f t="shared" si="0"/>
        <v>3.8000000000000001E-7</v>
      </c>
    </row>
    <row r="10" spans="1:6" x14ac:dyDescent="0.2">
      <c r="A10" t="s">
        <v>85</v>
      </c>
      <c r="B10" t="s">
        <v>215</v>
      </c>
      <c r="C10">
        <f>0.22/2</f>
        <v>0.11</v>
      </c>
      <c r="D10" s="13">
        <f t="shared" si="0"/>
        <v>1.1000000000000001E-7</v>
      </c>
      <c r="E10" t="s">
        <v>279</v>
      </c>
      <c r="F10" s="16"/>
    </row>
    <row r="11" spans="1:6" x14ac:dyDescent="0.2">
      <c r="A11" t="s">
        <v>174</v>
      </c>
      <c r="B11" t="s">
        <v>246</v>
      </c>
      <c r="C11">
        <f>0.79</f>
        <v>0.79</v>
      </c>
      <c r="D11" s="13">
        <f t="shared" si="0"/>
        <v>7.9000000000000006E-7</v>
      </c>
    </row>
    <row r="12" spans="1:6" x14ac:dyDescent="0.2">
      <c r="A12" t="s">
        <v>83</v>
      </c>
      <c r="B12" t="s">
        <v>247</v>
      </c>
      <c r="C12">
        <f>3.3</f>
        <v>3.3</v>
      </c>
      <c r="D12" s="13">
        <f t="shared" si="0"/>
        <v>3.2999999999999997E-6</v>
      </c>
    </row>
    <row r="13" spans="1:6" x14ac:dyDescent="0.2">
      <c r="A13" s="16" t="s">
        <v>93</v>
      </c>
      <c r="B13" t="s">
        <v>248</v>
      </c>
      <c r="C13">
        <f>0.31</f>
        <v>0.31</v>
      </c>
      <c r="D13" s="13">
        <f t="shared" si="0"/>
        <v>3.1E-7</v>
      </c>
    </row>
    <row r="14" spans="1:6" x14ac:dyDescent="0.2">
      <c r="A14" t="s">
        <v>84</v>
      </c>
      <c r="B14" t="s">
        <v>253</v>
      </c>
      <c r="C14">
        <f>0.16</f>
        <v>0.16</v>
      </c>
      <c r="D14" s="13">
        <f t="shared" si="0"/>
        <v>1.6E-7</v>
      </c>
    </row>
    <row r="15" spans="1:6" x14ac:dyDescent="0.2">
      <c r="A15" t="s">
        <v>87</v>
      </c>
      <c r="B15" t="s">
        <v>214</v>
      </c>
      <c r="C15">
        <f>150</f>
        <v>150</v>
      </c>
      <c r="D15" s="13">
        <f t="shared" si="0"/>
        <v>1.4999999999999999E-4</v>
      </c>
    </row>
    <row r="16" spans="1:6" x14ac:dyDescent="0.2">
      <c r="A16" t="s">
        <v>88</v>
      </c>
      <c r="B16" t="s">
        <v>216</v>
      </c>
      <c r="C16">
        <f>4.7</f>
        <v>4.7</v>
      </c>
      <c r="D16" s="13">
        <f t="shared" si="0"/>
        <v>4.6999999999999999E-6</v>
      </c>
      <c r="F16" s="147"/>
    </row>
    <row r="17" spans="1:6" x14ac:dyDescent="0.2">
      <c r="A17" t="s">
        <v>90</v>
      </c>
      <c r="B17" t="s">
        <v>230</v>
      </c>
      <c r="C17">
        <f>0.013/2</f>
        <v>6.4999999999999997E-3</v>
      </c>
      <c r="D17" s="13">
        <f t="shared" si="0"/>
        <v>6.4999999999999995E-9</v>
      </c>
      <c r="E17" t="s">
        <v>279</v>
      </c>
      <c r="F17" s="147"/>
    </row>
    <row r="18" spans="1:6" x14ac:dyDescent="0.2">
      <c r="A18" s="147">
        <v>365</v>
      </c>
      <c r="B18" t="s">
        <v>231</v>
      </c>
      <c r="C18">
        <f>26</f>
        <v>26</v>
      </c>
      <c r="D18" s="13">
        <f t="shared" si="0"/>
        <v>2.5999999999999998E-5</v>
      </c>
    </row>
    <row r="19" spans="1:6" x14ac:dyDescent="0.2">
      <c r="A19" t="s">
        <v>91</v>
      </c>
      <c r="B19" t="s">
        <v>251</v>
      </c>
      <c r="C19">
        <f>0.35</f>
        <v>0.35</v>
      </c>
      <c r="D19" s="13">
        <f t="shared" si="0"/>
        <v>3.4999999999999998E-7</v>
      </c>
    </row>
    <row r="20" spans="1:6" x14ac:dyDescent="0.2">
      <c r="A20" t="s">
        <v>92</v>
      </c>
      <c r="B20" t="s">
        <v>197</v>
      </c>
      <c r="C20">
        <f>650</f>
        <v>650</v>
      </c>
      <c r="D20" s="13">
        <f t="shared" si="0"/>
        <v>6.4999999999999997E-4</v>
      </c>
    </row>
    <row r="21" spans="1:6" x14ac:dyDescent="0.2">
      <c r="A21" t="s">
        <v>95</v>
      </c>
      <c r="B21" t="s">
        <v>277</v>
      </c>
      <c r="C21">
        <v>420</v>
      </c>
      <c r="D21" s="13">
        <f t="shared" si="0"/>
        <v>4.2000000000000002E-4</v>
      </c>
    </row>
    <row r="22" spans="1:6" x14ac:dyDescent="0.2">
      <c r="A22" s="16">
        <v>504</v>
      </c>
      <c r="B22" t="s">
        <v>254</v>
      </c>
      <c r="C22">
        <v>350</v>
      </c>
      <c r="D22" s="13">
        <f t="shared" ref="D22" si="1">C22/1000000</f>
        <v>3.5E-4</v>
      </c>
    </row>
    <row r="23" spans="1:6" x14ac:dyDescent="0.2">
      <c r="A23" t="s">
        <v>96</v>
      </c>
      <c r="B23" t="s">
        <v>196</v>
      </c>
      <c r="C23">
        <f>11*(143.94/95.96)</f>
        <v>16.5</v>
      </c>
      <c r="D23" s="13">
        <f t="shared" si="0"/>
        <v>1.6500000000000001E-5</v>
      </c>
      <c r="E23" t="s">
        <v>280</v>
      </c>
    </row>
    <row r="24" spans="1:6" x14ac:dyDescent="0.2">
      <c r="A24" t="s">
        <v>94</v>
      </c>
      <c r="B24" t="s">
        <v>235</v>
      </c>
      <c r="C24">
        <v>160</v>
      </c>
      <c r="D24" s="13">
        <f t="shared" si="0"/>
        <v>1.6000000000000001E-4</v>
      </c>
    </row>
  </sheetData>
  <sheetProtection algorithmName="SHA-512" hashValue="8uTYmmnMPP5q6Q3gTnOhgiQp5WVS2r0/1rK8L10yiOueSc/ZHFfPiW2CbRD9sZMntbDoCyPQqJlYQkoChyaTTQ==" saltValue="bgOCDxxeQdUxH9pKQUH7yw==" spinCount="100000" sheet="1" objects="1" scenarios="1"/>
  <pageMargins left="0.7" right="0.7" top="0.75" bottom="0.75" header="0.3" footer="0.3"/>
  <pageSetup orientation="portrait" horizontalDpi="4294967292" verticalDpi="4294967292"/>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F0"/>
  </sheetPr>
  <dimension ref="A1:R59"/>
  <sheetViews>
    <sheetView topLeftCell="A29" workbookViewId="0">
      <selection activeCell="Q24" sqref="Q24"/>
    </sheetView>
  </sheetViews>
  <sheetFormatPr baseColWidth="10" defaultColWidth="11" defaultRowHeight="16" x14ac:dyDescent="0.2"/>
  <cols>
    <col min="1" max="1" width="12.33203125" customWidth="1"/>
    <col min="2" max="2" width="31" customWidth="1"/>
    <col min="3" max="7" width="12.33203125" customWidth="1"/>
    <col min="8" max="9" width="13.33203125" customWidth="1"/>
    <col min="10" max="10" width="17" customWidth="1"/>
  </cols>
  <sheetData>
    <row r="1" spans="1:5" ht="19" x14ac:dyDescent="0.25">
      <c r="A1" s="50" t="s">
        <v>314</v>
      </c>
      <c r="C1" s="150"/>
      <c r="D1" s="150"/>
      <c r="E1" s="150"/>
    </row>
    <row r="2" spans="1:5" x14ac:dyDescent="0.2">
      <c r="A2" s="150" t="s">
        <v>315</v>
      </c>
      <c r="C2" s="150"/>
      <c r="D2" s="150"/>
      <c r="E2" s="150"/>
    </row>
    <row r="3" spans="1:5" ht="19" x14ac:dyDescent="0.25">
      <c r="A3" s="49"/>
    </row>
    <row r="15" spans="1:5" x14ac:dyDescent="0.2">
      <c r="A15" s="45" t="s">
        <v>188</v>
      </c>
    </row>
    <row r="17" spans="1:18" ht="102" x14ac:dyDescent="0.2">
      <c r="A17" s="27" t="s">
        <v>209</v>
      </c>
      <c r="B17" s="27" t="s">
        <v>208</v>
      </c>
      <c r="C17" s="27" t="s">
        <v>52</v>
      </c>
      <c r="D17" s="27" t="s">
        <v>53</v>
      </c>
      <c r="E17" s="27" t="s">
        <v>54</v>
      </c>
      <c r="F17" s="27" t="s">
        <v>55</v>
      </c>
      <c r="G17" s="27" t="s">
        <v>56</v>
      </c>
      <c r="H17" s="27" t="s">
        <v>189</v>
      </c>
      <c r="I17" s="27" t="s">
        <v>62</v>
      </c>
      <c r="J17" s="27" t="s">
        <v>190</v>
      </c>
      <c r="K17" s="27" t="s">
        <v>63</v>
      </c>
    </row>
    <row r="18" spans="1:18" ht="26" customHeight="1" x14ac:dyDescent="0.2">
      <c r="A18" s="36" t="s">
        <v>82</v>
      </c>
      <c r="B18" s="36" t="s">
        <v>245</v>
      </c>
      <c r="C18" s="37">
        <f>'Filter Data'!K13</f>
        <v>306.66666666666669</v>
      </c>
      <c r="D18" s="51">
        <f>'Filter Data'!Z13/1000</f>
        <v>4.7159000000000003E-3</v>
      </c>
      <c r="E18" s="42">
        <f>C18*D18</f>
        <v>1.4462093333333335</v>
      </c>
      <c r="F18" s="43">
        <f>'Filter Data'!AC13*1000</f>
        <v>144.8166666666668</v>
      </c>
      <c r="G18" s="41">
        <f>E18/F18</f>
        <v>9.986484060306125E-3</v>
      </c>
      <c r="H18" s="36">
        <f>AVERAGE(0.0075,0.011)</f>
        <v>9.2499999999999995E-3</v>
      </c>
      <c r="I18" s="44">
        <f>H18*G18</f>
        <v>9.2374977557831646E-5</v>
      </c>
      <c r="J18" s="36">
        <f>AVERAGE(0.00055,0.0099)</f>
        <v>5.2250000000000005E-3</v>
      </c>
      <c r="K18" s="44">
        <f t="shared" ref="K18:K29" si="0">J18*G18</f>
        <v>5.217937921509951E-5</v>
      </c>
    </row>
    <row r="19" spans="1:18" ht="26" customHeight="1" x14ac:dyDescent="0.2">
      <c r="A19" s="36" t="s">
        <v>86</v>
      </c>
      <c r="B19" s="36" t="s">
        <v>249</v>
      </c>
      <c r="C19" s="43">
        <f>'Filter Data'!V13</f>
        <v>0</v>
      </c>
      <c r="D19" s="51">
        <f>D18</f>
        <v>4.7159000000000003E-3</v>
      </c>
      <c r="E19" s="42">
        <f t="shared" ref="E19:E22" si="1">C19*D19</f>
        <v>0</v>
      </c>
      <c r="F19" s="43">
        <f>F18</f>
        <v>144.8166666666668</v>
      </c>
      <c r="G19" s="38">
        <f t="shared" ref="G19:G22" si="2">E19/F19</f>
        <v>0</v>
      </c>
      <c r="H19" s="36">
        <f>H18</f>
        <v>9.2499999999999995E-3</v>
      </c>
      <c r="I19" s="44">
        <f>H19*G19</f>
        <v>0</v>
      </c>
      <c r="J19" s="36">
        <f>J18</f>
        <v>5.2250000000000005E-3</v>
      </c>
      <c r="K19" s="44">
        <f t="shared" si="0"/>
        <v>0</v>
      </c>
      <c r="L19" t="s">
        <v>238</v>
      </c>
    </row>
    <row r="20" spans="1:18" ht="26" customHeight="1" x14ac:dyDescent="0.2">
      <c r="A20" s="36" t="s">
        <v>87</v>
      </c>
      <c r="B20" s="36" t="s">
        <v>214</v>
      </c>
      <c r="C20" s="37">
        <f>'Filter Data'!N13</f>
        <v>69.333333333333329</v>
      </c>
      <c r="D20" s="51">
        <f t="shared" ref="D20:D23" si="3">D19</f>
        <v>4.7159000000000003E-3</v>
      </c>
      <c r="E20" s="42">
        <f t="shared" si="1"/>
        <v>0.32696906666666664</v>
      </c>
      <c r="F20" s="43">
        <f t="shared" ref="F20:F23" si="4">F19</f>
        <v>144.8166666666668</v>
      </c>
      <c r="G20" s="40">
        <f t="shared" si="2"/>
        <v>2.2578137875474717E-3</v>
      </c>
      <c r="H20" s="36">
        <f t="shared" ref="H20:H23" si="5">H19</f>
        <v>9.2499999999999995E-3</v>
      </c>
      <c r="I20" s="44">
        <f t="shared" ref="I20:I22" si="6">H20*G20</f>
        <v>2.0884777534814113E-5</v>
      </c>
      <c r="J20" s="36">
        <f t="shared" ref="J20:J31" si="7">J19</f>
        <v>5.2250000000000005E-3</v>
      </c>
      <c r="K20" s="44">
        <f t="shared" si="0"/>
        <v>1.1797077039935541E-5</v>
      </c>
      <c r="R20" s="13"/>
    </row>
    <row r="21" spans="1:18" ht="26" customHeight="1" x14ac:dyDescent="0.2">
      <c r="A21" s="36" t="s">
        <v>94</v>
      </c>
      <c r="B21" s="36" t="s">
        <v>252</v>
      </c>
      <c r="C21" s="37">
        <f>'Filter Data'!S13</f>
        <v>6700</v>
      </c>
      <c r="D21" s="51">
        <f t="shared" si="3"/>
        <v>4.7159000000000003E-3</v>
      </c>
      <c r="E21" s="42">
        <f t="shared" si="1"/>
        <v>31.596530000000001</v>
      </c>
      <c r="F21" s="43">
        <f t="shared" si="4"/>
        <v>144.8166666666668</v>
      </c>
      <c r="G21" s="41">
        <f t="shared" si="2"/>
        <v>0.21818296696973163</v>
      </c>
      <c r="H21" s="36">
        <f t="shared" si="5"/>
        <v>9.2499999999999995E-3</v>
      </c>
      <c r="I21" s="44">
        <f t="shared" si="6"/>
        <v>2.0181924444700175E-3</v>
      </c>
      <c r="J21" s="36">
        <f t="shared" si="7"/>
        <v>5.2250000000000005E-3</v>
      </c>
      <c r="K21" s="44">
        <f t="shared" si="0"/>
        <v>1.1400060024168478E-3</v>
      </c>
      <c r="R21" s="13"/>
    </row>
    <row r="22" spans="1:18" ht="26" customHeight="1" x14ac:dyDescent="0.2">
      <c r="A22" s="36" t="s">
        <v>92</v>
      </c>
      <c r="B22" s="36" t="s">
        <v>197</v>
      </c>
      <c r="C22" s="43">
        <f>'Filter Data'!R13</f>
        <v>3.4666666666666663</v>
      </c>
      <c r="D22" s="51">
        <f t="shared" si="3"/>
        <v>4.7159000000000003E-3</v>
      </c>
      <c r="E22" s="42">
        <f t="shared" si="1"/>
        <v>1.6348453333333332E-2</v>
      </c>
      <c r="F22" s="43">
        <f t="shared" si="4"/>
        <v>144.8166666666668</v>
      </c>
      <c r="G22" s="39">
        <f t="shared" si="2"/>
        <v>1.1289068937737357E-4</v>
      </c>
      <c r="H22" s="36">
        <f t="shared" si="5"/>
        <v>9.2499999999999995E-3</v>
      </c>
      <c r="I22" s="44">
        <f t="shared" si="6"/>
        <v>1.0442388767407054E-6</v>
      </c>
      <c r="J22" s="36">
        <f t="shared" si="7"/>
        <v>5.2250000000000005E-3</v>
      </c>
      <c r="K22" s="44">
        <f t="shared" si="0"/>
        <v>5.8985385199677699E-7</v>
      </c>
    </row>
    <row r="23" spans="1:18" ht="26" customHeight="1" x14ac:dyDescent="0.2">
      <c r="A23" s="36" t="s">
        <v>90</v>
      </c>
      <c r="B23" s="36" t="s">
        <v>250</v>
      </c>
      <c r="C23" s="43">
        <f>'Filter Data'!X13*2</f>
        <v>2.2466666666666666</v>
      </c>
      <c r="D23" s="51">
        <f t="shared" si="3"/>
        <v>4.7159000000000003E-3</v>
      </c>
      <c r="E23" s="42">
        <f t="shared" ref="E23" si="8">C23*D23</f>
        <v>1.0595055333333334E-2</v>
      </c>
      <c r="F23" s="43">
        <f t="shared" si="4"/>
        <v>144.8166666666668</v>
      </c>
      <c r="G23" s="39">
        <f t="shared" ref="G23" si="9">E23/F23</f>
        <v>7.3161850615720967E-5</v>
      </c>
      <c r="H23" s="36">
        <f t="shared" si="5"/>
        <v>9.2499999999999995E-3</v>
      </c>
      <c r="I23" s="44">
        <f t="shared" ref="I23" si="10">H23*G23</f>
        <v>6.7674711819541891E-7</v>
      </c>
      <c r="J23" s="36">
        <f t="shared" si="7"/>
        <v>5.2250000000000005E-3</v>
      </c>
      <c r="K23" s="44">
        <f t="shared" si="0"/>
        <v>3.822706694671421E-7</v>
      </c>
      <c r="Q23" s="13"/>
    </row>
    <row r="24" spans="1:18" ht="26" customHeight="1" x14ac:dyDescent="0.2">
      <c r="A24" s="36" t="s">
        <v>83</v>
      </c>
      <c r="B24" s="36" t="s">
        <v>247</v>
      </c>
      <c r="C24" s="43">
        <f>'Filter Data'!U13</f>
        <v>0</v>
      </c>
      <c r="D24" s="51">
        <f t="shared" ref="D24:D31" si="11">D23</f>
        <v>4.7159000000000003E-3</v>
      </c>
      <c r="E24" s="42">
        <f t="shared" ref="E24" si="12">C24*D24</f>
        <v>0</v>
      </c>
      <c r="F24" s="43">
        <f t="shared" ref="F24:F31" si="13">F23</f>
        <v>144.8166666666668</v>
      </c>
      <c r="G24" s="39">
        <f t="shared" ref="G24" si="14">E24/F24</f>
        <v>0</v>
      </c>
      <c r="H24" s="36">
        <f t="shared" ref="H24:H31" si="15">H23</f>
        <v>9.2499999999999995E-3</v>
      </c>
      <c r="I24" s="44">
        <f t="shared" ref="I24" si="16">H24*G24</f>
        <v>0</v>
      </c>
      <c r="J24" s="36">
        <f t="shared" si="7"/>
        <v>5.2250000000000005E-3</v>
      </c>
      <c r="K24" s="44">
        <f t="shared" si="0"/>
        <v>0</v>
      </c>
      <c r="L24" t="s">
        <v>61</v>
      </c>
    </row>
    <row r="25" spans="1:18" ht="26" customHeight="1" x14ac:dyDescent="0.2">
      <c r="A25" s="36" t="s">
        <v>84</v>
      </c>
      <c r="B25" s="36" t="s">
        <v>253</v>
      </c>
      <c r="C25" s="43">
        <f>'Filter Data'!L13</f>
        <v>11.9</v>
      </c>
      <c r="D25" s="51">
        <f t="shared" si="11"/>
        <v>4.7159000000000003E-3</v>
      </c>
      <c r="E25" s="42">
        <f t="shared" ref="E25:E29" si="17">C25*D25</f>
        <v>5.6119210000000003E-2</v>
      </c>
      <c r="F25" s="43">
        <f t="shared" si="13"/>
        <v>144.8166666666668</v>
      </c>
      <c r="G25" s="39">
        <f t="shared" ref="G25:G29" si="18">E25/F25</f>
        <v>3.8751900103579202E-4</v>
      </c>
      <c r="H25" s="36">
        <f t="shared" si="15"/>
        <v>9.2499999999999995E-3</v>
      </c>
      <c r="I25" s="44">
        <f t="shared" ref="I25:I29" si="19">H25*G25</f>
        <v>3.5845507595810762E-6</v>
      </c>
      <c r="J25" s="36">
        <f t="shared" si="7"/>
        <v>5.2250000000000005E-3</v>
      </c>
      <c r="K25" s="44">
        <f t="shared" si="0"/>
        <v>2.0247867804120133E-6</v>
      </c>
    </row>
    <row r="26" spans="1:18" ht="26" customHeight="1" x14ac:dyDescent="0.2">
      <c r="A26" s="36" t="s">
        <v>85</v>
      </c>
      <c r="B26" s="36" t="s">
        <v>215</v>
      </c>
      <c r="C26" s="43">
        <f>'Filter Data'!M13</f>
        <v>66</v>
      </c>
      <c r="D26" s="51">
        <f t="shared" si="11"/>
        <v>4.7159000000000003E-3</v>
      </c>
      <c r="E26" s="42">
        <f t="shared" si="17"/>
        <v>0.31124940000000001</v>
      </c>
      <c r="F26" s="43">
        <f t="shared" si="13"/>
        <v>144.8166666666668</v>
      </c>
      <c r="G26" s="39">
        <f t="shared" si="18"/>
        <v>2.1492650477615356E-3</v>
      </c>
      <c r="H26" s="36">
        <f t="shared" si="15"/>
        <v>9.2499999999999995E-3</v>
      </c>
      <c r="I26" s="44">
        <f t="shared" si="19"/>
        <v>1.9880701691794204E-5</v>
      </c>
      <c r="J26" s="36">
        <f t="shared" si="7"/>
        <v>5.2250000000000005E-3</v>
      </c>
      <c r="K26" s="44">
        <f t="shared" si="0"/>
        <v>1.1229909874554025E-5</v>
      </c>
      <c r="L26" t="s">
        <v>255</v>
      </c>
    </row>
    <row r="27" spans="1:18" ht="26" customHeight="1" x14ac:dyDescent="0.2">
      <c r="A27" s="36" t="s">
        <v>88</v>
      </c>
      <c r="B27" s="36" t="s">
        <v>216</v>
      </c>
      <c r="C27" s="43">
        <f>'Filter Data'!O13</f>
        <v>353.33333333333331</v>
      </c>
      <c r="D27" s="51">
        <f t="shared" si="11"/>
        <v>4.7159000000000003E-3</v>
      </c>
      <c r="E27" s="42">
        <f t="shared" si="17"/>
        <v>1.6662846666666666</v>
      </c>
      <c r="F27" s="43">
        <f t="shared" si="13"/>
        <v>144.8166666666668</v>
      </c>
      <c r="G27" s="39">
        <f t="shared" si="18"/>
        <v>1.1506166417309231E-2</v>
      </c>
      <c r="H27" s="36">
        <f t="shared" si="15"/>
        <v>9.2499999999999995E-3</v>
      </c>
      <c r="I27" s="44">
        <f t="shared" si="19"/>
        <v>1.0643203936011037E-4</v>
      </c>
      <c r="J27" s="36">
        <f t="shared" si="7"/>
        <v>5.2250000000000005E-3</v>
      </c>
      <c r="K27" s="44">
        <f t="shared" si="0"/>
        <v>6.0119719530440734E-5</v>
      </c>
    </row>
    <row r="28" spans="1:18" ht="26" customHeight="1" x14ac:dyDescent="0.2">
      <c r="A28" s="36" t="s">
        <v>89</v>
      </c>
      <c r="B28" s="36" t="s">
        <v>213</v>
      </c>
      <c r="C28" s="43">
        <f>'Filter Data'!P13</f>
        <v>630</v>
      </c>
      <c r="D28" s="51">
        <f t="shared" si="11"/>
        <v>4.7159000000000003E-3</v>
      </c>
      <c r="E28" s="42">
        <f t="shared" si="17"/>
        <v>2.9710170000000002</v>
      </c>
      <c r="F28" s="43">
        <f t="shared" si="13"/>
        <v>144.8166666666668</v>
      </c>
      <c r="G28" s="39">
        <f t="shared" si="18"/>
        <v>2.0515711819541933E-2</v>
      </c>
      <c r="H28" s="36">
        <f t="shared" si="15"/>
        <v>9.2499999999999995E-3</v>
      </c>
      <c r="I28" s="44">
        <f>H28*G28</f>
        <v>1.8977033433076288E-4</v>
      </c>
      <c r="J28" s="36">
        <f t="shared" si="7"/>
        <v>5.2250000000000005E-3</v>
      </c>
      <c r="K28" s="44">
        <f t="shared" si="0"/>
        <v>1.0719459425710661E-4</v>
      </c>
    </row>
    <row r="29" spans="1:18" ht="26" customHeight="1" x14ac:dyDescent="0.2">
      <c r="A29" s="36">
        <v>365</v>
      </c>
      <c r="B29" s="36" t="s">
        <v>231</v>
      </c>
      <c r="C29" s="43">
        <f>'Filter Data'!Q13</f>
        <v>10.266666666666667</v>
      </c>
      <c r="D29" s="51">
        <f t="shared" si="11"/>
        <v>4.7159000000000003E-3</v>
      </c>
      <c r="E29" s="42">
        <f t="shared" si="17"/>
        <v>4.8416573333333338E-2</v>
      </c>
      <c r="F29" s="43">
        <f t="shared" si="13"/>
        <v>144.8166666666668</v>
      </c>
      <c r="G29" s="39">
        <f t="shared" si="18"/>
        <v>3.3433011854068332E-4</v>
      </c>
      <c r="H29" s="36">
        <f t="shared" si="15"/>
        <v>9.2499999999999995E-3</v>
      </c>
      <c r="I29" s="44">
        <f t="shared" si="19"/>
        <v>3.0925535965013207E-6</v>
      </c>
      <c r="J29" s="36">
        <f t="shared" si="7"/>
        <v>5.2250000000000005E-3</v>
      </c>
      <c r="K29" s="44">
        <f t="shared" si="0"/>
        <v>1.7468748693750706E-6</v>
      </c>
    </row>
    <row r="30" spans="1:18" ht="26" customHeight="1" x14ac:dyDescent="0.2">
      <c r="A30" s="36" t="s">
        <v>174</v>
      </c>
      <c r="B30" s="36" t="s">
        <v>246</v>
      </c>
      <c r="C30" s="159">
        <f>'Filter Data'!T13</f>
        <v>3.3000000000000003</v>
      </c>
      <c r="D30" s="160">
        <f t="shared" si="11"/>
        <v>4.7159000000000003E-3</v>
      </c>
      <c r="E30" s="161">
        <f t="shared" ref="E30:E31" si="20">C30*D30</f>
        <v>1.5562470000000002E-2</v>
      </c>
      <c r="F30" s="159">
        <f t="shared" si="13"/>
        <v>144.8166666666668</v>
      </c>
      <c r="G30" s="162">
        <f t="shared" ref="G30:G31" si="21">E30/F30</f>
        <v>1.0746325238807678E-4</v>
      </c>
      <c r="H30" s="163">
        <f t="shared" si="15"/>
        <v>9.2499999999999995E-3</v>
      </c>
      <c r="I30" s="164">
        <f>H30*G30</f>
        <v>9.9403508458971019E-7</v>
      </c>
      <c r="J30" s="163">
        <f t="shared" si="7"/>
        <v>5.2250000000000005E-3</v>
      </c>
      <c r="K30" s="164">
        <f t="shared" ref="K30:K31" si="22">J30*G30</f>
        <v>5.6149549372770125E-7</v>
      </c>
    </row>
    <row r="31" spans="1:18" ht="26" customHeight="1" x14ac:dyDescent="0.2">
      <c r="A31" s="36">
        <v>504</v>
      </c>
      <c r="B31" s="36" t="s">
        <v>254</v>
      </c>
      <c r="C31" s="159">
        <f>'Filter Data'!W13</f>
        <v>33.333333333333336</v>
      </c>
      <c r="D31" s="160">
        <f t="shared" si="11"/>
        <v>4.7159000000000003E-3</v>
      </c>
      <c r="E31" s="161">
        <f t="shared" si="20"/>
        <v>0.15719666666666668</v>
      </c>
      <c r="F31" s="159">
        <f t="shared" si="13"/>
        <v>144.8166666666668</v>
      </c>
      <c r="G31" s="162">
        <f t="shared" si="21"/>
        <v>1.0854873978593616E-3</v>
      </c>
      <c r="H31" s="163">
        <f t="shared" si="15"/>
        <v>9.2499999999999995E-3</v>
      </c>
      <c r="I31" s="164">
        <f t="shared" ref="I31" si="23">H31*G31</f>
        <v>1.0040758430199093E-5</v>
      </c>
      <c r="J31" s="163">
        <f t="shared" si="7"/>
        <v>5.2250000000000005E-3</v>
      </c>
      <c r="K31" s="164">
        <f t="shared" si="22"/>
        <v>5.6716716538151648E-6</v>
      </c>
    </row>
    <row r="34" spans="1:10" ht="19" x14ac:dyDescent="0.2">
      <c r="A34" t="s">
        <v>59</v>
      </c>
    </row>
    <row r="35" spans="1:10" ht="19" x14ac:dyDescent="0.2">
      <c r="A35" t="s">
        <v>60</v>
      </c>
    </row>
    <row r="36" spans="1:10" ht="19" x14ac:dyDescent="0.2">
      <c r="A36" t="s">
        <v>65</v>
      </c>
    </row>
    <row r="40" spans="1:10" x14ac:dyDescent="0.2">
      <c r="A40" s="45" t="s">
        <v>24</v>
      </c>
    </row>
    <row r="42" spans="1:10" ht="85" x14ac:dyDescent="0.2">
      <c r="A42" s="27" t="s">
        <v>209</v>
      </c>
      <c r="B42" s="27" t="s">
        <v>208</v>
      </c>
      <c r="C42" s="27" t="s">
        <v>52</v>
      </c>
      <c r="D42" s="27" t="s">
        <v>53</v>
      </c>
      <c r="E42" s="27" t="s">
        <v>54</v>
      </c>
      <c r="F42" s="27" t="s">
        <v>55</v>
      </c>
      <c r="G42" s="27" t="s">
        <v>56</v>
      </c>
      <c r="H42" s="27" t="s">
        <v>57</v>
      </c>
      <c r="I42" s="27" t="s">
        <v>70</v>
      </c>
    </row>
    <row r="43" spans="1:10" ht="26" customHeight="1" x14ac:dyDescent="0.2">
      <c r="A43" s="36" t="s">
        <v>82</v>
      </c>
      <c r="B43" s="36" t="s">
        <v>245</v>
      </c>
      <c r="C43" s="37">
        <f>'Filter Data'!K17</f>
        <v>196.66666666666666</v>
      </c>
      <c r="D43" s="51">
        <f>'Filter Data'!Z17/1000</f>
        <v>4.5511666666666669E-3</v>
      </c>
      <c r="E43" s="41">
        <f>C43*D43</f>
        <v>0.89506277777777776</v>
      </c>
      <c r="F43" s="41">
        <f>'Filter Data'!AC17*1000</f>
        <v>3.5166666666666297</v>
      </c>
      <c r="G43" s="41">
        <f>E43/F43</f>
        <v>0.254520221169039</v>
      </c>
      <c r="H43" s="36">
        <f>AVERAGE(0.00026,0.0003)</f>
        <v>2.7999999999999998E-4</v>
      </c>
      <c r="I43" s="44">
        <f>H43*G43</f>
        <v>7.1265661927330916E-5</v>
      </c>
    </row>
    <row r="44" spans="1:10" ht="26" customHeight="1" x14ac:dyDescent="0.2">
      <c r="A44" s="36" t="s">
        <v>86</v>
      </c>
      <c r="B44" s="36" t="s">
        <v>249</v>
      </c>
      <c r="C44" s="43">
        <f>'Filter Data'!V17</f>
        <v>0</v>
      </c>
      <c r="D44" s="51">
        <f>D43</f>
        <v>4.5511666666666669E-3</v>
      </c>
      <c r="E44" s="41">
        <f t="shared" ref="E44:E49" si="24">C44*D44</f>
        <v>0</v>
      </c>
      <c r="F44" s="41">
        <f>F43</f>
        <v>3.5166666666666297</v>
      </c>
      <c r="G44" s="38">
        <f t="shared" ref="G44:G49" si="25">E44/F44</f>
        <v>0</v>
      </c>
      <c r="H44" s="36">
        <f>H43</f>
        <v>2.7999999999999998E-4</v>
      </c>
      <c r="I44" s="44">
        <f t="shared" ref="I44:I49" si="26">H44*G44</f>
        <v>0</v>
      </c>
      <c r="J44" t="s">
        <v>66</v>
      </c>
    </row>
    <row r="45" spans="1:10" ht="26" customHeight="1" x14ac:dyDescent="0.2">
      <c r="A45" s="36" t="s">
        <v>87</v>
      </c>
      <c r="B45" s="36" t="s">
        <v>214</v>
      </c>
      <c r="C45" s="43">
        <f>'Filter Data'!N17</f>
        <v>0</v>
      </c>
      <c r="D45" s="51">
        <f t="shared" ref="D45:D54" si="27">D44</f>
        <v>4.5511666666666669E-3</v>
      </c>
      <c r="E45" s="41">
        <f t="shared" si="24"/>
        <v>0</v>
      </c>
      <c r="F45" s="41">
        <f t="shared" ref="F45:F54" si="28">F44</f>
        <v>3.5166666666666297</v>
      </c>
      <c r="G45" s="40">
        <f t="shared" si="25"/>
        <v>0</v>
      </c>
      <c r="H45" s="36">
        <f t="shared" ref="H45:H54" si="29">H44</f>
        <v>2.7999999999999998E-4</v>
      </c>
      <c r="I45" s="44">
        <f t="shared" si="26"/>
        <v>0</v>
      </c>
      <c r="J45" t="s">
        <v>67</v>
      </c>
    </row>
    <row r="46" spans="1:10" ht="26" customHeight="1" x14ac:dyDescent="0.2">
      <c r="A46" s="36" t="s">
        <v>94</v>
      </c>
      <c r="B46" s="36" t="s">
        <v>252</v>
      </c>
      <c r="C46" s="37">
        <f>'Filter Data'!S17</f>
        <v>106</v>
      </c>
      <c r="D46" s="51">
        <f t="shared" si="27"/>
        <v>4.5511666666666669E-3</v>
      </c>
      <c r="E46" s="41">
        <f t="shared" si="24"/>
        <v>0.4824236666666667</v>
      </c>
      <c r="F46" s="41">
        <f t="shared" si="28"/>
        <v>3.5166666666666297</v>
      </c>
      <c r="G46" s="41">
        <f t="shared" si="25"/>
        <v>0.13718208530805831</v>
      </c>
      <c r="H46" s="36">
        <f t="shared" si="29"/>
        <v>2.7999999999999998E-4</v>
      </c>
      <c r="I46" s="44">
        <f t="shared" si="26"/>
        <v>3.8410983886256321E-5</v>
      </c>
    </row>
    <row r="47" spans="1:10" ht="26" customHeight="1" x14ac:dyDescent="0.2">
      <c r="A47" s="36" t="s">
        <v>92</v>
      </c>
      <c r="B47" s="36" t="s">
        <v>197</v>
      </c>
      <c r="C47" s="43">
        <f>'Filter Data'!R17</f>
        <v>0</v>
      </c>
      <c r="D47" s="51">
        <f t="shared" si="27"/>
        <v>4.5511666666666669E-3</v>
      </c>
      <c r="E47" s="41">
        <f t="shared" si="24"/>
        <v>0</v>
      </c>
      <c r="F47" s="41">
        <f t="shared" si="28"/>
        <v>3.5166666666666297</v>
      </c>
      <c r="G47" s="39">
        <f t="shared" si="25"/>
        <v>0</v>
      </c>
      <c r="H47" s="36">
        <f t="shared" si="29"/>
        <v>2.7999999999999998E-4</v>
      </c>
      <c r="I47" s="44">
        <f t="shared" si="26"/>
        <v>0</v>
      </c>
      <c r="J47" t="s">
        <v>68</v>
      </c>
    </row>
    <row r="48" spans="1:10" ht="26" customHeight="1" x14ac:dyDescent="0.2">
      <c r="A48" s="36" t="s">
        <v>90</v>
      </c>
      <c r="B48" s="36" t="s">
        <v>250</v>
      </c>
      <c r="C48" s="43">
        <f>'Filter Data'!X17*2</f>
        <v>0.14899999999999999</v>
      </c>
      <c r="D48" s="51">
        <f t="shared" si="27"/>
        <v>4.5511666666666669E-3</v>
      </c>
      <c r="E48" s="41">
        <f t="shared" si="24"/>
        <v>6.7812383333333331E-4</v>
      </c>
      <c r="F48" s="41">
        <f t="shared" si="28"/>
        <v>3.5166666666666297</v>
      </c>
      <c r="G48" s="39">
        <f t="shared" si="25"/>
        <v>1.9283142180094988E-4</v>
      </c>
      <c r="H48" s="36">
        <f t="shared" si="29"/>
        <v>2.7999999999999998E-4</v>
      </c>
      <c r="I48" s="44">
        <f t="shared" si="26"/>
        <v>5.3992798104265958E-8</v>
      </c>
    </row>
    <row r="49" spans="1:10" ht="26" customHeight="1" x14ac:dyDescent="0.2">
      <c r="A49" s="36" t="s">
        <v>83</v>
      </c>
      <c r="B49" s="36" t="s">
        <v>247</v>
      </c>
      <c r="C49" s="43">
        <f>'Filter Data'!U17</f>
        <v>0</v>
      </c>
      <c r="D49" s="51">
        <f t="shared" si="27"/>
        <v>4.5511666666666669E-3</v>
      </c>
      <c r="E49" s="41">
        <f t="shared" si="24"/>
        <v>0</v>
      </c>
      <c r="F49" s="41">
        <f t="shared" si="28"/>
        <v>3.5166666666666297</v>
      </c>
      <c r="G49" s="39">
        <f t="shared" si="25"/>
        <v>0</v>
      </c>
      <c r="H49" s="36">
        <f t="shared" si="29"/>
        <v>2.7999999999999998E-4</v>
      </c>
      <c r="I49" s="44">
        <f t="shared" si="26"/>
        <v>0</v>
      </c>
      <c r="J49" t="s">
        <v>61</v>
      </c>
    </row>
    <row r="50" spans="1:10" ht="26" customHeight="1" x14ac:dyDescent="0.2">
      <c r="A50" s="36" t="s">
        <v>84</v>
      </c>
      <c r="B50" s="36" t="s">
        <v>253</v>
      </c>
      <c r="C50" s="43">
        <f>'Filter Data'!L17</f>
        <v>0</v>
      </c>
      <c r="D50" s="51">
        <f t="shared" si="27"/>
        <v>4.5511666666666669E-3</v>
      </c>
      <c r="E50" s="41">
        <f t="shared" ref="E50:E54" si="30">C50*D50</f>
        <v>0</v>
      </c>
      <c r="F50" s="41">
        <f t="shared" si="28"/>
        <v>3.5166666666666297</v>
      </c>
      <c r="G50" s="39">
        <f t="shared" ref="G50:G54" si="31">E50/F50</f>
        <v>0</v>
      </c>
      <c r="H50" s="36">
        <f t="shared" si="29"/>
        <v>2.7999999999999998E-4</v>
      </c>
      <c r="I50" s="44">
        <f t="shared" ref="I50:I54" si="32">H50*G50</f>
        <v>0</v>
      </c>
      <c r="J50" t="s">
        <v>80</v>
      </c>
    </row>
    <row r="51" spans="1:10" ht="26" customHeight="1" x14ac:dyDescent="0.2">
      <c r="A51" s="36" t="s">
        <v>85</v>
      </c>
      <c r="B51" s="36" t="s">
        <v>215</v>
      </c>
      <c r="C51" s="43">
        <f>'Filter Data'!M17</f>
        <v>2.4666666666666663</v>
      </c>
      <c r="D51" s="51">
        <f t="shared" si="27"/>
        <v>4.5511666666666669E-3</v>
      </c>
      <c r="E51" s="41">
        <f t="shared" si="30"/>
        <v>1.122621111111111E-2</v>
      </c>
      <c r="F51" s="41">
        <f t="shared" si="28"/>
        <v>3.5166666666666297</v>
      </c>
      <c r="G51" s="39">
        <f t="shared" si="31"/>
        <v>3.1922875197472685E-3</v>
      </c>
      <c r="H51" s="36">
        <f t="shared" si="29"/>
        <v>2.7999999999999998E-4</v>
      </c>
      <c r="I51" s="44">
        <f t="shared" si="32"/>
        <v>8.9384050552923507E-7</v>
      </c>
      <c r="J51" t="s">
        <v>255</v>
      </c>
    </row>
    <row r="52" spans="1:10" ht="26" customHeight="1" x14ac:dyDescent="0.2">
      <c r="A52" s="36" t="s">
        <v>88</v>
      </c>
      <c r="B52" s="36" t="s">
        <v>216</v>
      </c>
      <c r="C52" s="43">
        <f>'Filter Data'!O17</f>
        <v>8.6666666666666661</v>
      </c>
      <c r="D52" s="51">
        <f t="shared" si="27"/>
        <v>4.5511666666666669E-3</v>
      </c>
      <c r="E52" s="41">
        <f t="shared" si="30"/>
        <v>3.9443444444444441E-2</v>
      </c>
      <c r="F52" s="41">
        <f t="shared" si="28"/>
        <v>3.5166666666666297</v>
      </c>
      <c r="G52" s="39">
        <f t="shared" si="31"/>
        <v>1.1216145339652565E-2</v>
      </c>
      <c r="H52" s="36">
        <f t="shared" si="29"/>
        <v>2.7999999999999998E-4</v>
      </c>
      <c r="I52" s="44">
        <f t="shared" si="32"/>
        <v>3.140520695102718E-6</v>
      </c>
    </row>
    <row r="53" spans="1:10" ht="26" customHeight="1" x14ac:dyDescent="0.2">
      <c r="A53" s="36" t="s">
        <v>89</v>
      </c>
      <c r="B53" s="36" t="s">
        <v>213</v>
      </c>
      <c r="C53" s="43">
        <f>'Filter Data'!P17</f>
        <v>14.333333333333334</v>
      </c>
      <c r="D53" s="51">
        <f t="shared" si="27"/>
        <v>4.5511666666666669E-3</v>
      </c>
      <c r="E53" s="41">
        <f t="shared" si="30"/>
        <v>6.5233388888888896E-2</v>
      </c>
      <c r="F53" s="41">
        <f t="shared" si="28"/>
        <v>3.5166666666666297</v>
      </c>
      <c r="G53" s="39">
        <f t="shared" si="31"/>
        <v>1.8549778830963863E-2</v>
      </c>
      <c r="H53" s="36">
        <f t="shared" si="29"/>
        <v>2.7999999999999998E-4</v>
      </c>
      <c r="I53" s="44">
        <f t="shared" si="32"/>
        <v>5.1939380726698815E-6</v>
      </c>
    </row>
    <row r="54" spans="1:10" ht="26" customHeight="1" x14ac:dyDescent="0.2">
      <c r="A54" s="145">
        <v>365</v>
      </c>
      <c r="B54" s="36" t="s">
        <v>231</v>
      </c>
      <c r="C54" s="43">
        <f>'Filter Data'!Q17</f>
        <v>0</v>
      </c>
      <c r="D54" s="51">
        <f t="shared" si="27"/>
        <v>4.5511666666666669E-3</v>
      </c>
      <c r="E54" s="41">
        <f t="shared" si="30"/>
        <v>0</v>
      </c>
      <c r="F54" s="41">
        <f t="shared" si="28"/>
        <v>3.5166666666666297</v>
      </c>
      <c r="G54" s="39">
        <f t="shared" si="31"/>
        <v>0</v>
      </c>
      <c r="H54" s="36">
        <f t="shared" si="29"/>
        <v>2.7999999999999998E-4</v>
      </c>
      <c r="I54" s="44">
        <f t="shared" si="32"/>
        <v>0</v>
      </c>
      <c r="J54" t="s">
        <v>81</v>
      </c>
    </row>
    <row r="57" spans="1:10" ht="19" x14ac:dyDescent="0.2">
      <c r="A57" t="s">
        <v>59</v>
      </c>
    </row>
    <row r="58" spans="1:10" ht="19" x14ac:dyDescent="0.2">
      <c r="A58" t="s">
        <v>69</v>
      </c>
    </row>
    <row r="59" spans="1:10" ht="19" x14ac:dyDescent="0.2">
      <c r="A59" t="s">
        <v>64</v>
      </c>
    </row>
  </sheetData>
  <sheetProtection algorithmName="SHA-512" hashValue="59DrkBwhEToUAv01lczDowl3z6sHJ7hU1BgJF/DEDvAPv4bcI1v6Aei1Ft32desi3CX08x8dCAehD7tJfrDuFg==" saltValue="tg6Z6FWRLiwA0tI7VwlKnA==" spinCount="100000" sheet="1" objects="1" scenarios="1"/>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F0"/>
  </sheetPr>
  <dimension ref="A1:AC27"/>
  <sheetViews>
    <sheetView topLeftCell="J1" workbookViewId="0"/>
  </sheetViews>
  <sheetFormatPr baseColWidth="10" defaultColWidth="10.83203125" defaultRowHeight="16" x14ac:dyDescent="0.2"/>
  <cols>
    <col min="1" max="1" width="18.1640625" style="1" hidden="1" customWidth="1"/>
    <col min="2" max="2" width="14" style="1" hidden="1" customWidth="1"/>
    <col min="3" max="3" width="7.5" style="1" hidden="1" customWidth="1"/>
    <col min="4" max="6" width="13" style="1" hidden="1" customWidth="1"/>
    <col min="7" max="7" width="14.5" style="1" hidden="1" customWidth="1"/>
    <col min="8" max="9" width="10.6640625" style="1" hidden="1" customWidth="1"/>
    <col min="10" max="10" width="12.33203125" style="1" customWidth="1"/>
    <col min="11" max="24" width="10.33203125" style="1" customWidth="1"/>
    <col min="25" max="16384" width="10.83203125" style="1"/>
  </cols>
  <sheetData>
    <row r="1" spans="1:29" ht="19" x14ac:dyDescent="0.25">
      <c r="A1" s="1" t="s">
        <v>25</v>
      </c>
      <c r="B1" s="10">
        <v>40312</v>
      </c>
      <c r="C1" s="30">
        <v>1</v>
      </c>
      <c r="D1" s="1">
        <v>2E-3</v>
      </c>
      <c r="E1" s="8">
        <f t="shared" ref="E1:E4" si="0">D1*2288352</f>
        <v>4576.7039999999997</v>
      </c>
      <c r="F1" s="8">
        <v>6</v>
      </c>
      <c r="G1" s="1">
        <v>6.3E-2</v>
      </c>
      <c r="H1" s="31">
        <v>361000</v>
      </c>
      <c r="I1" s="31">
        <v>350000</v>
      </c>
      <c r="J1" s="50" t="s">
        <v>314</v>
      </c>
    </row>
    <row r="2" spans="1:29" x14ac:dyDescent="0.2">
      <c r="B2" s="10">
        <v>40313</v>
      </c>
      <c r="C2" s="30">
        <v>2</v>
      </c>
      <c r="D2" s="1">
        <v>2.2000000000000001E-3</v>
      </c>
      <c r="E2" s="8">
        <f t="shared" si="0"/>
        <v>5034.3744000000006</v>
      </c>
      <c r="F2" s="8">
        <v>6.8</v>
      </c>
      <c r="G2" s="1">
        <v>7.6999999999999999E-2</v>
      </c>
      <c r="H2" s="31">
        <v>379000</v>
      </c>
      <c r="I2" s="31">
        <v>368000</v>
      </c>
      <c r="J2" s="150" t="s">
        <v>317</v>
      </c>
    </row>
    <row r="3" spans="1:29" x14ac:dyDescent="0.2">
      <c r="B3" s="10">
        <v>40314</v>
      </c>
      <c r="C3" s="30">
        <v>3</v>
      </c>
      <c r="D3" s="1">
        <v>2.7000000000000001E-3</v>
      </c>
      <c r="E3" s="8">
        <f t="shared" si="0"/>
        <v>6178.5504000000001</v>
      </c>
      <c r="F3" s="8">
        <v>8.4</v>
      </c>
      <c r="G3" s="1">
        <v>7.4999999999999997E-2</v>
      </c>
      <c r="H3" s="31">
        <v>380000</v>
      </c>
      <c r="I3" s="31">
        <v>364000</v>
      </c>
    </row>
    <row r="4" spans="1:29" ht="17" customHeight="1" x14ac:dyDescent="0.2">
      <c r="B4" s="10">
        <v>40315</v>
      </c>
      <c r="C4" s="30" t="s">
        <v>37</v>
      </c>
      <c r="D4" s="5">
        <f>AVERAGE(D1:D3)</f>
        <v>2.3000000000000004E-3</v>
      </c>
      <c r="E4" s="6">
        <f t="shared" si="0"/>
        <v>5263.209600000001</v>
      </c>
      <c r="F4" s="4">
        <f>AVERAGE(F1:F3)</f>
        <v>7.0666666666666673</v>
      </c>
      <c r="G4" s="4">
        <f>AVERAGE(G1:G3)</f>
        <v>7.166666666666667E-2</v>
      </c>
      <c r="H4" s="32">
        <v>374000</v>
      </c>
      <c r="I4" s="32">
        <v>361000</v>
      </c>
      <c r="K4" s="551" t="s">
        <v>51</v>
      </c>
      <c r="L4" s="551"/>
      <c r="M4" s="551"/>
      <c r="N4" s="551"/>
      <c r="O4" s="551"/>
      <c r="P4" s="551"/>
      <c r="Q4" s="551"/>
      <c r="R4" s="551"/>
      <c r="S4" s="551"/>
      <c r="T4" s="551"/>
      <c r="U4" s="551"/>
      <c r="V4" s="551"/>
      <c r="W4" s="551"/>
      <c r="X4" s="551"/>
      <c r="Y4" s="33" t="s">
        <v>239</v>
      </c>
      <c r="Z4" s="34"/>
      <c r="AA4" s="34"/>
      <c r="AB4" s="34"/>
      <c r="AC4" s="34"/>
    </row>
    <row r="5" spans="1:29" ht="51" x14ac:dyDescent="0.2">
      <c r="K5" s="65" t="s">
        <v>26</v>
      </c>
      <c r="L5" s="65" t="s">
        <v>7</v>
      </c>
      <c r="M5" s="65" t="s">
        <v>8</v>
      </c>
      <c r="N5" s="65" t="s">
        <v>27</v>
      </c>
      <c r="O5" s="65" t="s">
        <v>9</v>
      </c>
      <c r="P5" s="65" t="s">
        <v>10</v>
      </c>
      <c r="Q5" s="65" t="s">
        <v>12</v>
      </c>
      <c r="R5" s="65" t="s">
        <v>28</v>
      </c>
      <c r="S5" s="65" t="s">
        <v>29</v>
      </c>
      <c r="T5" s="66" t="s">
        <v>30</v>
      </c>
      <c r="U5" s="65" t="s">
        <v>6</v>
      </c>
      <c r="V5" s="65" t="s">
        <v>31</v>
      </c>
      <c r="W5" s="66" t="s">
        <v>38</v>
      </c>
      <c r="X5" s="65" t="s">
        <v>11</v>
      </c>
      <c r="Y5" s="1" t="s">
        <v>73</v>
      </c>
      <c r="Z5" s="1" t="s">
        <v>74</v>
      </c>
      <c r="AA5" s="1" t="s">
        <v>75</v>
      </c>
      <c r="AB5" s="1" t="s">
        <v>76</v>
      </c>
      <c r="AC5" s="1" t="s">
        <v>77</v>
      </c>
    </row>
    <row r="6" spans="1:29" ht="17" x14ac:dyDescent="0.2">
      <c r="A6" s="1" t="s">
        <v>34</v>
      </c>
      <c r="B6" s="10">
        <v>41395</v>
      </c>
      <c r="C6" s="30">
        <v>1</v>
      </c>
      <c r="D6" s="1">
        <v>1.9000000000000001E-5</v>
      </c>
      <c r="E6" s="8">
        <f t="shared" ref="E6:E17" si="1">D6*2288352</f>
        <v>43.478688000000005</v>
      </c>
      <c r="F6" s="1">
        <v>7.4999999999999997E-2</v>
      </c>
      <c r="G6" s="1">
        <v>5.2999999999999998E-4</v>
      </c>
      <c r="J6" s="17" t="s">
        <v>34</v>
      </c>
      <c r="K6" s="18">
        <v>230</v>
      </c>
      <c r="L6" s="56">
        <v>2</v>
      </c>
      <c r="M6" s="57">
        <v>3.4</v>
      </c>
      <c r="N6" s="57">
        <v>2.7</v>
      </c>
      <c r="O6" s="57">
        <v>11</v>
      </c>
      <c r="P6" s="57">
        <v>21</v>
      </c>
      <c r="Q6" s="56">
        <v>4.9000000000000004</v>
      </c>
      <c r="R6" s="56">
        <v>2</v>
      </c>
      <c r="S6" s="57">
        <v>180</v>
      </c>
      <c r="T6" s="56">
        <v>4.9000000000000004</v>
      </c>
      <c r="U6" s="56">
        <v>4.9000000000000004</v>
      </c>
      <c r="V6" s="56">
        <v>2</v>
      </c>
      <c r="W6" s="56">
        <v>49</v>
      </c>
      <c r="X6" s="19">
        <v>0.24</v>
      </c>
      <c r="Y6" s="1">
        <v>4.5301</v>
      </c>
      <c r="Z6" s="1">
        <v>4.5105000000000004</v>
      </c>
      <c r="AA6" s="1">
        <f>Z6-Y6</f>
        <v>-1.9599999999999618E-2</v>
      </c>
      <c r="AB6" s="1">
        <v>-1.125E-2</v>
      </c>
      <c r="AC6" s="1">
        <f>AA6-AB6</f>
        <v>-8.3499999999996181E-3</v>
      </c>
    </row>
    <row r="7" spans="1:29" x14ac:dyDescent="0.2">
      <c r="B7" s="10">
        <v>41396</v>
      </c>
      <c r="C7" s="30">
        <v>2</v>
      </c>
      <c r="D7" s="1">
        <v>2.0000000000000002E-5</v>
      </c>
      <c r="E7" s="8">
        <f t="shared" si="1"/>
        <v>45.767040000000001</v>
      </c>
      <c r="F7" s="1">
        <v>7.3999999999999996E-2</v>
      </c>
      <c r="G7" s="1">
        <v>5.5999999999999995E-4</v>
      </c>
      <c r="J7" s="20"/>
      <c r="K7" s="1">
        <v>230</v>
      </c>
      <c r="L7" s="58">
        <v>2</v>
      </c>
      <c r="M7" s="59">
        <v>2.9</v>
      </c>
      <c r="N7" s="58">
        <f>2/2</f>
        <v>1</v>
      </c>
      <c r="O7" s="59">
        <v>6.7</v>
      </c>
      <c r="P7" s="59">
        <v>15</v>
      </c>
      <c r="Q7" s="58">
        <v>4.9000000000000004</v>
      </c>
      <c r="R7" s="58">
        <v>2</v>
      </c>
      <c r="S7" s="59">
        <v>120</v>
      </c>
      <c r="T7" s="58">
        <v>4.9000000000000004</v>
      </c>
      <c r="U7" s="58">
        <v>4.9000000000000004</v>
      </c>
      <c r="V7" s="58">
        <v>2</v>
      </c>
      <c r="W7" s="58">
        <v>49</v>
      </c>
      <c r="X7" s="21">
        <v>0.1</v>
      </c>
      <c r="Y7" s="1">
        <v>4.5670999999999999</v>
      </c>
      <c r="Z7" s="1">
        <v>4.5438000000000001</v>
      </c>
      <c r="AA7" s="1">
        <f t="shared" ref="AA7:AA8" si="2">Z7-Y7</f>
        <v>-2.3299999999999876E-2</v>
      </c>
      <c r="AB7" s="1">
        <v>-1.125E-2</v>
      </c>
      <c r="AC7" s="1">
        <f t="shared" ref="AC7:AC8" si="3">AA7-AB7</f>
        <v>-1.2049999999999877E-2</v>
      </c>
    </row>
    <row r="8" spans="1:29" x14ac:dyDescent="0.2">
      <c r="B8" s="10">
        <v>41397</v>
      </c>
      <c r="C8" s="30">
        <v>3</v>
      </c>
      <c r="D8" s="1">
        <v>1.9000000000000001E-5</v>
      </c>
      <c r="E8" s="8">
        <f t="shared" si="1"/>
        <v>43.478688000000005</v>
      </c>
      <c r="F8" s="1">
        <v>7.1999999999999995E-2</v>
      </c>
      <c r="G8" s="1">
        <v>5.5000000000000003E-4</v>
      </c>
      <c r="J8" s="20"/>
      <c r="K8" s="1">
        <v>290</v>
      </c>
      <c r="L8" s="58">
        <v>1.9</v>
      </c>
      <c r="M8" s="59">
        <v>2.6</v>
      </c>
      <c r="N8" s="58">
        <f>1.9/2</f>
        <v>0.95</v>
      </c>
      <c r="O8" s="59">
        <v>6.9</v>
      </c>
      <c r="P8" s="59">
        <v>10</v>
      </c>
      <c r="Q8" s="58">
        <v>4.8</v>
      </c>
      <c r="R8" s="58">
        <v>1.9</v>
      </c>
      <c r="S8" s="59">
        <v>110</v>
      </c>
      <c r="T8" s="58">
        <v>4.8</v>
      </c>
      <c r="U8" s="58">
        <v>4.8</v>
      </c>
      <c r="V8" s="58">
        <v>1.9</v>
      </c>
      <c r="W8" s="58">
        <v>48</v>
      </c>
      <c r="X8" s="21">
        <v>0.27</v>
      </c>
      <c r="Y8" s="1">
        <v>4.5578000000000003</v>
      </c>
      <c r="Z8" s="1">
        <v>4.5369000000000002</v>
      </c>
      <c r="AA8" s="1">
        <f t="shared" si="2"/>
        <v>-2.0900000000000141E-2</v>
      </c>
      <c r="AB8" s="1">
        <v>-1.125E-2</v>
      </c>
      <c r="AC8" s="1">
        <f t="shared" si="3"/>
        <v>-9.6500000000001411E-3</v>
      </c>
    </row>
    <row r="9" spans="1:29" ht="17" x14ac:dyDescent="0.2">
      <c r="B9" s="10">
        <v>41398</v>
      </c>
      <c r="C9" s="30" t="s">
        <v>37</v>
      </c>
      <c r="D9" s="1">
        <v>1.9000000000000001E-5</v>
      </c>
      <c r="E9" s="8">
        <f t="shared" si="1"/>
        <v>43.478688000000005</v>
      </c>
      <c r="F9" s="1">
        <v>7.2999999999999995E-2</v>
      </c>
      <c r="G9" s="1">
        <v>5.5000000000000003E-4</v>
      </c>
      <c r="J9" s="22" t="s">
        <v>37</v>
      </c>
      <c r="K9" s="23">
        <f t="shared" ref="K9:AC9" si="4">AVERAGE(K6:K8)</f>
        <v>250</v>
      </c>
      <c r="L9" s="60">
        <v>0</v>
      </c>
      <c r="M9" s="61">
        <f t="shared" si="4"/>
        <v>2.9666666666666668</v>
      </c>
      <c r="N9" s="64">
        <f t="shared" si="4"/>
        <v>1.55</v>
      </c>
      <c r="O9" s="61">
        <f t="shared" si="4"/>
        <v>8.2000000000000011</v>
      </c>
      <c r="P9" s="62">
        <f t="shared" si="4"/>
        <v>15.333333333333334</v>
      </c>
      <c r="Q9" s="60">
        <v>0</v>
      </c>
      <c r="R9" s="60">
        <v>0</v>
      </c>
      <c r="S9" s="62">
        <f t="shared" si="4"/>
        <v>136.66666666666666</v>
      </c>
      <c r="T9" s="60">
        <v>0</v>
      </c>
      <c r="U9" s="60">
        <v>0</v>
      </c>
      <c r="V9" s="60">
        <v>0</v>
      </c>
      <c r="W9" s="60">
        <v>0</v>
      </c>
      <c r="X9" s="24">
        <f t="shared" si="4"/>
        <v>0.20333333333333334</v>
      </c>
      <c r="Y9" s="35">
        <f t="shared" si="4"/>
        <v>4.5516666666666667</v>
      </c>
      <c r="Z9" s="35">
        <f t="shared" si="4"/>
        <v>4.5304000000000002</v>
      </c>
      <c r="AA9" s="35">
        <f t="shared" si="4"/>
        <v>-2.1266666666666545E-2</v>
      </c>
      <c r="AC9" s="35">
        <f t="shared" si="4"/>
        <v>-1.0016666666666545E-2</v>
      </c>
    </row>
    <row r="10" spans="1:29" ht="17" x14ac:dyDescent="0.2">
      <c r="A10" s="1" t="s">
        <v>35</v>
      </c>
      <c r="B10" s="10">
        <v>41399</v>
      </c>
      <c r="C10" s="30">
        <v>1</v>
      </c>
      <c r="D10" s="1">
        <v>8.9999999999999998E-4</v>
      </c>
      <c r="E10" s="8">
        <f t="shared" si="1"/>
        <v>2059.5167999999999</v>
      </c>
      <c r="F10" s="1">
        <v>0.7</v>
      </c>
      <c r="G10" s="1">
        <v>5.0000000000000001E-3</v>
      </c>
      <c r="J10" s="17" t="s">
        <v>35</v>
      </c>
      <c r="K10" s="18">
        <v>330</v>
      </c>
      <c r="L10" s="57">
        <v>8.1</v>
      </c>
      <c r="M10" s="57">
        <v>50</v>
      </c>
      <c r="N10" s="57">
        <v>50</v>
      </c>
      <c r="O10" s="57">
        <v>260</v>
      </c>
      <c r="P10" s="57">
        <v>500</v>
      </c>
      <c r="Q10" s="57">
        <v>8.3000000000000007</v>
      </c>
      <c r="R10" s="57">
        <v>3.1</v>
      </c>
      <c r="S10" s="57">
        <v>5000</v>
      </c>
      <c r="T10" s="56">
        <v>5</v>
      </c>
      <c r="U10" s="56">
        <v>5</v>
      </c>
      <c r="V10" s="56">
        <v>2</v>
      </c>
      <c r="W10" s="56">
        <v>50</v>
      </c>
      <c r="X10" s="19">
        <v>0.9</v>
      </c>
      <c r="Y10" s="1">
        <v>4.5895000000000001</v>
      </c>
      <c r="Z10" s="1">
        <v>4.6824000000000003</v>
      </c>
      <c r="AA10" s="1">
        <f>Z10-Y10</f>
        <v>9.2900000000000205E-2</v>
      </c>
      <c r="AB10" s="1">
        <v>-1.125E-2</v>
      </c>
      <c r="AC10" s="1">
        <f>AA10-AB10</f>
        <v>0.1041500000000002</v>
      </c>
    </row>
    <row r="11" spans="1:29" x14ac:dyDescent="0.2">
      <c r="B11" s="10">
        <v>41400</v>
      </c>
      <c r="C11" s="30">
        <v>2</v>
      </c>
      <c r="D11" s="1">
        <v>5.8E-4</v>
      </c>
      <c r="E11" s="8">
        <f t="shared" si="1"/>
        <v>1327.24416</v>
      </c>
      <c r="F11" s="1">
        <v>0.44</v>
      </c>
      <c r="G11" s="1">
        <v>3.3E-3</v>
      </c>
      <c r="J11" s="20"/>
      <c r="K11" s="1">
        <v>250</v>
      </c>
      <c r="L11" s="59">
        <v>6.6</v>
      </c>
      <c r="M11" s="59">
        <v>28</v>
      </c>
      <c r="N11" s="59">
        <v>28</v>
      </c>
      <c r="O11" s="59">
        <v>190</v>
      </c>
      <c r="P11" s="59">
        <v>290</v>
      </c>
      <c r="Q11" s="58">
        <f>5/2</f>
        <v>2.5</v>
      </c>
      <c r="R11" s="58">
        <f>2/2</f>
        <v>1</v>
      </c>
      <c r="S11" s="59">
        <v>3100</v>
      </c>
      <c r="T11" s="58">
        <v>5</v>
      </c>
      <c r="U11" s="58">
        <v>5</v>
      </c>
      <c r="V11" s="58">
        <v>2</v>
      </c>
      <c r="W11" s="58">
        <v>50</v>
      </c>
      <c r="X11" s="21">
        <v>0.37</v>
      </c>
      <c r="Y11" s="1">
        <v>4.6215000000000002</v>
      </c>
      <c r="Z11" s="1">
        <v>4.6608999999999998</v>
      </c>
      <c r="AA11" s="1">
        <f t="shared" ref="AA11:AA12" si="5">Z11-Y11</f>
        <v>3.9399999999999658E-2</v>
      </c>
      <c r="AB11" s="1">
        <v>-1.125E-2</v>
      </c>
      <c r="AC11" s="1">
        <f t="shared" ref="AC11:AC12" si="6">AA11-AB11</f>
        <v>5.0649999999999654E-2</v>
      </c>
    </row>
    <row r="12" spans="1:29" x14ac:dyDescent="0.2">
      <c r="B12" s="10">
        <v>41401</v>
      </c>
      <c r="C12" s="30">
        <v>3</v>
      </c>
      <c r="D12" s="1">
        <v>2.5000000000000001E-3</v>
      </c>
      <c r="E12" s="8">
        <f t="shared" si="1"/>
        <v>5720.88</v>
      </c>
      <c r="F12" s="1">
        <v>1.9</v>
      </c>
      <c r="G12" s="1">
        <v>1.4E-2</v>
      </c>
      <c r="J12" s="20"/>
      <c r="K12" s="1">
        <v>340</v>
      </c>
      <c r="L12" s="59">
        <v>21</v>
      </c>
      <c r="M12" s="59">
        <v>120</v>
      </c>
      <c r="N12" s="59">
        <v>130</v>
      </c>
      <c r="O12" s="59">
        <v>610</v>
      </c>
      <c r="P12" s="59">
        <v>1100</v>
      </c>
      <c r="Q12" s="59">
        <v>20</v>
      </c>
      <c r="R12" s="59">
        <v>6.3</v>
      </c>
      <c r="S12" s="59">
        <v>12000</v>
      </c>
      <c r="T12" s="63">
        <v>4.9000000000000004</v>
      </c>
      <c r="U12" s="58">
        <v>4.8</v>
      </c>
      <c r="V12" s="58">
        <v>1.9</v>
      </c>
      <c r="W12" s="63">
        <v>50</v>
      </c>
      <c r="X12" s="21">
        <v>2.1</v>
      </c>
      <c r="Y12" s="1">
        <v>4.5359999999999996</v>
      </c>
      <c r="Z12" s="1">
        <v>4.8044000000000002</v>
      </c>
      <c r="AA12" s="1">
        <f t="shared" si="5"/>
        <v>0.26840000000000064</v>
      </c>
      <c r="AB12" s="1">
        <v>-1.125E-2</v>
      </c>
      <c r="AC12" s="1">
        <f t="shared" si="6"/>
        <v>0.27965000000000062</v>
      </c>
    </row>
    <row r="13" spans="1:29" ht="17" x14ac:dyDescent="0.2">
      <c r="B13" s="10">
        <v>41402</v>
      </c>
      <c r="C13" s="30" t="s">
        <v>37</v>
      </c>
      <c r="D13" s="1">
        <v>1.2999999999999999E-3</v>
      </c>
      <c r="E13" s="8">
        <f t="shared" si="1"/>
        <v>2974.8575999999998</v>
      </c>
      <c r="F13" s="1">
        <v>1</v>
      </c>
      <c r="G13" s="1">
        <v>7.4999999999999997E-3</v>
      </c>
      <c r="J13" s="22" t="s">
        <v>37</v>
      </c>
      <c r="K13" s="23">
        <f>AVERAGE(K10:K12)</f>
        <v>306.66666666666669</v>
      </c>
      <c r="L13" s="61">
        <f t="shared" ref="L13:AA13" si="7">AVERAGE(L10:L12)</f>
        <v>11.9</v>
      </c>
      <c r="M13" s="62">
        <f t="shared" si="7"/>
        <v>66</v>
      </c>
      <c r="N13" s="62">
        <f t="shared" si="7"/>
        <v>69.333333333333329</v>
      </c>
      <c r="O13" s="62">
        <f t="shared" si="7"/>
        <v>353.33333333333331</v>
      </c>
      <c r="P13" s="62">
        <f t="shared" si="7"/>
        <v>630</v>
      </c>
      <c r="Q13" s="142">
        <f t="shared" si="7"/>
        <v>10.266666666666667</v>
      </c>
      <c r="R13" s="142">
        <f t="shared" si="7"/>
        <v>3.4666666666666663</v>
      </c>
      <c r="S13" s="62">
        <f t="shared" si="7"/>
        <v>6700</v>
      </c>
      <c r="T13" s="158">
        <f>AVERAGE(T10*0.5,T11*0.5,T12)</f>
        <v>3.3000000000000003</v>
      </c>
      <c r="U13" s="60">
        <v>0</v>
      </c>
      <c r="V13" s="60">
        <v>0</v>
      </c>
      <c r="W13" s="60">
        <f>AVERAGE(W10*0.5,W11*0.5,W12)</f>
        <v>33.333333333333336</v>
      </c>
      <c r="X13" s="24">
        <f t="shared" si="7"/>
        <v>1.1233333333333333</v>
      </c>
      <c r="Y13" s="35">
        <f t="shared" si="7"/>
        <v>4.5823333333333336</v>
      </c>
      <c r="Z13" s="35">
        <f t="shared" si="7"/>
        <v>4.7159000000000004</v>
      </c>
      <c r="AA13" s="35">
        <f t="shared" si="7"/>
        <v>0.13356666666666683</v>
      </c>
      <c r="AB13" s="3"/>
      <c r="AC13" s="35">
        <f t="shared" ref="AC13" si="8">AVERAGE(AC10:AC12)</f>
        <v>0.14481666666666682</v>
      </c>
    </row>
    <row r="14" spans="1:29" ht="17" x14ac:dyDescent="0.2">
      <c r="A14" s="1" t="s">
        <v>36</v>
      </c>
      <c r="B14" s="10">
        <v>41404</v>
      </c>
      <c r="C14" s="30">
        <v>1</v>
      </c>
      <c r="D14" s="1">
        <v>3.6000000000000001E-5</v>
      </c>
      <c r="E14" s="8">
        <f t="shared" si="1"/>
        <v>82.380672000000004</v>
      </c>
      <c r="F14" s="1">
        <v>4.2000000000000003E-2</v>
      </c>
      <c r="G14" s="1">
        <v>3.5E-4</v>
      </c>
      <c r="H14" s="31">
        <v>142000</v>
      </c>
      <c r="I14" s="31">
        <v>137000</v>
      </c>
      <c r="J14" s="17" t="s">
        <v>36</v>
      </c>
      <c r="K14" s="18">
        <v>210</v>
      </c>
      <c r="L14" s="56">
        <v>2</v>
      </c>
      <c r="M14" s="57">
        <v>2.7</v>
      </c>
      <c r="N14" s="56">
        <v>2</v>
      </c>
      <c r="O14" s="57">
        <v>5.9</v>
      </c>
      <c r="P14" s="57">
        <v>15</v>
      </c>
      <c r="Q14" s="56">
        <v>5</v>
      </c>
      <c r="R14" s="56">
        <v>2</v>
      </c>
      <c r="S14" s="57">
        <v>78</v>
      </c>
      <c r="T14" s="56">
        <v>5</v>
      </c>
      <c r="U14" s="56">
        <v>5</v>
      </c>
      <c r="V14" s="56">
        <v>2</v>
      </c>
      <c r="W14" s="56">
        <v>50</v>
      </c>
      <c r="X14" s="19">
        <v>8.8999999999999996E-2</v>
      </c>
      <c r="Y14" s="1">
        <v>4.5734000000000004</v>
      </c>
      <c r="Z14" s="1">
        <v>4.5674999999999999</v>
      </c>
      <c r="AA14" s="1">
        <f>Z14-Y14</f>
        <v>-5.9000000000004604E-3</v>
      </c>
      <c r="AB14" s="1">
        <v>-1.125E-2</v>
      </c>
      <c r="AC14" s="1">
        <f>AA14-AB14</f>
        <v>5.3499999999995392E-3</v>
      </c>
    </row>
    <row r="15" spans="1:29" x14ac:dyDescent="0.2">
      <c r="B15" s="10">
        <v>41405</v>
      </c>
      <c r="C15" s="30">
        <v>2</v>
      </c>
      <c r="D15" s="1">
        <v>1.7E-5</v>
      </c>
      <c r="E15" s="8">
        <f t="shared" si="1"/>
        <v>38.901983999999999</v>
      </c>
      <c r="F15" s="1">
        <v>2.1000000000000001E-2</v>
      </c>
      <c r="G15" s="1">
        <v>1.6000000000000001E-4</v>
      </c>
      <c r="H15" s="31">
        <v>150000</v>
      </c>
      <c r="I15" s="31">
        <v>143000</v>
      </c>
      <c r="J15" s="20"/>
      <c r="K15" s="1">
        <v>200</v>
      </c>
      <c r="L15" s="58">
        <v>2</v>
      </c>
      <c r="M15" s="59">
        <v>2.4</v>
      </c>
      <c r="N15" s="58">
        <v>2</v>
      </c>
      <c r="O15" s="59">
        <v>9.1</v>
      </c>
      <c r="P15" s="59">
        <v>14</v>
      </c>
      <c r="Q15" s="58">
        <v>4.9000000000000004</v>
      </c>
      <c r="R15" s="58">
        <v>2</v>
      </c>
      <c r="S15" s="59">
        <v>110</v>
      </c>
      <c r="T15" s="58">
        <v>4.9000000000000004</v>
      </c>
      <c r="U15" s="58">
        <v>4.9000000000000004</v>
      </c>
      <c r="V15" s="58">
        <v>2</v>
      </c>
      <c r="W15" s="58">
        <v>49</v>
      </c>
      <c r="X15" s="67">
        <f>0.097/2</f>
        <v>4.8500000000000001E-2</v>
      </c>
      <c r="Y15" s="1">
        <v>4.5464000000000002</v>
      </c>
      <c r="Z15" s="1">
        <v>4.5368000000000004</v>
      </c>
      <c r="AA15" s="1">
        <f t="shared" ref="AA15:AA16" si="9">Z15-Y15</f>
        <v>-9.5999999999998309E-3</v>
      </c>
      <c r="AB15" s="1">
        <v>-1.125E-2</v>
      </c>
      <c r="AC15" s="1">
        <f t="shared" ref="AC15:AC16" si="10">AA15-AB15</f>
        <v>1.6500000000001687E-3</v>
      </c>
    </row>
    <row r="16" spans="1:29" x14ac:dyDescent="0.2">
      <c r="B16" s="10">
        <v>41406</v>
      </c>
      <c r="C16" s="30">
        <v>3</v>
      </c>
      <c r="D16" s="1">
        <v>2.5999999999999998E-5</v>
      </c>
      <c r="E16" s="8">
        <f t="shared" si="1"/>
        <v>59.497152</v>
      </c>
      <c r="F16" s="1">
        <v>3.2000000000000001E-2</v>
      </c>
      <c r="G16" s="1">
        <v>2.5000000000000001E-4</v>
      </c>
      <c r="H16" s="31">
        <v>149000</v>
      </c>
      <c r="I16" s="31">
        <v>142000</v>
      </c>
      <c r="J16" s="20"/>
      <c r="K16" s="1">
        <v>180</v>
      </c>
      <c r="L16" s="58">
        <v>2</v>
      </c>
      <c r="M16" s="59">
        <v>2.2999999999999998</v>
      </c>
      <c r="N16" s="58">
        <v>2</v>
      </c>
      <c r="O16" s="59">
        <v>11</v>
      </c>
      <c r="P16" s="59">
        <v>14</v>
      </c>
      <c r="Q16" s="58">
        <v>4.9000000000000004</v>
      </c>
      <c r="R16" s="58">
        <v>2</v>
      </c>
      <c r="S16" s="59">
        <v>130</v>
      </c>
      <c r="T16" s="58">
        <v>4.9000000000000004</v>
      </c>
      <c r="U16" s="58">
        <v>4.9000000000000004</v>
      </c>
      <c r="V16" s="58">
        <v>2</v>
      </c>
      <c r="W16" s="58">
        <v>49</v>
      </c>
      <c r="X16" s="21">
        <v>8.5999999999999993E-2</v>
      </c>
      <c r="Y16" s="1">
        <v>4.5568999999999997</v>
      </c>
      <c r="Z16" s="1">
        <v>4.5491999999999999</v>
      </c>
      <c r="AA16" s="1">
        <f t="shared" si="9"/>
        <v>-7.6999999999998181E-3</v>
      </c>
      <c r="AB16" s="1">
        <v>-1.125E-2</v>
      </c>
      <c r="AC16" s="1">
        <f t="shared" si="10"/>
        <v>3.5500000000001815E-3</v>
      </c>
    </row>
    <row r="17" spans="2:29" ht="17" x14ac:dyDescent="0.2">
      <c r="B17" s="10">
        <v>41407</v>
      </c>
      <c r="C17" s="30" t="s">
        <v>37</v>
      </c>
      <c r="D17" s="5">
        <v>2.5999999999999998E-5</v>
      </c>
      <c r="E17" s="6">
        <f t="shared" si="1"/>
        <v>59.497152</v>
      </c>
      <c r="F17" s="5">
        <v>3.2000000000000001E-2</v>
      </c>
      <c r="G17" s="5">
        <v>2.5999999999999998E-4</v>
      </c>
      <c r="H17" s="32">
        <v>147000</v>
      </c>
      <c r="I17" s="32">
        <v>141000</v>
      </c>
      <c r="J17" s="22" t="s">
        <v>37</v>
      </c>
      <c r="K17" s="23">
        <f t="shared" ref="K17:AA17" si="11">AVERAGE(K14:K16)</f>
        <v>196.66666666666666</v>
      </c>
      <c r="L17" s="60">
        <v>0</v>
      </c>
      <c r="M17" s="61">
        <f t="shared" si="11"/>
        <v>2.4666666666666663</v>
      </c>
      <c r="N17" s="60">
        <v>0</v>
      </c>
      <c r="O17" s="61">
        <f t="shared" si="11"/>
        <v>8.6666666666666661</v>
      </c>
      <c r="P17" s="61">
        <f t="shared" si="11"/>
        <v>14.333333333333334</v>
      </c>
      <c r="Q17" s="60">
        <v>0</v>
      </c>
      <c r="R17" s="60">
        <v>0</v>
      </c>
      <c r="S17" s="62">
        <f t="shared" si="11"/>
        <v>106</v>
      </c>
      <c r="T17" s="60">
        <v>0</v>
      </c>
      <c r="U17" s="60">
        <v>0</v>
      </c>
      <c r="V17" s="60">
        <v>0</v>
      </c>
      <c r="W17" s="60">
        <v>0</v>
      </c>
      <c r="X17" s="143">
        <f t="shared" si="11"/>
        <v>7.4499999999999997E-2</v>
      </c>
      <c r="Y17" s="35">
        <f t="shared" si="11"/>
        <v>4.5589000000000004</v>
      </c>
      <c r="Z17" s="35">
        <f t="shared" si="11"/>
        <v>4.551166666666667</v>
      </c>
      <c r="AA17" s="35">
        <f t="shared" si="11"/>
        <v>-7.7333333333333698E-3</v>
      </c>
      <c r="AB17" s="3"/>
      <c r="AC17" s="35">
        <f t="shared" ref="AC17" si="12">AVERAGE(AC14:AC16)</f>
        <v>3.5166666666666298E-3</v>
      </c>
    </row>
    <row r="19" spans="2:29" ht="17" x14ac:dyDescent="0.2">
      <c r="K19" s="52"/>
      <c r="L19" s="53" t="s">
        <v>78</v>
      </c>
    </row>
    <row r="20" spans="2:29" x14ac:dyDescent="0.2">
      <c r="K20" s="54"/>
      <c r="L20" t="s">
        <v>79</v>
      </c>
    </row>
    <row r="21" spans="2:29" x14ac:dyDescent="0.2">
      <c r="K21" s="55"/>
      <c r="L21" t="s">
        <v>240</v>
      </c>
    </row>
    <row r="22" spans="2:29" x14ac:dyDescent="0.2">
      <c r="B22" s="9"/>
      <c r="C22" s="30"/>
      <c r="E22" s="8"/>
      <c r="G22" s="7"/>
      <c r="H22" s="31"/>
      <c r="I22" s="31"/>
      <c r="L22"/>
    </row>
    <row r="23" spans="2:29" ht="19" x14ac:dyDescent="0.25">
      <c r="C23" s="30">
        <v>2</v>
      </c>
      <c r="D23" s="1">
        <v>4.7000000000000002E-3</v>
      </c>
      <c r="E23" s="8">
        <f>D23*2288352</f>
        <v>10755.2544</v>
      </c>
      <c r="F23" s="1">
        <v>3.2</v>
      </c>
      <c r="G23" s="7">
        <f>F23/90</f>
        <v>3.5555555555555556E-2</v>
      </c>
      <c r="H23" s="31">
        <v>88600</v>
      </c>
      <c r="I23" s="31">
        <v>78600</v>
      </c>
      <c r="N23" s="1" t="s">
        <v>50</v>
      </c>
      <c r="S23" s="50"/>
    </row>
    <row r="24" spans="2:29" ht="19" x14ac:dyDescent="0.25">
      <c r="C24" s="30">
        <v>3</v>
      </c>
      <c r="D24" s="1">
        <v>3.3999999999999998E-3</v>
      </c>
      <c r="E24" s="8">
        <f>D24*2288352</f>
        <v>7780.3967999999995</v>
      </c>
      <c r="F24" s="1">
        <v>2.2000000000000002</v>
      </c>
      <c r="G24" s="7">
        <f>F24/101</f>
        <v>2.1782178217821784E-2</v>
      </c>
      <c r="H24" s="31">
        <v>86000</v>
      </c>
      <c r="I24" s="31">
        <v>76400</v>
      </c>
      <c r="S24" s="49"/>
    </row>
    <row r="25" spans="2:29" ht="17" x14ac:dyDescent="0.2">
      <c r="C25" s="30" t="s">
        <v>37</v>
      </c>
      <c r="D25" s="5">
        <v>4.1000000000000003E-3</v>
      </c>
      <c r="E25" s="6">
        <f>D25*2288352</f>
        <v>9382.2432000000008</v>
      </c>
      <c r="F25" s="5">
        <v>2.7</v>
      </c>
      <c r="G25" s="4">
        <f>AVERAGE(G22:G24)</f>
        <v>2.8668866886688668E-2</v>
      </c>
      <c r="H25" s="32">
        <v>86300</v>
      </c>
      <c r="I25" s="32">
        <v>77100</v>
      </c>
    </row>
    <row r="27" spans="2:29" x14ac:dyDescent="0.2">
      <c r="F27" s="7" t="e">
        <f>F25/#REF!</f>
        <v>#REF!</v>
      </c>
    </row>
  </sheetData>
  <sheetProtection algorithmName="SHA-512" hashValue="3NdvpbtgDzWTd1juvcu+axVQVdyOVmPYbg1G/01fdCVEs5Uhixbu8bQ1pDfdp9VCIuNbZtNzhs8baSfCabEMtQ==" saltValue="LFpsOCO7nzp3FPVOof4kKQ==" spinCount="100000" sheet="1" objects="1" scenarios="1"/>
  <mergeCells count="1">
    <mergeCell ref="K4:X4"/>
  </mergeCells>
  <pageMargins left="0.7" right="0.7" top="0.75" bottom="0.75" header="0.3" footer="0.3"/>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00B0F0"/>
  </sheetPr>
  <dimension ref="A1:U135"/>
  <sheetViews>
    <sheetView workbookViewId="0">
      <selection sqref="A1:M1"/>
    </sheetView>
  </sheetViews>
  <sheetFormatPr baseColWidth="10" defaultColWidth="8.83203125" defaultRowHeight="15" x14ac:dyDescent="0.2"/>
  <cols>
    <col min="1" max="3" width="14.1640625" style="68" customWidth="1"/>
    <col min="4" max="4" width="3.33203125" style="68" customWidth="1"/>
    <col min="5" max="5" width="8.83203125" style="68"/>
    <col min="6" max="6" width="3.33203125" style="68" customWidth="1"/>
    <col min="7" max="7" width="8.83203125" style="68"/>
    <col min="8" max="8" width="3.33203125" style="68" customWidth="1"/>
    <col min="9" max="9" width="8.83203125" style="68"/>
    <col min="10" max="10" width="3.33203125" style="68" customWidth="1"/>
    <col min="11" max="11" width="8.83203125" style="68"/>
    <col min="12" max="12" width="3.33203125" style="68" customWidth="1"/>
    <col min="13" max="16384" width="8.83203125" style="68"/>
  </cols>
  <sheetData>
    <row r="1" spans="1:16" ht="19" x14ac:dyDescent="0.25">
      <c r="A1" s="567" t="s">
        <v>318</v>
      </c>
      <c r="B1" s="567"/>
      <c r="C1" s="567"/>
      <c r="D1" s="567"/>
      <c r="E1" s="567"/>
      <c r="F1" s="567"/>
      <c r="G1" s="567"/>
      <c r="H1" s="567"/>
      <c r="I1" s="567"/>
      <c r="J1" s="567"/>
      <c r="K1" s="567"/>
      <c r="L1" s="567"/>
      <c r="M1" s="567"/>
      <c r="O1" s="50" t="s">
        <v>314</v>
      </c>
    </row>
    <row r="2" spans="1:16" ht="15" customHeight="1" x14ac:dyDescent="0.25">
      <c r="A2" s="69" t="s">
        <v>112</v>
      </c>
      <c r="B2" s="568" t="s">
        <v>0</v>
      </c>
      <c r="C2" s="568"/>
      <c r="D2" s="568"/>
      <c r="E2" s="568"/>
      <c r="F2" s="70"/>
      <c r="G2" s="71"/>
      <c r="H2" s="71"/>
      <c r="I2" s="71"/>
      <c r="J2" s="71"/>
      <c r="K2" s="71"/>
      <c r="L2" s="71"/>
      <c r="M2" s="71"/>
      <c r="O2" s="150" t="s">
        <v>319</v>
      </c>
      <c r="P2" s="49"/>
    </row>
    <row r="3" spans="1:16" ht="15" customHeight="1" x14ac:dyDescent="0.2">
      <c r="A3" s="69" t="s">
        <v>113</v>
      </c>
      <c r="B3" s="568" t="s">
        <v>114</v>
      </c>
      <c r="C3" s="568"/>
      <c r="D3" s="568"/>
      <c r="E3" s="568"/>
      <c r="F3" s="70"/>
      <c r="G3" s="71"/>
      <c r="H3" s="71"/>
      <c r="I3" s="71"/>
      <c r="J3" s="71"/>
      <c r="K3" s="71"/>
      <c r="L3" s="71"/>
      <c r="M3" s="71"/>
    </row>
    <row r="4" spans="1:16" ht="15" customHeight="1" x14ac:dyDescent="0.2">
      <c r="A4" s="69" t="s">
        <v>115</v>
      </c>
      <c r="B4" s="568" t="s">
        <v>4</v>
      </c>
      <c r="C4" s="568"/>
      <c r="D4" s="568"/>
      <c r="E4" s="568"/>
      <c r="F4" s="70"/>
      <c r="G4" s="71"/>
      <c r="H4" s="71"/>
      <c r="I4" s="71"/>
      <c r="J4" s="71"/>
      <c r="K4" s="71"/>
      <c r="L4" s="71"/>
      <c r="M4" s="71"/>
    </row>
    <row r="5" spans="1:16" ht="15" customHeight="1" x14ac:dyDescent="0.2">
      <c r="A5" s="72" t="s">
        <v>116</v>
      </c>
      <c r="B5" s="569" t="s">
        <v>117</v>
      </c>
      <c r="C5" s="569"/>
      <c r="D5" s="569"/>
      <c r="E5" s="569"/>
      <c r="F5" s="73"/>
      <c r="G5" s="71"/>
      <c r="H5" s="71"/>
      <c r="I5" s="71"/>
      <c r="J5" s="71"/>
      <c r="K5" s="71"/>
      <c r="L5" s="71"/>
      <c r="M5" s="71"/>
    </row>
    <row r="6" spans="1:16" x14ac:dyDescent="0.2">
      <c r="A6" s="74"/>
      <c r="B6" s="75"/>
      <c r="C6" s="74"/>
      <c r="D6" s="74"/>
      <c r="E6" s="74"/>
      <c r="F6" s="74"/>
      <c r="G6" s="71"/>
      <c r="H6" s="71"/>
      <c r="I6" s="71"/>
      <c r="J6" s="71"/>
      <c r="K6" s="71"/>
      <c r="L6" s="71"/>
      <c r="M6" s="71"/>
    </row>
    <row r="7" spans="1:16" ht="15" customHeight="1" x14ac:dyDescent="0.2">
      <c r="A7" s="570" t="s">
        <v>118</v>
      </c>
      <c r="B7" s="570"/>
      <c r="C7" s="570"/>
      <c r="D7" s="76"/>
      <c r="E7" s="571" t="s">
        <v>119</v>
      </c>
      <c r="F7" s="571"/>
      <c r="G7" s="571"/>
      <c r="H7" s="571"/>
      <c r="I7" s="571"/>
      <c r="J7" s="571"/>
      <c r="K7" s="571"/>
      <c r="L7" s="571"/>
      <c r="M7" s="571"/>
    </row>
    <row r="8" spans="1:16" x14ac:dyDescent="0.2">
      <c r="A8" s="563" t="s">
        <v>39</v>
      </c>
      <c r="B8" s="563"/>
      <c r="C8" s="563"/>
      <c r="D8" s="77"/>
      <c r="E8" s="78">
        <v>43684</v>
      </c>
      <c r="F8" s="78"/>
      <c r="G8" s="78">
        <v>43684</v>
      </c>
      <c r="H8" s="78"/>
      <c r="I8" s="78">
        <v>43684</v>
      </c>
      <c r="J8" s="78"/>
      <c r="K8" s="78">
        <v>43685</v>
      </c>
      <c r="L8" s="78"/>
      <c r="M8" s="71"/>
    </row>
    <row r="9" spans="1:16" ht="15" customHeight="1" x14ac:dyDescent="0.2">
      <c r="A9" s="563" t="s">
        <v>120</v>
      </c>
      <c r="B9" s="563"/>
      <c r="C9" s="563"/>
      <c r="D9" s="77"/>
      <c r="E9" s="79">
        <v>0.42152777777777778</v>
      </c>
      <c r="F9" s="79"/>
      <c r="G9" s="79">
        <v>0.51874999999999993</v>
      </c>
      <c r="H9" s="79"/>
      <c r="I9" s="79">
        <v>0.62847222222222221</v>
      </c>
      <c r="J9" s="79"/>
      <c r="K9" s="79">
        <v>0.37152777777777773</v>
      </c>
      <c r="L9" s="79"/>
      <c r="M9" s="71"/>
    </row>
    <row r="10" spans="1:16" ht="15" customHeight="1" x14ac:dyDescent="0.2">
      <c r="A10" s="563" t="s">
        <v>121</v>
      </c>
      <c r="B10" s="563"/>
      <c r="C10" s="563"/>
      <c r="D10" s="77"/>
      <c r="E10" s="79">
        <v>0.46319444444444402</v>
      </c>
      <c r="F10" s="79"/>
      <c r="G10" s="79">
        <v>0.54652777777777795</v>
      </c>
      <c r="H10" s="79"/>
      <c r="I10" s="79">
        <v>0.67013888888888895</v>
      </c>
      <c r="J10" s="79"/>
      <c r="K10" s="79">
        <v>0.41319444444444497</v>
      </c>
      <c r="L10" s="79"/>
      <c r="M10" s="71"/>
    </row>
    <row r="11" spans="1:16" x14ac:dyDescent="0.2">
      <c r="A11" s="77"/>
      <c r="B11" s="77"/>
      <c r="C11" s="77"/>
      <c r="D11" s="77"/>
      <c r="E11" s="80" t="s">
        <v>122</v>
      </c>
      <c r="F11" s="80"/>
      <c r="G11" s="80" t="s">
        <v>123</v>
      </c>
      <c r="H11" s="80"/>
      <c r="I11" s="80" t="s">
        <v>124</v>
      </c>
      <c r="J11" s="80"/>
      <c r="K11" s="80" t="s">
        <v>125</v>
      </c>
      <c r="L11" s="80"/>
      <c r="M11" s="80" t="s">
        <v>72</v>
      </c>
    </row>
    <row r="12" spans="1:16" ht="15" customHeight="1" x14ac:dyDescent="0.2">
      <c r="A12" s="564" t="s">
        <v>126</v>
      </c>
      <c r="B12" s="565"/>
      <c r="C12" s="565"/>
      <c r="D12" s="565"/>
      <c r="E12" s="565"/>
      <c r="F12" s="565"/>
      <c r="G12" s="565"/>
      <c r="H12" s="565"/>
      <c r="I12" s="565"/>
      <c r="J12" s="565"/>
      <c r="K12" s="565"/>
      <c r="L12" s="565"/>
      <c r="M12" s="566"/>
    </row>
    <row r="13" spans="1:16" ht="15" customHeight="1" x14ac:dyDescent="0.2">
      <c r="A13" s="562" t="s">
        <v>127</v>
      </c>
      <c r="B13" s="562"/>
      <c r="C13" s="562"/>
      <c r="D13" s="77"/>
      <c r="E13" s="81">
        <v>114</v>
      </c>
      <c r="F13" s="81"/>
      <c r="G13" s="81">
        <v>117</v>
      </c>
      <c r="H13" s="81"/>
      <c r="I13" s="81">
        <v>136</v>
      </c>
      <c r="J13" s="81"/>
      <c r="K13" s="81">
        <v>140</v>
      </c>
      <c r="L13" s="81"/>
      <c r="M13" s="82">
        <v>126.75</v>
      </c>
    </row>
    <row r="14" spans="1:16" ht="15" customHeight="1" x14ac:dyDescent="0.2">
      <c r="A14" s="563" t="s">
        <v>128</v>
      </c>
      <c r="B14" s="563"/>
      <c r="C14" s="563"/>
      <c r="D14" s="77"/>
      <c r="E14" s="83">
        <v>1.4E-2</v>
      </c>
      <c r="F14" s="84"/>
      <c r="G14" s="83">
        <v>1.4E-2</v>
      </c>
      <c r="H14" s="83"/>
      <c r="I14" s="83">
        <v>1.4E-2</v>
      </c>
      <c r="J14" s="83"/>
      <c r="K14" s="83">
        <v>1.4E-2</v>
      </c>
      <c r="L14" s="84"/>
      <c r="M14" s="85">
        <v>1.4E-2</v>
      </c>
    </row>
    <row r="15" spans="1:16" ht="15" customHeight="1" x14ac:dyDescent="0.2">
      <c r="A15" s="563" t="s">
        <v>129</v>
      </c>
      <c r="B15" s="563"/>
      <c r="C15" s="563"/>
      <c r="D15" s="77"/>
      <c r="E15" s="86">
        <v>29.83</v>
      </c>
      <c r="F15" s="86"/>
      <c r="G15" s="86">
        <v>29.83</v>
      </c>
      <c r="H15" s="86"/>
      <c r="I15" s="86">
        <v>29.83</v>
      </c>
      <c r="J15" s="86"/>
      <c r="K15" s="86">
        <v>29.83</v>
      </c>
      <c r="L15" s="86"/>
      <c r="M15" s="87">
        <v>29.83</v>
      </c>
    </row>
    <row r="16" spans="1:16" ht="15" customHeight="1" x14ac:dyDescent="0.2">
      <c r="A16" s="563" t="s">
        <v>130</v>
      </c>
      <c r="B16" s="563"/>
      <c r="C16" s="563"/>
      <c r="D16" s="77"/>
      <c r="E16" s="88">
        <v>1265.7639999999999</v>
      </c>
      <c r="F16" s="88"/>
      <c r="G16" s="88">
        <v>949.32399999999996</v>
      </c>
      <c r="H16" s="88"/>
      <c r="I16" s="88">
        <v>662.19399999999996</v>
      </c>
      <c r="J16" s="88"/>
      <c r="K16" s="88">
        <v>712.54100000000005</v>
      </c>
      <c r="L16" s="88"/>
      <c r="M16" s="89">
        <v>897.45574999999997</v>
      </c>
    </row>
    <row r="17" spans="1:13" ht="15" customHeight="1" x14ac:dyDescent="0.2">
      <c r="A17" s="563" t="s">
        <v>131</v>
      </c>
      <c r="B17" s="563"/>
      <c r="C17" s="563"/>
      <c r="D17" s="77"/>
      <c r="E17" s="90">
        <v>9.3949999999999996</v>
      </c>
      <c r="F17" s="90"/>
      <c r="G17" s="90">
        <v>10.413</v>
      </c>
      <c r="H17" s="90"/>
      <c r="I17" s="90">
        <v>11.281000000000001</v>
      </c>
      <c r="J17" s="90"/>
      <c r="K17" s="90">
        <v>11.09</v>
      </c>
      <c r="L17" s="90"/>
      <c r="M17" s="89">
        <v>10.544750000000001</v>
      </c>
    </row>
    <row r="18" spans="1:13" ht="15" customHeight="1" x14ac:dyDescent="0.2">
      <c r="A18" s="563" t="s">
        <v>132</v>
      </c>
      <c r="B18" s="563"/>
      <c r="C18" s="563"/>
      <c r="D18" s="77"/>
      <c r="E18" s="91">
        <v>84587</v>
      </c>
      <c r="F18" s="91"/>
      <c r="G18" s="91">
        <v>93757</v>
      </c>
      <c r="H18" s="91"/>
      <c r="I18" s="91">
        <v>101574</v>
      </c>
      <c r="J18" s="91"/>
      <c r="K18" s="91">
        <v>99849</v>
      </c>
      <c r="L18" s="91"/>
      <c r="M18" s="92">
        <v>94941.75</v>
      </c>
    </row>
    <row r="19" spans="1:13" ht="15" customHeight="1" x14ac:dyDescent="0.2">
      <c r="A19" s="563" t="s">
        <v>133</v>
      </c>
      <c r="B19" s="563"/>
      <c r="C19" s="563"/>
      <c r="D19" s="77"/>
      <c r="E19" s="91">
        <v>76464</v>
      </c>
      <c r="F19" s="91"/>
      <c r="G19" s="91">
        <v>84323</v>
      </c>
      <c r="H19" s="91"/>
      <c r="I19" s="91">
        <v>88456</v>
      </c>
      <c r="J19" s="91"/>
      <c r="K19" s="91">
        <v>86403</v>
      </c>
      <c r="L19" s="91"/>
      <c r="M19" s="92">
        <v>83911.5</v>
      </c>
    </row>
    <row r="20" spans="1:13" ht="15" customHeight="1" x14ac:dyDescent="0.2">
      <c r="A20" s="563" t="s">
        <v>134</v>
      </c>
      <c r="B20" s="563"/>
      <c r="C20" s="563"/>
      <c r="D20" s="77"/>
      <c r="E20" s="91">
        <v>77574</v>
      </c>
      <c r="F20" s="91"/>
      <c r="G20" s="91">
        <v>85536</v>
      </c>
      <c r="H20" s="91"/>
      <c r="I20" s="91">
        <v>89714</v>
      </c>
      <c r="J20" s="91"/>
      <c r="K20" s="91">
        <v>87602</v>
      </c>
      <c r="L20" s="91"/>
      <c r="M20" s="92">
        <v>85106.5</v>
      </c>
    </row>
    <row r="21" spans="1:13" ht="15" customHeight="1" x14ac:dyDescent="0.2">
      <c r="A21" s="563" t="s">
        <v>135</v>
      </c>
      <c r="B21" s="563"/>
      <c r="C21" s="563"/>
      <c r="D21" s="77"/>
      <c r="E21" s="81">
        <v>0</v>
      </c>
      <c r="F21" s="81"/>
      <c r="G21" s="81">
        <v>0</v>
      </c>
      <c r="H21" s="81"/>
      <c r="I21" s="81">
        <v>0</v>
      </c>
      <c r="J21" s="81"/>
      <c r="K21" s="81">
        <v>0</v>
      </c>
      <c r="L21" s="81"/>
      <c r="M21" s="82">
        <v>0</v>
      </c>
    </row>
    <row r="22" spans="1:13" ht="15" customHeight="1" x14ac:dyDescent="0.2">
      <c r="A22" s="563" t="s">
        <v>136</v>
      </c>
      <c r="B22" s="563"/>
      <c r="C22" s="563"/>
      <c r="D22" s="77"/>
      <c r="E22" s="81">
        <v>20.9</v>
      </c>
      <c r="F22" s="81"/>
      <c r="G22" s="81">
        <v>20.9</v>
      </c>
      <c r="H22" s="81"/>
      <c r="I22" s="81">
        <v>20.9</v>
      </c>
      <c r="J22" s="81"/>
      <c r="K22" s="81">
        <v>20.9</v>
      </c>
      <c r="L22" s="81"/>
      <c r="M22" s="82">
        <v>20.9</v>
      </c>
    </row>
    <row r="23" spans="1:13" ht="15" customHeight="1" x14ac:dyDescent="0.2">
      <c r="A23" s="563" t="s">
        <v>137</v>
      </c>
      <c r="B23" s="563"/>
      <c r="C23" s="563"/>
      <c r="D23" s="77"/>
      <c r="E23" s="81">
        <v>89.8</v>
      </c>
      <c r="F23" s="81"/>
      <c r="G23" s="81">
        <v>91.6</v>
      </c>
      <c r="H23" s="81"/>
      <c r="I23" s="81">
        <v>85.9</v>
      </c>
      <c r="J23" s="81"/>
      <c r="K23" s="81">
        <v>94.6</v>
      </c>
      <c r="L23" s="81"/>
      <c r="M23" s="82">
        <v>90.474999999999994</v>
      </c>
    </row>
    <row r="24" spans="1:13" ht="15" customHeight="1" x14ac:dyDescent="0.2">
      <c r="A24" s="563" t="s">
        <v>138</v>
      </c>
      <c r="B24" s="563"/>
      <c r="C24" s="563"/>
      <c r="D24" s="77"/>
      <c r="E24" s="93">
        <v>89</v>
      </c>
      <c r="F24" s="93"/>
      <c r="G24" s="93">
        <v>121</v>
      </c>
      <c r="H24" s="93"/>
      <c r="I24" s="93">
        <v>120</v>
      </c>
      <c r="J24" s="93"/>
      <c r="K24" s="93">
        <v>140</v>
      </c>
      <c r="L24" s="93"/>
      <c r="M24" s="82">
        <v>117.5</v>
      </c>
    </row>
    <row r="25" spans="1:13" ht="15" hidden="1" customHeight="1" x14ac:dyDescent="0.2">
      <c r="A25" s="552" t="s">
        <v>139</v>
      </c>
      <c r="B25" s="552" t="s">
        <v>140</v>
      </c>
      <c r="C25" s="552" t="s">
        <v>140</v>
      </c>
      <c r="D25" s="77"/>
      <c r="E25" s="94" t="s">
        <v>71</v>
      </c>
      <c r="F25" s="81"/>
      <c r="G25" s="94" t="s">
        <v>71</v>
      </c>
      <c r="H25" s="94"/>
      <c r="I25" s="94"/>
      <c r="J25" s="94"/>
      <c r="K25" s="94"/>
      <c r="L25" s="81"/>
      <c r="M25" s="95">
        <v>0</v>
      </c>
    </row>
    <row r="26" spans="1:13" ht="15" hidden="1" customHeight="1" x14ac:dyDescent="0.2">
      <c r="A26" s="564" t="s">
        <v>141</v>
      </c>
      <c r="B26" s="565"/>
      <c r="C26" s="565"/>
      <c r="D26" s="565"/>
      <c r="E26" s="565"/>
      <c r="F26" s="565"/>
      <c r="G26" s="565"/>
      <c r="H26" s="565"/>
      <c r="I26" s="565"/>
      <c r="J26" s="565"/>
      <c r="K26" s="565"/>
      <c r="L26" s="565"/>
      <c r="M26" s="566"/>
    </row>
    <row r="27" spans="1:13" ht="15" hidden="1" customHeight="1" x14ac:dyDescent="0.2">
      <c r="A27" s="562" t="s">
        <v>142</v>
      </c>
      <c r="B27" s="562"/>
      <c r="C27" s="562"/>
      <c r="D27" s="96"/>
      <c r="E27" s="97">
        <v>791.14999999999986</v>
      </c>
      <c r="F27" s="96"/>
      <c r="G27" s="98">
        <v>923.36</v>
      </c>
      <c r="H27" s="87"/>
      <c r="I27" s="87"/>
      <c r="J27" s="87"/>
      <c r="K27" s="87"/>
      <c r="L27" s="96"/>
      <c r="M27" s="97">
        <v>857.25499999999988</v>
      </c>
    </row>
    <row r="28" spans="1:13" hidden="1" x14ac:dyDescent="0.2">
      <c r="A28" s="563" t="s">
        <v>58</v>
      </c>
      <c r="B28" s="563"/>
      <c r="C28" s="563"/>
      <c r="D28" s="96"/>
      <c r="E28" s="99">
        <v>6.3E-3</v>
      </c>
      <c r="F28" s="96"/>
      <c r="G28" s="99">
        <v>1.0800000000000001E-2</v>
      </c>
      <c r="H28" s="99"/>
      <c r="I28" s="99"/>
      <c r="J28" s="99"/>
      <c r="K28" s="99"/>
      <c r="L28" s="96"/>
      <c r="M28" s="100">
        <v>8.5500000000000003E-3</v>
      </c>
    </row>
    <row r="29" spans="1:13" hidden="1" x14ac:dyDescent="0.2">
      <c r="A29" s="563" t="s">
        <v>143</v>
      </c>
      <c r="B29" s="563"/>
      <c r="C29" s="563"/>
      <c r="D29" s="101"/>
      <c r="E29" s="102">
        <v>7.1029999999999996E-2</v>
      </c>
      <c r="F29" s="81"/>
      <c r="G29" s="102">
        <v>8.9660000000000004E-2</v>
      </c>
      <c r="H29" s="102"/>
      <c r="I29" s="102"/>
      <c r="J29" s="102"/>
      <c r="K29" s="102"/>
      <c r="L29" s="93"/>
      <c r="M29" s="103">
        <v>8.0345E-2</v>
      </c>
    </row>
    <row r="30" spans="1:13" ht="15" hidden="1" customHeight="1" x14ac:dyDescent="0.2">
      <c r="A30" s="552" t="s">
        <v>144</v>
      </c>
      <c r="B30" s="552"/>
      <c r="C30" s="552"/>
      <c r="D30" s="101"/>
      <c r="E30" s="104" t="e">
        <v>#DIV/0!</v>
      </c>
      <c r="F30" s="81"/>
      <c r="G30" s="104" t="e">
        <v>#VALUE!</v>
      </c>
      <c r="H30" s="104"/>
      <c r="I30" s="104"/>
      <c r="J30" s="104"/>
      <c r="K30" s="104"/>
      <c r="L30" s="93"/>
      <c r="M30" s="100" t="e">
        <v>#DIV/0!</v>
      </c>
    </row>
    <row r="31" spans="1:13" x14ac:dyDescent="0.2">
      <c r="A31" s="558" t="s">
        <v>145</v>
      </c>
      <c r="B31" s="559"/>
      <c r="C31" s="559"/>
      <c r="D31" s="559"/>
      <c r="E31" s="559"/>
      <c r="F31" s="559"/>
      <c r="G31" s="559"/>
      <c r="H31" s="559"/>
      <c r="I31" s="559"/>
      <c r="J31" s="559"/>
      <c r="K31" s="559"/>
      <c r="L31" s="559"/>
      <c r="M31" s="560"/>
    </row>
    <row r="32" spans="1:13" x14ac:dyDescent="0.2">
      <c r="A32" s="561" t="s">
        <v>142</v>
      </c>
      <c r="B32" s="561"/>
      <c r="C32" s="561"/>
      <c r="D32" s="105" t="s">
        <v>71</v>
      </c>
      <c r="E32" s="87">
        <v>239</v>
      </c>
      <c r="F32" s="105" t="s">
        <v>71</v>
      </c>
      <c r="G32" s="87">
        <v>223</v>
      </c>
      <c r="H32" s="105" t="s">
        <v>146</v>
      </c>
      <c r="I32" s="87">
        <v>60</v>
      </c>
      <c r="J32" s="105" t="s">
        <v>146</v>
      </c>
      <c r="K32" s="106">
        <v>140</v>
      </c>
      <c r="L32" s="105" t="s">
        <v>146</v>
      </c>
      <c r="M32" s="87">
        <v>165.5</v>
      </c>
    </row>
    <row r="33" spans="1:13" x14ac:dyDescent="0.2">
      <c r="A33" s="557" t="s">
        <v>147</v>
      </c>
      <c r="B33" s="557"/>
      <c r="C33" s="557"/>
      <c r="D33" s="105" t="s">
        <v>71</v>
      </c>
      <c r="E33" s="107">
        <v>5.94</v>
      </c>
      <c r="F33" s="105" t="s">
        <v>71</v>
      </c>
      <c r="G33" s="107">
        <v>7.39</v>
      </c>
      <c r="H33" s="105" t="s">
        <v>146</v>
      </c>
      <c r="I33" s="107">
        <v>2.85</v>
      </c>
      <c r="J33" s="105" t="s">
        <v>146</v>
      </c>
      <c r="K33" s="108">
        <v>6.181</v>
      </c>
      <c r="L33" s="105" t="s">
        <v>146</v>
      </c>
      <c r="M33" s="87">
        <v>5.5902500000000002</v>
      </c>
    </row>
    <row r="34" spans="1:13" x14ac:dyDescent="0.2">
      <c r="A34" s="557" t="s">
        <v>148</v>
      </c>
      <c r="B34" s="557"/>
      <c r="C34" s="557"/>
      <c r="D34" s="105" t="s">
        <v>71</v>
      </c>
      <c r="E34" s="107">
        <v>6.67</v>
      </c>
      <c r="F34" s="105" t="s">
        <v>71</v>
      </c>
      <c r="G34" s="107">
        <v>8.3000000000000007</v>
      </c>
      <c r="H34" s="105" t="s">
        <v>146</v>
      </c>
      <c r="I34" s="107">
        <v>3.2</v>
      </c>
      <c r="J34" s="105" t="s">
        <v>146</v>
      </c>
      <c r="K34" s="108">
        <v>6.94</v>
      </c>
      <c r="L34" s="105" t="s">
        <v>146</v>
      </c>
      <c r="M34" s="87">
        <v>6.2775000000000007</v>
      </c>
    </row>
    <row r="35" spans="1:13" x14ac:dyDescent="0.2">
      <c r="A35" s="557" t="s">
        <v>58</v>
      </c>
      <c r="B35" s="557"/>
      <c r="C35" s="557"/>
      <c r="D35" s="105" t="s">
        <v>71</v>
      </c>
      <c r="E35" s="109">
        <v>1.91E-3</v>
      </c>
      <c r="F35" s="110" t="s">
        <v>71</v>
      </c>
      <c r="G35" s="109">
        <v>1.7819999999999999E-3</v>
      </c>
      <c r="H35" s="105" t="s">
        <v>146</v>
      </c>
      <c r="I35" s="109">
        <v>1.06E-3</v>
      </c>
      <c r="J35" s="110" t="s">
        <v>146</v>
      </c>
      <c r="K35" s="111">
        <v>2.2460000000000002E-3</v>
      </c>
      <c r="L35" s="110" t="s">
        <v>146</v>
      </c>
      <c r="M35" s="112">
        <v>1.7495000000000002E-3</v>
      </c>
    </row>
    <row r="36" spans="1:13" x14ac:dyDescent="0.2">
      <c r="A36" s="557" t="s">
        <v>149</v>
      </c>
      <c r="B36" s="557"/>
      <c r="C36" s="557"/>
      <c r="D36" s="105" t="s">
        <v>71</v>
      </c>
      <c r="E36" s="109">
        <v>2.1460674157303371E-5</v>
      </c>
      <c r="F36" s="110" t="s">
        <v>71</v>
      </c>
      <c r="G36" s="109">
        <v>1.4727272727272726E-5</v>
      </c>
      <c r="H36" s="105" t="s">
        <v>146</v>
      </c>
      <c r="I36" s="109">
        <v>8.8333333333333323E-6</v>
      </c>
      <c r="J36" s="110" t="s">
        <v>146</v>
      </c>
      <c r="K36" s="111">
        <v>1.6042857142857146E-5</v>
      </c>
      <c r="L36" s="110" t="s">
        <v>146</v>
      </c>
      <c r="M36" s="112">
        <v>1.5266034340191643E-5</v>
      </c>
    </row>
    <row r="37" spans="1:13" ht="15" customHeight="1" x14ac:dyDescent="0.2">
      <c r="A37" s="552" t="s">
        <v>150</v>
      </c>
      <c r="B37" s="552"/>
      <c r="C37" s="552"/>
      <c r="D37" s="105"/>
      <c r="E37" s="113">
        <f>E36</f>
        <v>2.1460674157303371E-5</v>
      </c>
      <c r="F37" s="110"/>
      <c r="G37" s="113">
        <f>G36</f>
        <v>1.4727272727272726E-5</v>
      </c>
      <c r="H37" s="113"/>
      <c r="I37" s="113">
        <f>I36*0.5</f>
        <v>4.4166666666666662E-6</v>
      </c>
      <c r="J37" s="113"/>
      <c r="K37" s="113">
        <f t="shared" ref="K37" si="0">K36*0.5</f>
        <v>8.0214285714285728E-6</v>
      </c>
      <c r="L37" s="112"/>
      <c r="M37" s="114">
        <f>AVERAGE(E37,G37,I37,K37)</f>
        <v>1.2156510530667834E-5</v>
      </c>
    </row>
    <row r="38" spans="1:13" x14ac:dyDescent="0.2">
      <c r="A38" s="558" t="s">
        <v>151</v>
      </c>
      <c r="B38" s="559"/>
      <c r="C38" s="559"/>
      <c r="D38" s="559"/>
      <c r="E38" s="559"/>
      <c r="F38" s="559"/>
      <c r="G38" s="559"/>
      <c r="H38" s="559"/>
      <c r="I38" s="559"/>
      <c r="J38" s="559"/>
      <c r="K38" s="559"/>
      <c r="L38" s="559"/>
      <c r="M38" s="560"/>
    </row>
    <row r="39" spans="1:13" x14ac:dyDescent="0.2">
      <c r="A39" s="561" t="s">
        <v>142</v>
      </c>
      <c r="B39" s="561"/>
      <c r="C39" s="561"/>
      <c r="D39" s="105" t="s">
        <v>146</v>
      </c>
      <c r="E39" s="87">
        <v>3</v>
      </c>
      <c r="F39" s="105" t="s">
        <v>146</v>
      </c>
      <c r="G39" s="87">
        <v>3</v>
      </c>
      <c r="H39" s="105" t="s">
        <v>146</v>
      </c>
      <c r="I39" s="87">
        <v>3</v>
      </c>
      <c r="J39" s="105" t="s">
        <v>146</v>
      </c>
      <c r="K39" s="87">
        <v>3</v>
      </c>
      <c r="L39" s="87" t="s">
        <v>146</v>
      </c>
      <c r="M39" s="87">
        <v>3</v>
      </c>
    </row>
    <row r="40" spans="1:13" x14ac:dyDescent="0.2">
      <c r="A40" s="557" t="s">
        <v>147</v>
      </c>
      <c r="B40" s="557"/>
      <c r="C40" s="557"/>
      <c r="D40" s="105" t="s">
        <v>146</v>
      </c>
      <c r="E40" s="107">
        <v>1.7000000000000001E-2</v>
      </c>
      <c r="F40" s="105" t="s">
        <v>146</v>
      </c>
      <c r="G40" s="107">
        <v>2.1999999999999999E-2</v>
      </c>
      <c r="H40" s="105" t="s">
        <v>146</v>
      </c>
      <c r="I40" s="107">
        <v>3.2000000000000001E-2</v>
      </c>
      <c r="J40" s="105" t="s">
        <v>146</v>
      </c>
      <c r="K40" s="107">
        <v>2.9000000000000001E-2</v>
      </c>
      <c r="L40" s="87" t="s">
        <v>146</v>
      </c>
      <c r="M40" s="87">
        <v>2.5000000000000001E-2</v>
      </c>
    </row>
    <row r="41" spans="1:13" x14ac:dyDescent="0.2">
      <c r="A41" s="557" t="s">
        <v>148</v>
      </c>
      <c r="B41" s="557"/>
      <c r="C41" s="557"/>
      <c r="D41" s="105" t="s">
        <v>146</v>
      </c>
      <c r="E41" s="107">
        <v>0.08</v>
      </c>
      <c r="F41" s="105" t="s">
        <v>146</v>
      </c>
      <c r="G41" s="107">
        <v>0.11</v>
      </c>
      <c r="H41" s="105" t="s">
        <v>146</v>
      </c>
      <c r="I41" s="107">
        <v>0.16</v>
      </c>
      <c r="J41" s="105" t="s">
        <v>146</v>
      </c>
      <c r="K41" s="107">
        <v>0.15</v>
      </c>
      <c r="L41" s="87" t="s">
        <v>146</v>
      </c>
      <c r="M41" s="87">
        <v>0.125</v>
      </c>
    </row>
    <row r="42" spans="1:13" x14ac:dyDescent="0.2">
      <c r="A42" s="557" t="s">
        <v>58</v>
      </c>
      <c r="B42" s="557"/>
      <c r="C42" s="557"/>
      <c r="D42" s="105" t="s">
        <v>146</v>
      </c>
      <c r="E42" s="109">
        <v>2.4000000000000001E-5</v>
      </c>
      <c r="F42" s="110" t="s">
        <v>146</v>
      </c>
      <c r="G42" s="109">
        <v>2.4000000000000001E-5</v>
      </c>
      <c r="H42" s="105" t="s">
        <v>146</v>
      </c>
      <c r="I42" s="109">
        <v>5.3000000000000001E-5</v>
      </c>
      <c r="J42" s="110" t="s">
        <v>146</v>
      </c>
      <c r="K42" s="109">
        <v>4.8000000000000001E-5</v>
      </c>
      <c r="L42" s="112" t="s">
        <v>146</v>
      </c>
      <c r="M42" s="112">
        <v>3.7249999999999997E-5</v>
      </c>
    </row>
    <row r="43" spans="1:13" x14ac:dyDescent="0.2">
      <c r="A43" s="557" t="s">
        <v>149</v>
      </c>
      <c r="B43" s="557"/>
      <c r="C43" s="557"/>
      <c r="D43" s="105" t="s">
        <v>146</v>
      </c>
      <c r="E43" s="109">
        <v>2.6966292134831461E-7</v>
      </c>
      <c r="F43" s="110" t="s">
        <v>146</v>
      </c>
      <c r="G43" s="109">
        <v>1.9834710743801653E-7</v>
      </c>
      <c r="H43" s="105" t="s">
        <v>146</v>
      </c>
      <c r="I43" s="109">
        <v>4.4166666666666669E-7</v>
      </c>
      <c r="J43" s="110" t="s">
        <v>146</v>
      </c>
      <c r="K43" s="109">
        <v>3.4285714285714286E-7</v>
      </c>
      <c r="L43" s="112" t="s">
        <v>146</v>
      </c>
      <c r="M43" s="112">
        <v>3.1313345957753517E-7</v>
      </c>
    </row>
    <row r="44" spans="1:13" ht="15" customHeight="1" x14ac:dyDescent="0.2">
      <c r="A44" s="552" t="s">
        <v>150</v>
      </c>
      <c r="B44" s="552"/>
      <c r="C44" s="552"/>
      <c r="D44" s="105"/>
      <c r="E44" s="113">
        <v>0</v>
      </c>
      <c r="F44" s="110"/>
      <c r="G44" s="113">
        <v>0</v>
      </c>
      <c r="H44" s="113"/>
      <c r="I44" s="113">
        <v>0</v>
      </c>
      <c r="J44" s="113"/>
      <c r="K44" s="113">
        <v>0</v>
      </c>
      <c r="L44" s="112"/>
      <c r="M44" s="134">
        <f>AVERAGE(E44,G44,I44,K44)</f>
        <v>0</v>
      </c>
    </row>
    <row r="45" spans="1:13" x14ac:dyDescent="0.2">
      <c r="A45" s="558" t="s">
        <v>152</v>
      </c>
      <c r="B45" s="559"/>
      <c r="C45" s="559"/>
      <c r="D45" s="559"/>
      <c r="E45" s="559"/>
      <c r="F45" s="559"/>
      <c r="G45" s="559"/>
      <c r="H45" s="559"/>
      <c r="I45" s="559"/>
      <c r="J45" s="559"/>
      <c r="K45" s="559"/>
      <c r="L45" s="559"/>
      <c r="M45" s="560"/>
    </row>
    <row r="46" spans="1:13" x14ac:dyDescent="0.2">
      <c r="A46" s="561" t="s">
        <v>142</v>
      </c>
      <c r="B46" s="561"/>
      <c r="C46" s="561"/>
      <c r="D46" s="105" t="s">
        <v>146</v>
      </c>
      <c r="E46" s="87">
        <v>0.8</v>
      </c>
      <c r="F46" s="105" t="s">
        <v>71</v>
      </c>
      <c r="G46" s="87">
        <v>0.9</v>
      </c>
      <c r="H46" s="105" t="s">
        <v>146</v>
      </c>
      <c r="I46" s="87">
        <v>0.8</v>
      </c>
      <c r="J46" s="105" t="s">
        <v>146</v>
      </c>
      <c r="K46" s="87">
        <v>0.8</v>
      </c>
      <c r="L46" s="87" t="s">
        <v>146</v>
      </c>
      <c r="M46" s="87">
        <v>0.82499999999999996</v>
      </c>
    </row>
    <row r="47" spans="1:13" x14ac:dyDescent="0.2">
      <c r="A47" s="557" t="s">
        <v>147</v>
      </c>
      <c r="B47" s="557"/>
      <c r="C47" s="557"/>
      <c r="D47" s="105" t="s">
        <v>146</v>
      </c>
      <c r="E47" s="107">
        <v>7.0000000000000001E-3</v>
      </c>
      <c r="F47" s="105" t="s">
        <v>71</v>
      </c>
      <c r="G47" s="107">
        <v>1.0999999999999999E-2</v>
      </c>
      <c r="H47" s="105" t="s">
        <v>146</v>
      </c>
      <c r="I47" s="107">
        <v>1.4E-2</v>
      </c>
      <c r="J47" s="105" t="s">
        <v>146</v>
      </c>
      <c r="K47" s="107">
        <v>1.2999999999999999E-2</v>
      </c>
      <c r="L47" s="87" t="s">
        <v>146</v>
      </c>
      <c r="M47" s="87">
        <v>1.125E-2</v>
      </c>
    </row>
    <row r="48" spans="1:13" x14ac:dyDescent="0.2">
      <c r="A48" s="557" t="s">
        <v>148</v>
      </c>
      <c r="B48" s="557"/>
      <c r="C48" s="557"/>
      <c r="D48" s="105" t="s">
        <v>146</v>
      </c>
      <c r="E48" s="107">
        <v>0.02</v>
      </c>
      <c r="F48" s="105" t="s">
        <v>71</v>
      </c>
      <c r="G48" s="107">
        <v>0.03</v>
      </c>
      <c r="H48" s="105" t="s">
        <v>146</v>
      </c>
      <c r="I48" s="107">
        <v>0.04</v>
      </c>
      <c r="J48" s="105" t="s">
        <v>146</v>
      </c>
      <c r="K48" s="107">
        <v>0.04</v>
      </c>
      <c r="L48" s="87" t="s">
        <v>146</v>
      </c>
      <c r="M48" s="87">
        <v>3.2500000000000001E-2</v>
      </c>
    </row>
    <row r="49" spans="1:13" x14ac:dyDescent="0.2">
      <c r="A49" s="557" t="s">
        <v>58</v>
      </c>
      <c r="B49" s="557"/>
      <c r="C49" s="557"/>
      <c r="D49" s="105" t="s">
        <v>146</v>
      </c>
      <c r="E49" s="109">
        <v>6.0000000000000002E-6</v>
      </c>
      <c r="F49" s="110" t="s">
        <v>71</v>
      </c>
      <c r="G49" s="109">
        <v>6.9999999999999999E-6</v>
      </c>
      <c r="H49" s="105" t="s">
        <v>146</v>
      </c>
      <c r="I49" s="109">
        <v>1.4E-5</v>
      </c>
      <c r="J49" s="110" t="s">
        <v>146</v>
      </c>
      <c r="K49" s="109">
        <v>1.2999999999999999E-5</v>
      </c>
      <c r="L49" s="112" t="s">
        <v>146</v>
      </c>
      <c r="M49" s="112">
        <v>9.9999999999999991E-6</v>
      </c>
    </row>
    <row r="50" spans="1:13" x14ac:dyDescent="0.2">
      <c r="A50" s="557" t="s">
        <v>149</v>
      </c>
      <c r="B50" s="557"/>
      <c r="C50" s="557"/>
      <c r="D50" s="105" t="s">
        <v>146</v>
      </c>
      <c r="E50" s="109">
        <v>6.7415730337078654E-8</v>
      </c>
      <c r="F50" s="110" t="s">
        <v>71</v>
      </c>
      <c r="G50" s="109">
        <v>5.7851239669421487E-8</v>
      </c>
      <c r="H50" s="105" t="s">
        <v>146</v>
      </c>
      <c r="I50" s="109">
        <v>1.1666666666666667E-7</v>
      </c>
      <c r="J50" s="110" t="s">
        <v>146</v>
      </c>
      <c r="K50" s="109">
        <v>9.2857142857142849E-8</v>
      </c>
      <c r="L50" s="112" t="s">
        <v>146</v>
      </c>
      <c r="M50" s="112">
        <v>8.3697694882577402E-8</v>
      </c>
    </row>
    <row r="51" spans="1:13" ht="15" customHeight="1" x14ac:dyDescent="0.2">
      <c r="A51" s="552" t="s">
        <v>150</v>
      </c>
      <c r="B51" s="552"/>
      <c r="C51" s="552"/>
      <c r="D51" s="105"/>
      <c r="E51" s="113">
        <f>E50*0.5</f>
        <v>3.3707865168539327E-8</v>
      </c>
      <c r="F51" s="110"/>
      <c r="G51" s="113">
        <f>G50</f>
        <v>5.7851239669421487E-8</v>
      </c>
      <c r="H51" s="113"/>
      <c r="I51" s="113">
        <f>I50*0.5</f>
        <v>5.8333333333333333E-8</v>
      </c>
      <c r="J51" s="113"/>
      <c r="K51" s="113">
        <f t="shared" ref="K51" si="1">K50*0.5</f>
        <v>4.6428571428571425E-8</v>
      </c>
      <c r="L51" s="112"/>
      <c r="M51" s="114">
        <f>AVERAGE(E51,G51,I51,K51)</f>
        <v>4.9080252399966391E-8</v>
      </c>
    </row>
    <row r="52" spans="1:13" x14ac:dyDescent="0.2">
      <c r="A52" s="558" t="s">
        <v>153</v>
      </c>
      <c r="B52" s="559"/>
      <c r="C52" s="559"/>
      <c r="D52" s="559"/>
      <c r="E52" s="559"/>
      <c r="F52" s="559"/>
      <c r="G52" s="559"/>
      <c r="H52" s="559"/>
      <c r="I52" s="559"/>
      <c r="J52" s="559"/>
      <c r="K52" s="559"/>
      <c r="L52" s="559"/>
      <c r="M52" s="560"/>
    </row>
    <row r="53" spans="1:13" x14ac:dyDescent="0.2">
      <c r="A53" s="561" t="s">
        <v>142</v>
      </c>
      <c r="B53" s="561"/>
      <c r="C53" s="561"/>
      <c r="D53" s="105" t="s">
        <v>146</v>
      </c>
      <c r="E53" s="87">
        <v>0.18</v>
      </c>
      <c r="F53" s="105" t="s">
        <v>146</v>
      </c>
      <c r="G53" s="87">
        <v>0.18</v>
      </c>
      <c r="H53" s="105" t="s">
        <v>146</v>
      </c>
      <c r="I53" s="87">
        <v>0.18</v>
      </c>
      <c r="J53" s="105" t="s">
        <v>146</v>
      </c>
      <c r="K53" s="87">
        <v>0.18</v>
      </c>
      <c r="L53" s="87" t="s">
        <v>146</v>
      </c>
      <c r="M53" s="87">
        <v>0.18</v>
      </c>
    </row>
    <row r="54" spans="1:13" x14ac:dyDescent="0.2">
      <c r="A54" s="557" t="s">
        <v>147</v>
      </c>
      <c r="B54" s="557"/>
      <c r="C54" s="557"/>
      <c r="D54" s="105" t="s">
        <v>146</v>
      </c>
      <c r="E54" s="107">
        <v>1.2999999999999999E-2</v>
      </c>
      <c r="F54" s="105" t="s">
        <v>146</v>
      </c>
      <c r="G54" s="107">
        <v>1.7999999999999999E-2</v>
      </c>
      <c r="H54" s="105" t="s">
        <v>146</v>
      </c>
      <c r="I54" s="107">
        <v>2.5999999999999999E-2</v>
      </c>
      <c r="J54" s="105" t="s">
        <v>146</v>
      </c>
      <c r="K54" s="107">
        <v>2.4E-2</v>
      </c>
      <c r="L54" s="87" t="s">
        <v>146</v>
      </c>
      <c r="M54" s="87">
        <v>2.0249999999999997E-2</v>
      </c>
    </row>
    <row r="55" spans="1:13" x14ac:dyDescent="0.2">
      <c r="A55" s="557" t="s">
        <v>148</v>
      </c>
      <c r="B55" s="557"/>
      <c r="C55" s="557"/>
      <c r="D55" s="105" t="s">
        <v>146</v>
      </c>
      <c r="E55" s="107">
        <v>0.01</v>
      </c>
      <c r="F55" s="105" t="s">
        <v>146</v>
      </c>
      <c r="G55" s="107">
        <v>0.01</v>
      </c>
      <c r="H55" s="105" t="s">
        <v>146</v>
      </c>
      <c r="I55" s="107">
        <v>0.01</v>
      </c>
      <c r="J55" s="105" t="s">
        <v>146</v>
      </c>
      <c r="K55" s="107">
        <v>0.01</v>
      </c>
      <c r="L55" s="87" t="s">
        <v>146</v>
      </c>
      <c r="M55" s="87">
        <v>0.01</v>
      </c>
    </row>
    <row r="56" spans="1:13" x14ac:dyDescent="0.2">
      <c r="A56" s="557" t="s">
        <v>58</v>
      </c>
      <c r="B56" s="557"/>
      <c r="C56" s="557"/>
      <c r="D56" s="105" t="s">
        <v>146</v>
      </c>
      <c r="E56" s="109">
        <v>9.9999999999999995E-7</v>
      </c>
      <c r="F56" s="110" t="s">
        <v>146</v>
      </c>
      <c r="G56" s="109">
        <v>9.9999999999999995E-7</v>
      </c>
      <c r="H56" s="105" t="s">
        <v>146</v>
      </c>
      <c r="I56" s="109">
        <v>3.0000000000000001E-6</v>
      </c>
      <c r="J56" s="110" t="s">
        <v>146</v>
      </c>
      <c r="K56" s="109">
        <v>3.0000000000000001E-6</v>
      </c>
      <c r="L56" s="112" t="s">
        <v>146</v>
      </c>
      <c r="M56" s="112">
        <v>1.9999999999999999E-6</v>
      </c>
    </row>
    <row r="57" spans="1:13" x14ac:dyDescent="0.2">
      <c r="A57" s="557" t="s">
        <v>149</v>
      </c>
      <c r="B57" s="557"/>
      <c r="C57" s="557"/>
      <c r="D57" s="105" t="s">
        <v>146</v>
      </c>
      <c r="E57" s="109">
        <v>1.1235955056179776E-8</v>
      </c>
      <c r="F57" s="110" t="s">
        <v>146</v>
      </c>
      <c r="G57" s="109">
        <v>8.2644628099173553E-9</v>
      </c>
      <c r="H57" s="105" t="s">
        <v>146</v>
      </c>
      <c r="I57" s="109">
        <v>2.5000000000000002E-8</v>
      </c>
      <c r="J57" s="110" t="s">
        <v>146</v>
      </c>
      <c r="K57" s="109">
        <v>2.1428571428571429E-8</v>
      </c>
      <c r="L57" s="112" t="s">
        <v>146</v>
      </c>
      <c r="M57" s="112">
        <v>1.6482247323667139E-8</v>
      </c>
    </row>
    <row r="58" spans="1:13" ht="15" customHeight="1" x14ac:dyDescent="0.2">
      <c r="A58" s="552" t="s">
        <v>150</v>
      </c>
      <c r="B58" s="552"/>
      <c r="C58" s="552"/>
      <c r="D58" s="105"/>
      <c r="E58" s="113">
        <v>0</v>
      </c>
      <c r="F58" s="110"/>
      <c r="G58" s="113">
        <v>0</v>
      </c>
      <c r="H58" s="113"/>
      <c r="I58" s="113">
        <v>0</v>
      </c>
      <c r="J58" s="113"/>
      <c r="K58" s="113">
        <v>0</v>
      </c>
      <c r="L58" s="112"/>
      <c r="M58" s="114">
        <f>AVERAGE(E58,G58,I58,K58)</f>
        <v>0</v>
      </c>
    </row>
    <row r="59" spans="1:13" x14ac:dyDescent="0.2">
      <c r="A59" s="558" t="s">
        <v>154</v>
      </c>
      <c r="B59" s="559"/>
      <c r="C59" s="559"/>
      <c r="D59" s="559"/>
      <c r="E59" s="559"/>
      <c r="F59" s="559"/>
      <c r="G59" s="559"/>
      <c r="H59" s="559"/>
      <c r="I59" s="559"/>
      <c r="J59" s="559"/>
      <c r="K59" s="559"/>
      <c r="L59" s="559"/>
      <c r="M59" s="560"/>
    </row>
    <row r="60" spans="1:13" x14ac:dyDescent="0.2">
      <c r="A60" s="561" t="s">
        <v>142</v>
      </c>
      <c r="B60" s="561"/>
      <c r="C60" s="561"/>
      <c r="D60" s="105" t="s">
        <v>71</v>
      </c>
      <c r="E60" s="87">
        <v>29.4</v>
      </c>
      <c r="F60" s="105" t="s">
        <v>71</v>
      </c>
      <c r="G60" s="87">
        <v>53.1</v>
      </c>
      <c r="H60" s="87"/>
      <c r="I60" s="87">
        <v>5</v>
      </c>
      <c r="J60" s="87"/>
      <c r="K60" s="87">
        <v>78.5</v>
      </c>
      <c r="L60" s="87" t="s">
        <v>71</v>
      </c>
      <c r="M60" s="87">
        <v>41.5</v>
      </c>
    </row>
    <row r="61" spans="1:13" x14ac:dyDescent="0.2">
      <c r="A61" s="557" t="s">
        <v>147</v>
      </c>
      <c r="B61" s="557"/>
      <c r="C61" s="557"/>
      <c r="D61" s="105" t="s">
        <v>71</v>
      </c>
      <c r="E61" s="107">
        <v>0.379</v>
      </c>
      <c r="F61" s="105" t="s">
        <v>71</v>
      </c>
      <c r="G61" s="107">
        <v>0.91300000000000003</v>
      </c>
      <c r="H61" s="107"/>
      <c r="I61" s="107">
        <v>0.123</v>
      </c>
      <c r="J61" s="107"/>
      <c r="K61" s="107">
        <v>1.7989999999999999</v>
      </c>
      <c r="L61" s="87" t="s">
        <v>71</v>
      </c>
      <c r="M61" s="87">
        <v>0.80349999999999999</v>
      </c>
    </row>
    <row r="62" spans="1:13" x14ac:dyDescent="0.2">
      <c r="A62" s="557" t="s">
        <v>148</v>
      </c>
      <c r="B62" s="557"/>
      <c r="C62" s="557"/>
      <c r="D62" s="105" t="s">
        <v>71</v>
      </c>
      <c r="E62" s="107">
        <v>0.82</v>
      </c>
      <c r="F62" s="105" t="s">
        <v>71</v>
      </c>
      <c r="G62" s="107">
        <v>1.98</v>
      </c>
      <c r="H62" s="107"/>
      <c r="I62" s="107">
        <v>0.27</v>
      </c>
      <c r="J62" s="107"/>
      <c r="K62" s="107">
        <v>3.89</v>
      </c>
      <c r="L62" s="87" t="s">
        <v>71</v>
      </c>
      <c r="M62" s="87">
        <v>1.74</v>
      </c>
    </row>
    <row r="63" spans="1:13" x14ac:dyDescent="0.2">
      <c r="A63" s="557" t="s">
        <v>58</v>
      </c>
      <c r="B63" s="557"/>
      <c r="C63" s="557"/>
      <c r="D63" s="105" t="s">
        <v>71</v>
      </c>
      <c r="E63" s="109">
        <v>2.3499999999999999E-4</v>
      </c>
      <c r="F63" s="110" t="s">
        <v>71</v>
      </c>
      <c r="G63" s="109">
        <v>4.2400000000000001E-4</v>
      </c>
      <c r="H63" s="109"/>
      <c r="I63" s="109">
        <v>8.7999999999999998E-5</v>
      </c>
      <c r="J63" s="109"/>
      <c r="K63" s="109">
        <v>1.2589999999999999E-3</v>
      </c>
      <c r="L63" s="112" t="s">
        <v>71</v>
      </c>
      <c r="M63" s="112">
        <v>5.0149999999999999E-4</v>
      </c>
    </row>
    <row r="64" spans="1:13" x14ac:dyDescent="0.2">
      <c r="A64" s="557" t="s">
        <v>149</v>
      </c>
      <c r="B64" s="557"/>
      <c r="C64" s="557"/>
      <c r="D64" s="105" t="s">
        <v>71</v>
      </c>
      <c r="E64" s="109">
        <v>2.640449438202247E-6</v>
      </c>
      <c r="F64" s="110" t="s">
        <v>71</v>
      </c>
      <c r="G64" s="109">
        <v>3.5041322314049586E-6</v>
      </c>
      <c r="H64" s="109"/>
      <c r="I64" s="109">
        <v>7.3333333333333334E-7</v>
      </c>
      <c r="J64" s="109"/>
      <c r="K64" s="109">
        <v>8.9928571428571419E-6</v>
      </c>
      <c r="L64" s="112" t="s">
        <v>71</v>
      </c>
      <c r="M64" s="112">
        <v>3.9676930364494203E-6</v>
      </c>
    </row>
    <row r="65" spans="1:13" ht="16" customHeight="1" x14ac:dyDescent="0.2">
      <c r="A65" s="552" t="s">
        <v>150</v>
      </c>
      <c r="B65" s="552"/>
      <c r="C65" s="552"/>
      <c r="D65" s="105"/>
      <c r="E65" s="113">
        <f>E64</f>
        <v>2.640449438202247E-6</v>
      </c>
      <c r="F65" s="110"/>
      <c r="G65" s="113">
        <f>G64</f>
        <v>3.5041322314049586E-6</v>
      </c>
      <c r="H65" s="113"/>
      <c r="I65" s="113">
        <f>I64</f>
        <v>7.3333333333333334E-7</v>
      </c>
      <c r="J65" s="113"/>
      <c r="K65" s="113">
        <f>K64</f>
        <v>8.9928571428571419E-6</v>
      </c>
      <c r="L65" s="112"/>
      <c r="M65" s="114">
        <f>AVERAGE(E65,G65,I65,K65)</f>
        <v>3.9676930364494203E-6</v>
      </c>
    </row>
    <row r="66" spans="1:13" x14ac:dyDescent="0.2">
      <c r="A66" s="558" t="s">
        <v>155</v>
      </c>
      <c r="B66" s="559"/>
      <c r="C66" s="559"/>
      <c r="D66" s="559"/>
      <c r="E66" s="559"/>
      <c r="F66" s="559"/>
      <c r="G66" s="559"/>
      <c r="H66" s="559"/>
      <c r="I66" s="559"/>
      <c r="J66" s="559"/>
      <c r="K66" s="559"/>
      <c r="L66" s="559"/>
      <c r="M66" s="560"/>
    </row>
    <row r="67" spans="1:13" x14ac:dyDescent="0.2">
      <c r="A67" s="557" t="s">
        <v>142</v>
      </c>
      <c r="B67" s="557"/>
      <c r="C67" s="557"/>
      <c r="D67" s="105" t="s">
        <v>71</v>
      </c>
      <c r="E67" s="87">
        <v>3.1</v>
      </c>
      <c r="F67" s="105" t="s">
        <v>71</v>
      </c>
      <c r="G67" s="87">
        <v>5.27</v>
      </c>
      <c r="H67" s="87"/>
      <c r="I67" s="87">
        <v>0.56000000000000005</v>
      </c>
      <c r="J67" s="87"/>
      <c r="K67" s="87">
        <v>4.51</v>
      </c>
      <c r="L67" s="87" t="s">
        <v>71</v>
      </c>
      <c r="M67" s="87">
        <v>3.36</v>
      </c>
    </row>
    <row r="68" spans="1:13" x14ac:dyDescent="0.2">
      <c r="A68" s="557" t="s">
        <v>147</v>
      </c>
      <c r="B68" s="557"/>
      <c r="C68" s="557"/>
      <c r="D68" s="105" t="s">
        <v>71</v>
      </c>
      <c r="E68" s="107">
        <v>3.5000000000000003E-2</v>
      </c>
      <c r="F68" s="105" t="s">
        <v>71</v>
      </c>
      <c r="G68" s="107">
        <v>0.08</v>
      </c>
      <c r="H68" s="107"/>
      <c r="I68" s="107">
        <v>1.2E-2</v>
      </c>
      <c r="J68" s="107"/>
      <c r="K68" s="107">
        <v>9.0999999999999998E-2</v>
      </c>
      <c r="L68" s="87" t="s">
        <v>71</v>
      </c>
      <c r="M68" s="87">
        <v>5.45E-2</v>
      </c>
    </row>
    <row r="69" spans="1:13" x14ac:dyDescent="0.2">
      <c r="A69" s="557" t="s">
        <v>148</v>
      </c>
      <c r="B69" s="557"/>
      <c r="C69" s="557"/>
      <c r="D69" s="105" t="s">
        <v>71</v>
      </c>
      <c r="E69" s="107">
        <v>0.09</v>
      </c>
      <c r="F69" s="105" t="s">
        <v>71</v>
      </c>
      <c r="G69" s="107">
        <v>0.2</v>
      </c>
      <c r="H69" s="107"/>
      <c r="I69" s="107">
        <v>0.03</v>
      </c>
      <c r="J69" s="107"/>
      <c r="K69" s="107">
        <v>0.22</v>
      </c>
      <c r="L69" s="87" t="s">
        <v>71</v>
      </c>
      <c r="M69" s="87">
        <v>0.13500000000000001</v>
      </c>
    </row>
    <row r="70" spans="1:13" x14ac:dyDescent="0.2">
      <c r="A70" s="557" t="s">
        <v>58</v>
      </c>
      <c r="B70" s="557"/>
      <c r="C70" s="557"/>
      <c r="D70" s="105" t="s">
        <v>71</v>
      </c>
      <c r="E70" s="109">
        <v>2.4769999999999998E-5</v>
      </c>
      <c r="F70" s="110" t="s">
        <v>71</v>
      </c>
      <c r="G70" s="109">
        <v>4.2110000000000002E-5</v>
      </c>
      <c r="H70" s="109"/>
      <c r="I70" s="109">
        <v>9.8900000000000002E-6</v>
      </c>
      <c r="J70" s="109"/>
      <c r="K70" s="109">
        <v>1E-4</v>
      </c>
      <c r="L70" s="87" t="s">
        <v>71</v>
      </c>
      <c r="M70" s="112">
        <v>4.4192500000000001E-5</v>
      </c>
    </row>
    <row r="71" spans="1:13" x14ac:dyDescent="0.2">
      <c r="A71" s="557" t="s">
        <v>149</v>
      </c>
      <c r="B71" s="557"/>
      <c r="C71" s="557"/>
      <c r="D71" s="105" t="s">
        <v>71</v>
      </c>
      <c r="E71" s="109">
        <v>2.7831460674157299E-7</v>
      </c>
      <c r="F71" s="110" t="s">
        <v>71</v>
      </c>
      <c r="G71" s="109">
        <v>3.4801652892561984E-7</v>
      </c>
      <c r="H71" s="109"/>
      <c r="I71" s="109">
        <v>8.2416666666666673E-8</v>
      </c>
      <c r="J71" s="109"/>
      <c r="K71" s="109">
        <v>7.1428571428571431E-7</v>
      </c>
      <c r="L71" s="87" t="s">
        <v>71</v>
      </c>
      <c r="M71" s="112">
        <v>3.5575837915489347E-7</v>
      </c>
    </row>
    <row r="72" spans="1:13" ht="15" customHeight="1" x14ac:dyDescent="0.2">
      <c r="A72" s="552" t="s">
        <v>150</v>
      </c>
      <c r="B72" s="552"/>
      <c r="C72" s="552"/>
      <c r="D72" s="105"/>
      <c r="E72" s="113">
        <f>E71</f>
        <v>2.7831460674157299E-7</v>
      </c>
      <c r="F72" s="110"/>
      <c r="G72" s="113">
        <f>G71</f>
        <v>3.4801652892561984E-7</v>
      </c>
      <c r="H72" s="113"/>
      <c r="I72" s="113">
        <f>I71</f>
        <v>8.2416666666666673E-8</v>
      </c>
      <c r="J72" s="113"/>
      <c r="K72" s="113">
        <f>K71</f>
        <v>7.1428571428571431E-7</v>
      </c>
      <c r="L72" s="112"/>
      <c r="M72" s="114">
        <f>AVERAGE(E72,G72,I72,K72)</f>
        <v>3.5575837915489347E-7</v>
      </c>
    </row>
    <row r="73" spans="1:13" x14ac:dyDescent="0.2">
      <c r="A73" s="558" t="s">
        <v>156</v>
      </c>
      <c r="B73" s="559"/>
      <c r="C73" s="559"/>
      <c r="D73" s="559"/>
      <c r="E73" s="559"/>
      <c r="F73" s="559"/>
      <c r="G73" s="559"/>
      <c r="H73" s="559"/>
      <c r="I73" s="559"/>
      <c r="J73" s="559"/>
      <c r="K73" s="559"/>
      <c r="L73" s="559"/>
      <c r="M73" s="560"/>
    </row>
    <row r="74" spans="1:13" x14ac:dyDescent="0.2">
      <c r="A74" s="557" t="s">
        <v>142</v>
      </c>
      <c r="B74" s="557"/>
      <c r="C74" s="557"/>
      <c r="D74" s="105" t="s">
        <v>71</v>
      </c>
      <c r="E74" s="87">
        <v>20.7</v>
      </c>
      <c r="F74" s="105" t="s">
        <v>71</v>
      </c>
      <c r="G74" s="98">
        <v>37.5</v>
      </c>
      <c r="H74" s="87"/>
      <c r="I74" s="98">
        <v>7.4</v>
      </c>
      <c r="J74" s="87"/>
      <c r="K74" s="98">
        <v>40.299999999999997</v>
      </c>
      <c r="L74" s="87" t="s">
        <v>71</v>
      </c>
      <c r="M74" s="98">
        <v>26.475000000000001</v>
      </c>
    </row>
    <row r="75" spans="1:13" x14ac:dyDescent="0.2">
      <c r="A75" s="557" t="s">
        <v>147</v>
      </c>
      <c r="B75" s="557"/>
      <c r="C75" s="557"/>
      <c r="D75" s="105" t="s">
        <v>71</v>
      </c>
      <c r="E75" s="107">
        <v>0.218</v>
      </c>
      <c r="F75" s="105" t="s">
        <v>71</v>
      </c>
      <c r="G75" s="107">
        <v>0.52800000000000002</v>
      </c>
      <c r="H75" s="107"/>
      <c r="I75" s="107">
        <v>0.14899999999999999</v>
      </c>
      <c r="J75" s="107"/>
      <c r="K75" s="107">
        <v>0.755</v>
      </c>
      <c r="L75" s="87" t="s">
        <v>71</v>
      </c>
      <c r="M75" s="87">
        <v>0.41249999999999998</v>
      </c>
    </row>
    <row r="76" spans="1:13" x14ac:dyDescent="0.2">
      <c r="A76" s="557" t="s">
        <v>148</v>
      </c>
      <c r="B76" s="557"/>
      <c r="C76" s="557"/>
      <c r="D76" s="105" t="s">
        <v>71</v>
      </c>
      <c r="E76" s="107">
        <v>0.57999999999999996</v>
      </c>
      <c r="F76" s="105" t="s">
        <v>71</v>
      </c>
      <c r="G76" s="107">
        <v>1.39</v>
      </c>
      <c r="H76" s="107"/>
      <c r="I76" s="107">
        <v>0.39</v>
      </c>
      <c r="J76" s="107"/>
      <c r="K76" s="107">
        <v>2</v>
      </c>
      <c r="L76" s="87" t="s">
        <v>71</v>
      </c>
      <c r="M76" s="87">
        <v>1.0899999999999999</v>
      </c>
    </row>
    <row r="77" spans="1:13" x14ac:dyDescent="0.2">
      <c r="A77" s="557" t="s">
        <v>58</v>
      </c>
      <c r="B77" s="557"/>
      <c r="C77" s="557"/>
      <c r="D77" s="105" t="s">
        <v>71</v>
      </c>
      <c r="E77" s="109">
        <v>2.0000000000000001E-4</v>
      </c>
      <c r="F77" s="110" t="s">
        <v>71</v>
      </c>
      <c r="G77" s="109">
        <v>2.9999999999999997E-4</v>
      </c>
      <c r="H77" s="107"/>
      <c r="I77" s="109">
        <v>1E-4</v>
      </c>
      <c r="J77" s="109"/>
      <c r="K77" s="109">
        <v>5.9999999999999995E-4</v>
      </c>
      <c r="L77" s="87" t="s">
        <v>71</v>
      </c>
      <c r="M77" s="112">
        <v>3.0000000000000003E-4</v>
      </c>
    </row>
    <row r="78" spans="1:13" x14ac:dyDescent="0.2">
      <c r="A78" s="557" t="s">
        <v>149</v>
      </c>
      <c r="B78" s="557"/>
      <c r="C78" s="557"/>
      <c r="D78" s="105" t="s">
        <v>71</v>
      </c>
      <c r="E78" s="109">
        <v>2.247191011235955E-6</v>
      </c>
      <c r="F78" s="110" t="s">
        <v>71</v>
      </c>
      <c r="G78" s="109">
        <v>2.4793388429752062E-6</v>
      </c>
      <c r="H78" s="107"/>
      <c r="I78" s="109">
        <v>8.3333333333333333E-7</v>
      </c>
      <c r="J78" s="109"/>
      <c r="K78" s="109">
        <v>4.2857142857142855E-6</v>
      </c>
      <c r="L78" s="87" t="s">
        <v>71</v>
      </c>
      <c r="M78" s="112">
        <v>2.4613943683146949E-6</v>
      </c>
    </row>
    <row r="79" spans="1:13" ht="15" customHeight="1" x14ac:dyDescent="0.2">
      <c r="A79" s="552" t="s">
        <v>150</v>
      </c>
      <c r="B79" s="552"/>
      <c r="C79" s="552"/>
      <c r="D79" s="105"/>
      <c r="E79" s="113">
        <f>E78</f>
        <v>2.247191011235955E-6</v>
      </c>
      <c r="F79" s="110"/>
      <c r="G79" s="113">
        <f>G78</f>
        <v>2.4793388429752062E-6</v>
      </c>
      <c r="H79" s="113"/>
      <c r="I79" s="113">
        <f>I78</f>
        <v>8.3333333333333333E-7</v>
      </c>
      <c r="J79" s="113"/>
      <c r="K79" s="113">
        <f>K78</f>
        <v>4.2857142857142855E-6</v>
      </c>
      <c r="L79" s="112"/>
      <c r="M79" s="114">
        <f>AVERAGE(E79,G79,I79,K79)</f>
        <v>2.4613943683146949E-6</v>
      </c>
    </row>
    <row r="80" spans="1:13" x14ac:dyDescent="0.2">
      <c r="A80" s="558" t="s">
        <v>157</v>
      </c>
      <c r="B80" s="559"/>
      <c r="C80" s="559"/>
      <c r="D80" s="559"/>
      <c r="E80" s="559"/>
      <c r="F80" s="559"/>
      <c r="G80" s="559"/>
      <c r="H80" s="559"/>
      <c r="I80" s="559"/>
      <c r="J80" s="559"/>
      <c r="K80" s="559"/>
      <c r="L80" s="559"/>
      <c r="M80" s="560"/>
    </row>
    <row r="81" spans="1:13" x14ac:dyDescent="0.2">
      <c r="A81" s="557" t="s">
        <v>142</v>
      </c>
      <c r="B81" s="557"/>
      <c r="C81" s="557"/>
      <c r="D81" s="105" t="s">
        <v>71</v>
      </c>
      <c r="E81" s="87">
        <v>2.59</v>
      </c>
      <c r="F81" s="105" t="s">
        <v>71</v>
      </c>
      <c r="G81" s="87">
        <v>2.23</v>
      </c>
      <c r="H81" s="105" t="s">
        <v>146</v>
      </c>
      <c r="I81" s="87">
        <v>0.6</v>
      </c>
      <c r="J81" s="87"/>
      <c r="K81" s="87">
        <v>1.89</v>
      </c>
      <c r="L81" s="105" t="s">
        <v>146</v>
      </c>
      <c r="M81" s="98">
        <v>1.8274999999999999</v>
      </c>
    </row>
    <row r="82" spans="1:13" x14ac:dyDescent="0.2">
      <c r="A82" s="557" t="s">
        <v>147</v>
      </c>
      <c r="B82" s="557"/>
      <c r="C82" s="557"/>
      <c r="D82" s="105" t="s">
        <v>71</v>
      </c>
      <c r="E82" s="107">
        <v>8.0000000000000002E-3</v>
      </c>
      <c r="F82" s="105" t="s">
        <v>71</v>
      </c>
      <c r="G82" s="107">
        <v>0.01</v>
      </c>
      <c r="H82" s="105" t="s">
        <v>146</v>
      </c>
      <c r="I82" s="107">
        <v>4.0000000000000001E-3</v>
      </c>
      <c r="J82" s="107"/>
      <c r="K82" s="107">
        <v>1.0999999999999999E-2</v>
      </c>
      <c r="L82" s="105" t="s">
        <v>146</v>
      </c>
      <c r="M82" s="87">
        <v>8.2500000000000004E-3</v>
      </c>
    </row>
    <row r="83" spans="1:13" x14ac:dyDescent="0.2">
      <c r="A83" s="557" t="s">
        <v>148</v>
      </c>
      <c r="B83" s="557"/>
      <c r="C83" s="557"/>
      <c r="D83" s="105" t="s">
        <v>71</v>
      </c>
      <c r="E83" s="107">
        <v>7.0000000000000007E-2</v>
      </c>
      <c r="F83" s="105" t="s">
        <v>71</v>
      </c>
      <c r="G83" s="107">
        <v>0.08</v>
      </c>
      <c r="H83" s="105" t="s">
        <v>146</v>
      </c>
      <c r="I83" s="107">
        <v>0.03</v>
      </c>
      <c r="J83" s="107"/>
      <c r="K83" s="107">
        <v>0.09</v>
      </c>
      <c r="L83" s="105" t="s">
        <v>146</v>
      </c>
      <c r="M83" s="87">
        <v>6.7500000000000004E-2</v>
      </c>
    </row>
    <row r="84" spans="1:13" x14ac:dyDescent="0.2">
      <c r="A84" s="557" t="s">
        <v>58</v>
      </c>
      <c r="B84" s="557"/>
      <c r="C84" s="557"/>
      <c r="D84" s="105" t="s">
        <v>71</v>
      </c>
      <c r="E84" s="109">
        <v>2.0699999999999998E-5</v>
      </c>
      <c r="F84" s="110" t="s">
        <v>71</v>
      </c>
      <c r="G84" s="109">
        <v>1.7819999999999999E-5</v>
      </c>
      <c r="H84" s="105" t="s">
        <v>146</v>
      </c>
      <c r="I84" s="109">
        <v>1.06E-5</v>
      </c>
      <c r="J84" s="109"/>
      <c r="K84" s="109">
        <v>3.0320000000000001E-5</v>
      </c>
      <c r="L84" s="105" t="s">
        <v>146</v>
      </c>
      <c r="M84" s="112">
        <v>1.986E-5</v>
      </c>
    </row>
    <row r="85" spans="1:13" x14ac:dyDescent="0.2">
      <c r="A85" s="557" t="s">
        <v>149</v>
      </c>
      <c r="B85" s="557"/>
      <c r="C85" s="557"/>
      <c r="D85" s="105" t="s">
        <v>71</v>
      </c>
      <c r="E85" s="109">
        <v>2.3258426966292132E-7</v>
      </c>
      <c r="F85" s="110" t="s">
        <v>71</v>
      </c>
      <c r="G85" s="109">
        <v>1.4727272727272726E-7</v>
      </c>
      <c r="H85" s="105" t="s">
        <v>146</v>
      </c>
      <c r="I85" s="109">
        <v>8.833333333333333E-8</v>
      </c>
      <c r="J85" s="109"/>
      <c r="K85" s="109">
        <v>2.1657142857142857E-7</v>
      </c>
      <c r="L85" s="105" t="s">
        <v>146</v>
      </c>
      <c r="M85" s="112">
        <v>1.7119043971010262E-7</v>
      </c>
    </row>
    <row r="86" spans="1:13" ht="15" customHeight="1" x14ac:dyDescent="0.2">
      <c r="A86" s="552" t="s">
        <v>150</v>
      </c>
      <c r="B86" s="552"/>
      <c r="C86" s="552"/>
      <c r="D86" s="105"/>
      <c r="E86" s="113">
        <f>E85</f>
        <v>2.3258426966292132E-7</v>
      </c>
      <c r="F86" s="110"/>
      <c r="G86" s="113">
        <f>G85</f>
        <v>1.4727272727272726E-7</v>
      </c>
      <c r="H86" s="113"/>
      <c r="I86" s="113">
        <f>I85*0.5</f>
        <v>4.4166666666666665E-8</v>
      </c>
      <c r="J86" s="113"/>
      <c r="K86" s="113">
        <f>K85</f>
        <v>2.1657142857142857E-7</v>
      </c>
      <c r="L86" s="112"/>
      <c r="M86" s="114">
        <f>AVERAGE(E86,G86,I86,K86)</f>
        <v>1.6014877304343597E-7</v>
      </c>
    </row>
    <row r="87" spans="1:13" x14ac:dyDescent="0.2">
      <c r="A87" s="558" t="s">
        <v>158</v>
      </c>
      <c r="B87" s="559"/>
      <c r="C87" s="559"/>
      <c r="D87" s="559"/>
      <c r="E87" s="559"/>
      <c r="F87" s="559"/>
      <c r="G87" s="559"/>
      <c r="H87" s="559"/>
      <c r="I87" s="559"/>
      <c r="J87" s="559"/>
      <c r="K87" s="559"/>
      <c r="L87" s="559"/>
      <c r="M87" s="560"/>
    </row>
    <row r="88" spans="1:13" x14ac:dyDescent="0.2">
      <c r="A88" s="557" t="s">
        <v>142</v>
      </c>
      <c r="B88" s="557"/>
      <c r="C88" s="557"/>
      <c r="D88" s="105" t="s">
        <v>71</v>
      </c>
      <c r="E88" s="87">
        <v>325</v>
      </c>
      <c r="F88" s="105" t="s">
        <v>71</v>
      </c>
      <c r="G88" s="98">
        <v>420</v>
      </c>
      <c r="H88" s="87"/>
      <c r="I88" s="98">
        <v>48.1</v>
      </c>
      <c r="J88" s="87"/>
      <c r="K88" s="98">
        <v>467</v>
      </c>
      <c r="L88" s="87" t="s">
        <v>71</v>
      </c>
      <c r="M88" s="98">
        <v>315.02499999999998</v>
      </c>
    </row>
    <row r="89" spans="1:13" x14ac:dyDescent="0.2">
      <c r="A89" s="557" t="s">
        <v>147</v>
      </c>
      <c r="B89" s="557"/>
      <c r="C89" s="557"/>
      <c r="D89" s="105" t="s">
        <v>71</v>
      </c>
      <c r="E89" s="107">
        <v>3.9670000000000001</v>
      </c>
      <c r="F89" s="105" t="s">
        <v>71</v>
      </c>
      <c r="G89" s="107">
        <v>6.835</v>
      </c>
      <c r="H89" s="107"/>
      <c r="I89" s="107">
        <v>1.1220000000000001</v>
      </c>
      <c r="J89" s="107"/>
      <c r="K89" s="107">
        <v>10.125</v>
      </c>
      <c r="L89" s="87" t="s">
        <v>71</v>
      </c>
      <c r="M89" s="87">
        <v>5.5122499999999999</v>
      </c>
    </row>
    <row r="90" spans="1:13" x14ac:dyDescent="0.2">
      <c r="A90" s="557" t="s">
        <v>148</v>
      </c>
      <c r="B90" s="557"/>
      <c r="C90" s="557"/>
      <c r="D90" s="105" t="s">
        <v>71</v>
      </c>
      <c r="E90" s="107">
        <v>9.07</v>
      </c>
      <c r="F90" s="105" t="s">
        <v>71</v>
      </c>
      <c r="G90" s="107">
        <v>15.62</v>
      </c>
      <c r="H90" s="107"/>
      <c r="I90" s="107">
        <v>2.57</v>
      </c>
      <c r="J90" s="107"/>
      <c r="K90" s="107">
        <v>23.15</v>
      </c>
      <c r="L90" s="87" t="s">
        <v>71</v>
      </c>
      <c r="M90" s="87">
        <v>12.602499999999999</v>
      </c>
    </row>
    <row r="91" spans="1:13" x14ac:dyDescent="0.2">
      <c r="A91" s="557" t="s">
        <v>58</v>
      </c>
      <c r="B91" s="557"/>
      <c r="C91" s="557"/>
      <c r="D91" s="105" t="s">
        <v>71</v>
      </c>
      <c r="E91" s="109">
        <v>2.5999999999999999E-3</v>
      </c>
      <c r="F91" s="110" t="s">
        <v>71</v>
      </c>
      <c r="G91" s="109">
        <v>3.3999999999999998E-3</v>
      </c>
      <c r="H91" s="107"/>
      <c r="I91" s="109">
        <v>8.0000000000000004E-4</v>
      </c>
      <c r="J91" s="109"/>
      <c r="K91" s="109">
        <v>7.4999999999999997E-3</v>
      </c>
      <c r="L91" s="87" t="s">
        <v>71</v>
      </c>
      <c r="M91" s="112">
        <v>3.5750000000000001E-3</v>
      </c>
    </row>
    <row r="92" spans="1:13" x14ac:dyDescent="0.2">
      <c r="A92" s="557" t="s">
        <v>149</v>
      </c>
      <c r="B92" s="557"/>
      <c r="C92" s="557"/>
      <c r="D92" s="105" t="s">
        <v>71</v>
      </c>
      <c r="E92" s="109">
        <v>2.9213483146067414E-5</v>
      </c>
      <c r="F92" s="110" t="s">
        <v>71</v>
      </c>
      <c r="G92" s="109">
        <v>2.8099173553719007E-5</v>
      </c>
      <c r="H92" s="107"/>
      <c r="I92" s="109">
        <v>6.6666666666666666E-6</v>
      </c>
      <c r="J92" s="109"/>
      <c r="K92" s="109">
        <v>5.3571428571428569E-5</v>
      </c>
      <c r="L92" s="87" t="s">
        <v>71</v>
      </c>
      <c r="M92" s="112">
        <v>2.9387687984470414E-5</v>
      </c>
    </row>
    <row r="93" spans="1:13" ht="15" customHeight="1" x14ac:dyDescent="0.2">
      <c r="A93" s="552" t="s">
        <v>150</v>
      </c>
      <c r="B93" s="552"/>
      <c r="C93" s="552"/>
      <c r="D93" s="105"/>
      <c r="E93" s="113">
        <f>E92</f>
        <v>2.9213483146067414E-5</v>
      </c>
      <c r="F93" s="110"/>
      <c r="G93" s="113">
        <f>G92</f>
        <v>2.8099173553719007E-5</v>
      </c>
      <c r="H93" s="113"/>
      <c r="I93" s="113">
        <f>I92</f>
        <v>6.6666666666666666E-6</v>
      </c>
      <c r="J93" s="113"/>
      <c r="K93" s="113">
        <f>K92</f>
        <v>5.3571428571428569E-5</v>
      </c>
      <c r="L93" s="112"/>
      <c r="M93" s="114">
        <f>AVERAGE(E93,G93,I93,K93)</f>
        <v>2.9387687984470414E-5</v>
      </c>
    </row>
    <row r="94" spans="1:13" x14ac:dyDescent="0.2">
      <c r="A94" s="558" t="s">
        <v>159</v>
      </c>
      <c r="B94" s="559"/>
      <c r="C94" s="559"/>
      <c r="D94" s="559"/>
      <c r="E94" s="559"/>
      <c r="F94" s="559"/>
      <c r="G94" s="559"/>
      <c r="H94" s="559"/>
      <c r="I94" s="559"/>
      <c r="J94" s="559"/>
      <c r="K94" s="559"/>
      <c r="L94" s="559"/>
      <c r="M94" s="560"/>
    </row>
    <row r="95" spans="1:13" x14ac:dyDescent="0.2">
      <c r="A95" s="557" t="s">
        <v>142</v>
      </c>
      <c r="B95" s="557"/>
      <c r="C95" s="557"/>
      <c r="D95" s="105" t="s">
        <v>71</v>
      </c>
      <c r="E95" s="87">
        <v>18.3</v>
      </c>
      <c r="F95" s="105" t="s">
        <v>71</v>
      </c>
      <c r="G95" s="87">
        <v>36.799999999999997</v>
      </c>
      <c r="H95" s="87"/>
      <c r="I95" s="87">
        <v>4.4000000000000004</v>
      </c>
      <c r="J95" s="87"/>
      <c r="K95" s="87">
        <v>37.9</v>
      </c>
      <c r="L95" s="87" t="s">
        <v>71</v>
      </c>
      <c r="M95" s="98">
        <v>24.349999999999998</v>
      </c>
    </row>
    <row r="96" spans="1:13" x14ac:dyDescent="0.2">
      <c r="A96" s="557" t="s">
        <v>147</v>
      </c>
      <c r="B96" s="557"/>
      <c r="C96" s="557"/>
      <c r="D96" s="105" t="s">
        <v>71</v>
      </c>
      <c r="E96" s="107">
        <v>0.20899999999999999</v>
      </c>
      <c r="F96" s="105" t="s">
        <v>71</v>
      </c>
      <c r="G96" s="107">
        <v>0.56000000000000005</v>
      </c>
      <c r="H96" s="107"/>
      <c r="I96" s="107">
        <v>9.6000000000000002E-2</v>
      </c>
      <c r="J96" s="107"/>
      <c r="K96" s="107">
        <v>0.76900000000000002</v>
      </c>
      <c r="L96" s="87" t="s">
        <v>71</v>
      </c>
      <c r="M96" s="87">
        <v>0.40849999999999997</v>
      </c>
    </row>
    <row r="97" spans="1:21" x14ac:dyDescent="0.2">
      <c r="A97" s="557" t="s">
        <v>148</v>
      </c>
      <c r="B97" s="557"/>
      <c r="C97" s="557"/>
      <c r="D97" s="105" t="s">
        <v>71</v>
      </c>
      <c r="E97" s="107">
        <v>0.51</v>
      </c>
      <c r="F97" s="105" t="s">
        <v>71</v>
      </c>
      <c r="G97" s="107">
        <v>1.37</v>
      </c>
      <c r="H97" s="107"/>
      <c r="I97" s="107">
        <v>0.23</v>
      </c>
      <c r="J97" s="107"/>
      <c r="K97" s="107">
        <v>1.88</v>
      </c>
      <c r="L97" s="87" t="s">
        <v>71</v>
      </c>
      <c r="M97" s="87">
        <v>0.99750000000000005</v>
      </c>
    </row>
    <row r="98" spans="1:21" x14ac:dyDescent="0.2">
      <c r="A98" s="557" t="s">
        <v>58</v>
      </c>
      <c r="B98" s="557"/>
      <c r="C98" s="557"/>
      <c r="D98" s="105" t="s">
        <v>71</v>
      </c>
      <c r="E98" s="109">
        <v>1E-4</v>
      </c>
      <c r="F98" s="110" t="s">
        <v>71</v>
      </c>
      <c r="G98" s="109">
        <v>2.9999999999999997E-4</v>
      </c>
      <c r="H98" s="107"/>
      <c r="I98" s="109">
        <v>1E-4</v>
      </c>
      <c r="J98" s="109"/>
      <c r="K98" s="109">
        <v>5.9999999999999995E-4</v>
      </c>
      <c r="L98" s="87" t="s">
        <v>71</v>
      </c>
      <c r="M98" s="112">
        <v>2.7499999999999996E-4</v>
      </c>
    </row>
    <row r="99" spans="1:21" x14ac:dyDescent="0.2">
      <c r="A99" s="557" t="s">
        <v>149</v>
      </c>
      <c r="B99" s="557"/>
      <c r="C99" s="557"/>
      <c r="D99" s="105" t="s">
        <v>71</v>
      </c>
      <c r="E99" s="109">
        <v>1.1235955056179775E-6</v>
      </c>
      <c r="F99" s="110" t="s">
        <v>71</v>
      </c>
      <c r="G99" s="109">
        <v>2.4793388429752062E-6</v>
      </c>
      <c r="H99" s="107"/>
      <c r="I99" s="109">
        <v>8.3333333333333333E-7</v>
      </c>
      <c r="J99" s="109"/>
      <c r="K99" s="109">
        <v>4.2857142857142855E-6</v>
      </c>
      <c r="L99" s="87" t="s">
        <v>71</v>
      </c>
      <c r="M99" s="112">
        <v>2.1804954919102008E-6</v>
      </c>
      <c r="O99" s="115">
        <f>E98/E24</f>
        <v>1.1235955056179775E-6</v>
      </c>
      <c r="P99" s="115"/>
      <c r="Q99" s="115">
        <f t="shared" ref="Q99:U99" si="2">G98/G24</f>
        <v>2.4793388429752062E-6</v>
      </c>
      <c r="R99" s="115"/>
      <c r="S99" s="115">
        <f t="shared" si="2"/>
        <v>8.3333333333333333E-7</v>
      </c>
      <c r="T99" s="115"/>
      <c r="U99" s="115">
        <f t="shared" si="2"/>
        <v>4.2857142857142855E-6</v>
      </c>
    </row>
    <row r="100" spans="1:21" ht="16" x14ac:dyDescent="0.2">
      <c r="A100" s="552" t="s">
        <v>150</v>
      </c>
      <c r="B100" s="552"/>
      <c r="C100" s="552"/>
      <c r="D100" s="105"/>
      <c r="E100" s="113">
        <f>E99</f>
        <v>1.1235955056179775E-6</v>
      </c>
      <c r="F100" s="110"/>
      <c r="G100" s="113">
        <f>G99</f>
        <v>2.4793388429752062E-6</v>
      </c>
      <c r="H100" s="113"/>
      <c r="I100" s="113">
        <f>I99</f>
        <v>8.3333333333333333E-7</v>
      </c>
      <c r="J100" s="113"/>
      <c r="K100" s="113">
        <f>K99</f>
        <v>4.2857142857142855E-6</v>
      </c>
      <c r="L100" s="112"/>
      <c r="M100" s="114">
        <f>AVERAGE(E100,G100,I100,K100)</f>
        <v>2.1804954919102008E-6</v>
      </c>
    </row>
    <row r="101" spans="1:21" x14ac:dyDescent="0.2">
      <c r="A101" s="553" t="s">
        <v>160</v>
      </c>
      <c r="B101" s="554"/>
      <c r="C101" s="554"/>
      <c r="D101" s="554"/>
      <c r="E101" s="554"/>
      <c r="F101" s="554"/>
      <c r="G101" s="554"/>
      <c r="H101" s="554"/>
      <c r="I101" s="554"/>
      <c r="J101" s="554"/>
      <c r="K101" s="554"/>
      <c r="L101" s="554"/>
      <c r="M101" s="555"/>
    </row>
    <row r="102" spans="1:21" x14ac:dyDescent="0.2">
      <c r="A102" s="556" t="s">
        <v>142</v>
      </c>
      <c r="B102" s="556"/>
      <c r="C102" s="556"/>
      <c r="D102" s="116" t="s">
        <v>146</v>
      </c>
      <c r="E102" s="106">
        <v>90</v>
      </c>
      <c r="F102" s="116" t="s">
        <v>146</v>
      </c>
      <c r="G102" s="106">
        <v>90</v>
      </c>
      <c r="H102" s="116" t="s">
        <v>146</v>
      </c>
      <c r="I102" s="106">
        <v>90</v>
      </c>
      <c r="J102" s="116" t="s">
        <v>146</v>
      </c>
      <c r="K102" s="106">
        <v>90</v>
      </c>
      <c r="L102" s="106" t="s">
        <v>146</v>
      </c>
      <c r="M102" s="106">
        <v>90</v>
      </c>
    </row>
    <row r="103" spans="1:21" x14ac:dyDescent="0.2">
      <c r="A103" s="556" t="s">
        <v>147</v>
      </c>
      <c r="B103" s="556"/>
      <c r="C103" s="556"/>
      <c r="D103" s="116" t="s">
        <v>146</v>
      </c>
      <c r="E103" s="108">
        <v>1.9490000000000001</v>
      </c>
      <c r="F103" s="116" t="s">
        <v>146</v>
      </c>
      <c r="G103" s="108">
        <v>2.5979999999999999</v>
      </c>
      <c r="H103" s="116" t="s">
        <v>146</v>
      </c>
      <c r="I103" s="108">
        <v>3.7250000000000001</v>
      </c>
      <c r="J103" s="116" t="s">
        <v>146</v>
      </c>
      <c r="K103" s="108">
        <v>3.4620000000000002</v>
      </c>
      <c r="L103" s="106" t="s">
        <v>146</v>
      </c>
      <c r="M103" s="106">
        <v>2.9335</v>
      </c>
    </row>
    <row r="104" spans="1:21" x14ac:dyDescent="0.2">
      <c r="A104" s="556" t="s">
        <v>148</v>
      </c>
      <c r="B104" s="556"/>
      <c r="C104" s="556"/>
      <c r="D104" s="116" t="s">
        <v>146</v>
      </c>
      <c r="E104" s="108">
        <v>2.5099999999999998</v>
      </c>
      <c r="F104" s="116" t="s">
        <v>146</v>
      </c>
      <c r="G104" s="108">
        <v>3.35</v>
      </c>
      <c r="H104" s="116" t="s">
        <v>146</v>
      </c>
      <c r="I104" s="108">
        <v>4.8</v>
      </c>
      <c r="J104" s="116" t="s">
        <v>146</v>
      </c>
      <c r="K104" s="108">
        <v>4.46</v>
      </c>
      <c r="L104" s="106" t="s">
        <v>146</v>
      </c>
      <c r="M104" s="106">
        <v>3.7800000000000002</v>
      </c>
    </row>
    <row r="105" spans="1:21" x14ac:dyDescent="0.2">
      <c r="A105" s="556" t="s">
        <v>58</v>
      </c>
      <c r="B105" s="556"/>
      <c r="C105" s="556"/>
      <c r="D105" s="116" t="s">
        <v>146</v>
      </c>
      <c r="E105" s="111">
        <v>6.9999999999999999E-4</v>
      </c>
      <c r="F105" s="117" t="s">
        <v>146</v>
      </c>
      <c r="G105" s="111">
        <v>6.9999999999999999E-4</v>
      </c>
      <c r="H105" s="116" t="s">
        <v>146</v>
      </c>
      <c r="I105" s="111">
        <v>1.6000000000000001E-3</v>
      </c>
      <c r="J105" s="117" t="s">
        <v>146</v>
      </c>
      <c r="K105" s="111">
        <v>1.4E-3</v>
      </c>
      <c r="L105" s="118" t="s">
        <v>146</v>
      </c>
      <c r="M105" s="118">
        <v>1.1000000000000001E-3</v>
      </c>
    </row>
    <row r="106" spans="1:21" x14ac:dyDescent="0.2">
      <c r="A106" s="556" t="s">
        <v>149</v>
      </c>
      <c r="B106" s="556"/>
      <c r="C106" s="556"/>
      <c r="D106" s="116" t="s">
        <v>146</v>
      </c>
      <c r="E106" s="111">
        <v>7.8651685393258434E-6</v>
      </c>
      <c r="F106" s="117" t="s">
        <v>146</v>
      </c>
      <c r="G106" s="111">
        <v>5.7851239669421486E-6</v>
      </c>
      <c r="H106" s="116" t="s">
        <v>146</v>
      </c>
      <c r="I106" s="111">
        <v>1.3333333333333333E-5</v>
      </c>
      <c r="J106" s="117" t="s">
        <v>146</v>
      </c>
      <c r="K106" s="111">
        <v>9.9999999999999991E-6</v>
      </c>
      <c r="L106" s="118" t="s">
        <v>146</v>
      </c>
      <c r="M106" s="118">
        <v>9.2459064599003322E-6</v>
      </c>
    </row>
    <row r="107" spans="1:21" ht="15" customHeight="1" x14ac:dyDescent="0.2">
      <c r="A107" s="552" t="s">
        <v>150</v>
      </c>
      <c r="B107" s="552"/>
      <c r="C107" s="552"/>
      <c r="D107" s="105"/>
      <c r="E107" s="113">
        <v>0</v>
      </c>
      <c r="F107" s="110"/>
      <c r="G107" s="113">
        <v>0</v>
      </c>
      <c r="H107" s="113"/>
      <c r="I107" s="113">
        <v>0</v>
      </c>
      <c r="J107" s="113"/>
      <c r="K107" s="113">
        <v>0</v>
      </c>
      <c r="L107" s="112"/>
      <c r="M107" s="114">
        <f>AVERAGE(E107,G107,I107,K107)</f>
        <v>0</v>
      </c>
    </row>
    <row r="108" spans="1:21" x14ac:dyDescent="0.2">
      <c r="A108" s="553" t="s">
        <v>161</v>
      </c>
      <c r="B108" s="554"/>
      <c r="C108" s="554"/>
      <c r="D108" s="554"/>
      <c r="E108" s="554"/>
      <c r="F108" s="554"/>
      <c r="G108" s="554"/>
      <c r="H108" s="554"/>
      <c r="I108" s="554"/>
      <c r="J108" s="554"/>
      <c r="K108" s="554"/>
      <c r="L108" s="554"/>
      <c r="M108" s="555"/>
    </row>
    <row r="109" spans="1:21" x14ac:dyDescent="0.2">
      <c r="A109" s="556" t="s">
        <v>142</v>
      </c>
      <c r="B109" s="556"/>
      <c r="C109" s="556"/>
      <c r="D109" s="116" t="s">
        <v>146</v>
      </c>
      <c r="E109" s="106">
        <v>2</v>
      </c>
      <c r="F109" s="116" t="s">
        <v>146</v>
      </c>
      <c r="G109" s="106">
        <v>2</v>
      </c>
      <c r="H109" s="116" t="s">
        <v>146</v>
      </c>
      <c r="I109" s="106">
        <v>2</v>
      </c>
      <c r="J109" s="116" t="s">
        <v>146</v>
      </c>
      <c r="K109" s="106">
        <v>2</v>
      </c>
      <c r="L109" s="106" t="s">
        <v>146</v>
      </c>
      <c r="M109" s="106">
        <v>2</v>
      </c>
    </row>
    <row r="110" spans="1:21" x14ac:dyDescent="0.2">
      <c r="A110" s="556" t="s">
        <v>147</v>
      </c>
      <c r="B110" s="556"/>
      <c r="C110" s="556"/>
      <c r="D110" s="116" t="s">
        <v>146</v>
      </c>
      <c r="E110" s="108">
        <v>1.7000000000000001E-2</v>
      </c>
      <c r="F110" s="116" t="s">
        <v>146</v>
      </c>
      <c r="G110" s="108">
        <v>2.3E-2</v>
      </c>
      <c r="H110" s="116" t="s">
        <v>146</v>
      </c>
      <c r="I110" s="108">
        <v>3.2000000000000001E-2</v>
      </c>
      <c r="J110" s="116" t="s">
        <v>146</v>
      </c>
      <c r="K110" s="108">
        <v>0.03</v>
      </c>
      <c r="L110" s="106" t="s">
        <v>146</v>
      </c>
      <c r="M110" s="106">
        <v>2.5500000000000002E-2</v>
      </c>
    </row>
    <row r="111" spans="1:21" x14ac:dyDescent="0.2">
      <c r="A111" s="556" t="s">
        <v>148</v>
      </c>
      <c r="B111" s="556"/>
      <c r="C111" s="556"/>
      <c r="D111" s="116" t="s">
        <v>146</v>
      </c>
      <c r="E111" s="108">
        <v>0.06</v>
      </c>
      <c r="F111" s="116" t="s">
        <v>146</v>
      </c>
      <c r="G111" s="108">
        <v>7.0000000000000007E-2</v>
      </c>
      <c r="H111" s="116" t="s">
        <v>146</v>
      </c>
      <c r="I111" s="108">
        <v>0.11</v>
      </c>
      <c r="J111" s="116" t="s">
        <v>146</v>
      </c>
      <c r="K111" s="108">
        <v>0.1</v>
      </c>
      <c r="L111" s="106" t="s">
        <v>146</v>
      </c>
      <c r="M111" s="106">
        <v>8.4999999999999992E-2</v>
      </c>
    </row>
    <row r="112" spans="1:21" x14ac:dyDescent="0.2">
      <c r="A112" s="556" t="s">
        <v>58</v>
      </c>
      <c r="B112" s="556"/>
      <c r="C112" s="556"/>
      <c r="D112" s="116" t="s">
        <v>146</v>
      </c>
      <c r="E112" s="111">
        <v>1.5979999999999999E-5</v>
      </c>
      <c r="F112" s="117" t="s">
        <v>146</v>
      </c>
      <c r="G112" s="111">
        <v>1.5979999999999999E-5</v>
      </c>
      <c r="H112" s="116" t="s">
        <v>146</v>
      </c>
      <c r="I112" s="111">
        <v>3.5339999999999997E-5</v>
      </c>
      <c r="J112" s="117" t="s">
        <v>146</v>
      </c>
      <c r="K112" s="111">
        <v>3.2079999999999998E-5</v>
      </c>
      <c r="L112" s="118" t="s">
        <v>146</v>
      </c>
      <c r="M112" s="118">
        <v>2.4844999999999997E-5</v>
      </c>
    </row>
    <row r="113" spans="1:13" x14ac:dyDescent="0.2">
      <c r="A113" s="556" t="s">
        <v>149</v>
      </c>
      <c r="B113" s="556"/>
      <c r="C113" s="556"/>
      <c r="D113" s="116" t="s">
        <v>146</v>
      </c>
      <c r="E113" s="111">
        <v>1.795505617977528E-7</v>
      </c>
      <c r="F113" s="117" t="s">
        <v>146</v>
      </c>
      <c r="G113" s="111">
        <v>1.3206611570247934E-7</v>
      </c>
      <c r="H113" s="116" t="s">
        <v>146</v>
      </c>
      <c r="I113" s="111">
        <v>2.945E-7</v>
      </c>
      <c r="J113" s="117" t="s">
        <v>146</v>
      </c>
      <c r="K113" s="111">
        <v>2.2914285714285712E-7</v>
      </c>
      <c r="L113" s="118" t="s">
        <v>146</v>
      </c>
      <c r="M113" s="118">
        <v>2.0881488366077231E-7</v>
      </c>
    </row>
    <row r="114" spans="1:13" ht="15" customHeight="1" x14ac:dyDescent="0.2">
      <c r="A114" s="552" t="s">
        <v>150</v>
      </c>
      <c r="B114" s="552"/>
      <c r="C114" s="552"/>
      <c r="D114" s="105"/>
      <c r="E114" s="113">
        <v>0</v>
      </c>
      <c r="F114" s="110"/>
      <c r="G114" s="113">
        <v>0</v>
      </c>
      <c r="H114" s="113"/>
      <c r="I114" s="113">
        <v>0</v>
      </c>
      <c r="J114" s="113"/>
      <c r="K114" s="113">
        <v>0</v>
      </c>
      <c r="L114" s="112"/>
      <c r="M114" s="114">
        <f>AVERAGE(E114,G114,I114,K114)</f>
        <v>0</v>
      </c>
    </row>
    <row r="115" spans="1:13" x14ac:dyDescent="0.2">
      <c r="A115" s="553" t="s">
        <v>162</v>
      </c>
      <c r="B115" s="554"/>
      <c r="C115" s="554"/>
      <c r="D115" s="554"/>
      <c r="E115" s="554"/>
      <c r="F115" s="554"/>
      <c r="G115" s="554"/>
      <c r="H115" s="554"/>
      <c r="I115" s="554"/>
      <c r="J115" s="554"/>
      <c r="K115" s="554"/>
      <c r="L115" s="554"/>
      <c r="M115" s="555"/>
    </row>
    <row r="116" spans="1:13" x14ac:dyDescent="0.2">
      <c r="A116" s="556" t="s">
        <v>142</v>
      </c>
      <c r="B116" s="556"/>
      <c r="C116" s="556"/>
      <c r="D116" s="116" t="s">
        <v>71</v>
      </c>
      <c r="E116" s="106">
        <v>46</v>
      </c>
      <c r="F116" s="116" t="s">
        <v>71</v>
      </c>
      <c r="G116" s="106">
        <v>37</v>
      </c>
      <c r="H116" s="116" t="s">
        <v>146</v>
      </c>
      <c r="I116" s="106">
        <v>10</v>
      </c>
      <c r="J116" s="106"/>
      <c r="K116" s="106">
        <v>21</v>
      </c>
      <c r="L116" s="116" t="s">
        <v>146</v>
      </c>
      <c r="M116" s="106">
        <v>28.5</v>
      </c>
    </row>
    <row r="117" spans="1:13" x14ac:dyDescent="0.2">
      <c r="A117" s="556" t="s">
        <v>147</v>
      </c>
      <c r="B117" s="556"/>
      <c r="C117" s="556"/>
      <c r="D117" s="116" t="s">
        <v>71</v>
      </c>
      <c r="E117" s="108">
        <v>0.47199999999999998</v>
      </c>
      <c r="F117" s="116"/>
      <c r="G117" s="108">
        <v>0.50600000000000001</v>
      </c>
      <c r="H117" s="116" t="s">
        <v>146</v>
      </c>
      <c r="I117" s="108">
        <v>0.19600000000000001</v>
      </c>
      <c r="J117" s="108"/>
      <c r="K117" s="108">
        <v>0.38300000000000001</v>
      </c>
      <c r="L117" s="116" t="s">
        <v>146</v>
      </c>
      <c r="M117" s="106">
        <v>0.38924999999999998</v>
      </c>
    </row>
    <row r="118" spans="1:13" x14ac:dyDescent="0.2">
      <c r="A118" s="556" t="s">
        <v>148</v>
      </c>
      <c r="B118" s="556"/>
      <c r="C118" s="556"/>
      <c r="D118" s="116" t="s">
        <v>71</v>
      </c>
      <c r="E118" s="108">
        <v>1.28</v>
      </c>
      <c r="F118" s="116" t="s">
        <v>71</v>
      </c>
      <c r="G118" s="108">
        <v>1.38</v>
      </c>
      <c r="H118" s="116" t="s">
        <v>146</v>
      </c>
      <c r="I118" s="108">
        <v>0.53</v>
      </c>
      <c r="J118" s="108"/>
      <c r="K118" s="108">
        <v>1.04</v>
      </c>
      <c r="L118" s="116" t="s">
        <v>146</v>
      </c>
      <c r="M118" s="106">
        <v>1.0575000000000001</v>
      </c>
    </row>
    <row r="119" spans="1:13" x14ac:dyDescent="0.2">
      <c r="A119" s="556" t="s">
        <v>58</v>
      </c>
      <c r="B119" s="556"/>
      <c r="C119" s="556"/>
      <c r="D119" s="116" t="s">
        <v>71</v>
      </c>
      <c r="E119" s="111">
        <v>4.0000000000000002E-4</v>
      </c>
      <c r="F119" s="117" t="s">
        <v>71</v>
      </c>
      <c r="G119" s="111">
        <v>2.9999999999999997E-4</v>
      </c>
      <c r="H119" s="116" t="s">
        <v>146</v>
      </c>
      <c r="I119" s="111">
        <v>2.0000000000000001E-4</v>
      </c>
      <c r="J119" s="111"/>
      <c r="K119" s="111">
        <v>2.9999999999999997E-4</v>
      </c>
      <c r="L119" s="116" t="s">
        <v>146</v>
      </c>
      <c r="M119" s="118">
        <v>2.9999999999999997E-4</v>
      </c>
    </row>
    <row r="120" spans="1:13" x14ac:dyDescent="0.2">
      <c r="A120" s="556" t="s">
        <v>149</v>
      </c>
      <c r="B120" s="556"/>
      <c r="C120" s="556"/>
      <c r="D120" s="116" t="s">
        <v>71</v>
      </c>
      <c r="E120" s="111">
        <v>4.4943820224719099E-6</v>
      </c>
      <c r="F120" s="117" t="s">
        <v>71</v>
      </c>
      <c r="G120" s="111">
        <v>2.4793388429752062E-6</v>
      </c>
      <c r="H120" s="116" t="s">
        <v>146</v>
      </c>
      <c r="I120" s="111">
        <v>1.6666666666666667E-6</v>
      </c>
      <c r="J120" s="111"/>
      <c r="K120" s="111">
        <v>2.1428571428571427E-6</v>
      </c>
      <c r="L120" s="116" t="s">
        <v>146</v>
      </c>
      <c r="M120" s="118">
        <v>2.6958111687427314E-6</v>
      </c>
    </row>
    <row r="121" spans="1:13" ht="15" customHeight="1" x14ac:dyDescent="0.2">
      <c r="A121" s="552" t="s">
        <v>150</v>
      </c>
      <c r="B121" s="552"/>
      <c r="C121" s="552"/>
      <c r="D121" s="105"/>
      <c r="E121" s="113">
        <f>E120</f>
        <v>4.4943820224719099E-6</v>
      </c>
      <c r="F121" s="110"/>
      <c r="G121" s="113">
        <f>G120</f>
        <v>2.4793388429752062E-6</v>
      </c>
      <c r="H121" s="113"/>
      <c r="I121" s="113">
        <f>I120*0.5</f>
        <v>8.3333333333333333E-7</v>
      </c>
      <c r="J121" s="113"/>
      <c r="K121" s="113">
        <f>K120</f>
        <v>2.1428571428571427E-6</v>
      </c>
      <c r="L121" s="112"/>
      <c r="M121" s="114">
        <f>AVERAGE(E121,G121,I121,K121)</f>
        <v>2.4874778354093982E-6</v>
      </c>
    </row>
    <row r="122" spans="1:13" x14ac:dyDescent="0.2">
      <c r="A122" s="553" t="s">
        <v>163</v>
      </c>
      <c r="B122" s="554"/>
      <c r="C122" s="554"/>
      <c r="D122" s="554"/>
      <c r="E122" s="554"/>
      <c r="F122" s="554"/>
      <c r="G122" s="554"/>
      <c r="H122" s="554"/>
      <c r="I122" s="554"/>
      <c r="J122" s="554"/>
      <c r="K122" s="554"/>
      <c r="L122" s="554"/>
      <c r="M122" s="555"/>
    </row>
    <row r="123" spans="1:13" x14ac:dyDescent="0.2">
      <c r="A123" s="556" t="s">
        <v>142</v>
      </c>
      <c r="B123" s="556"/>
      <c r="C123" s="556"/>
      <c r="D123" s="116" t="s">
        <v>146</v>
      </c>
      <c r="E123" s="106">
        <v>0.18</v>
      </c>
      <c r="F123" s="116" t="s">
        <v>146</v>
      </c>
      <c r="G123" s="106">
        <v>0.18</v>
      </c>
      <c r="H123" s="116" t="s">
        <v>146</v>
      </c>
      <c r="I123" s="106">
        <v>0.18</v>
      </c>
      <c r="J123" s="116" t="s">
        <v>146</v>
      </c>
      <c r="K123" s="106">
        <v>0.18</v>
      </c>
      <c r="L123" s="106" t="s">
        <v>146</v>
      </c>
      <c r="M123" s="106">
        <v>0.18</v>
      </c>
    </row>
    <row r="124" spans="1:13" x14ac:dyDescent="0.2">
      <c r="A124" s="556" t="s">
        <v>147</v>
      </c>
      <c r="B124" s="556"/>
      <c r="C124" s="556"/>
      <c r="D124" s="116" t="s">
        <v>146</v>
      </c>
      <c r="E124" s="119">
        <v>1E-3</v>
      </c>
      <c r="F124" s="120" t="s">
        <v>146</v>
      </c>
      <c r="G124" s="119">
        <v>1E-3</v>
      </c>
      <c r="H124" s="116" t="s">
        <v>146</v>
      </c>
      <c r="I124" s="119">
        <v>2E-3</v>
      </c>
      <c r="J124" s="116" t="s">
        <v>146</v>
      </c>
      <c r="K124" s="119">
        <v>2E-3</v>
      </c>
      <c r="L124" s="106" t="s">
        <v>146</v>
      </c>
      <c r="M124" s="121">
        <v>1.5E-3</v>
      </c>
    </row>
    <row r="125" spans="1:13" x14ac:dyDescent="0.2">
      <c r="A125" s="556" t="s">
        <v>148</v>
      </c>
      <c r="B125" s="556"/>
      <c r="C125" s="556"/>
      <c r="D125" s="116" t="s">
        <v>146</v>
      </c>
      <c r="E125" s="108">
        <v>0.01</v>
      </c>
      <c r="F125" s="116" t="s">
        <v>146</v>
      </c>
      <c r="G125" s="108">
        <v>0.01</v>
      </c>
      <c r="H125" s="116" t="s">
        <v>146</v>
      </c>
      <c r="I125" s="108">
        <v>0.01</v>
      </c>
      <c r="J125" s="116" t="s">
        <v>146</v>
      </c>
      <c r="K125" s="108">
        <v>0.01</v>
      </c>
      <c r="L125" s="106" t="s">
        <v>146</v>
      </c>
      <c r="M125" s="106">
        <v>0.01</v>
      </c>
    </row>
    <row r="126" spans="1:13" x14ac:dyDescent="0.2">
      <c r="A126" s="556" t="s">
        <v>58</v>
      </c>
      <c r="B126" s="556"/>
      <c r="C126" s="556"/>
      <c r="D126" s="116" t="s">
        <v>146</v>
      </c>
      <c r="E126" s="111">
        <v>1.44E-6</v>
      </c>
      <c r="F126" s="117" t="s">
        <v>146</v>
      </c>
      <c r="G126" s="111">
        <v>2.1100000000000001E-6</v>
      </c>
      <c r="H126" s="116" t="s">
        <v>146</v>
      </c>
      <c r="I126" s="111">
        <v>3.18E-6</v>
      </c>
      <c r="J126" s="116" t="s">
        <v>146</v>
      </c>
      <c r="K126" s="111">
        <v>2.8899999999999999E-6</v>
      </c>
      <c r="L126" s="106" t="s">
        <v>146</v>
      </c>
      <c r="M126" s="118">
        <v>2.4049999999999998E-6</v>
      </c>
    </row>
    <row r="127" spans="1:13" x14ac:dyDescent="0.2">
      <c r="A127" s="556" t="s">
        <v>149</v>
      </c>
      <c r="B127" s="556"/>
      <c r="C127" s="556"/>
      <c r="D127" s="116" t="s">
        <v>146</v>
      </c>
      <c r="E127" s="111">
        <v>1.6179775280898877E-8</v>
      </c>
      <c r="F127" s="117" t="s">
        <v>146</v>
      </c>
      <c r="G127" s="111">
        <v>1.743801652892562E-8</v>
      </c>
      <c r="H127" s="116" t="s">
        <v>146</v>
      </c>
      <c r="I127" s="111">
        <v>2.6499999999999999E-8</v>
      </c>
      <c r="J127" s="116" t="s">
        <v>146</v>
      </c>
      <c r="K127" s="111">
        <v>2.0642857142857141E-8</v>
      </c>
      <c r="L127" s="106" t="s">
        <v>146</v>
      </c>
      <c r="M127" s="118">
        <v>2.0190162238170411E-8</v>
      </c>
    </row>
    <row r="128" spans="1:13" ht="15" customHeight="1" x14ac:dyDescent="0.2">
      <c r="A128" s="552" t="s">
        <v>150</v>
      </c>
      <c r="B128" s="552"/>
      <c r="C128" s="552"/>
      <c r="D128" s="105"/>
      <c r="E128" s="113">
        <v>0</v>
      </c>
      <c r="F128" s="110"/>
      <c r="G128" s="113">
        <v>0</v>
      </c>
      <c r="H128" s="113"/>
      <c r="I128" s="113">
        <v>0</v>
      </c>
      <c r="J128" s="113"/>
      <c r="K128" s="113">
        <v>0</v>
      </c>
      <c r="L128" s="112"/>
      <c r="M128" s="114">
        <f>AVERAGE(E128,G128,I128,K128)</f>
        <v>0</v>
      </c>
    </row>
    <row r="129" spans="1:21" x14ac:dyDescent="0.2">
      <c r="A129" s="553" t="s">
        <v>164</v>
      </c>
      <c r="B129" s="554"/>
      <c r="C129" s="554"/>
      <c r="D129" s="554"/>
      <c r="E129" s="554"/>
      <c r="F129" s="554"/>
      <c r="G129" s="554"/>
      <c r="H129" s="554"/>
      <c r="I129" s="554"/>
      <c r="J129" s="554"/>
      <c r="K129" s="554"/>
      <c r="L129" s="554"/>
      <c r="M129" s="555"/>
    </row>
    <row r="130" spans="1:21" x14ac:dyDescent="0.2">
      <c r="A130" s="556" t="s">
        <v>142</v>
      </c>
      <c r="B130" s="556"/>
      <c r="C130" s="556"/>
      <c r="D130" s="116" t="s">
        <v>71</v>
      </c>
      <c r="E130" s="106">
        <v>10.9</v>
      </c>
      <c r="F130" s="116" t="s">
        <v>71</v>
      </c>
      <c r="G130" s="106">
        <v>12.2</v>
      </c>
      <c r="H130" s="116" t="s">
        <v>146</v>
      </c>
      <c r="I130" s="106">
        <v>0.6</v>
      </c>
      <c r="J130" s="106"/>
      <c r="K130" s="106">
        <v>7.39</v>
      </c>
      <c r="L130" s="106" t="s">
        <v>146</v>
      </c>
      <c r="M130" s="106">
        <v>7.7725000000000009</v>
      </c>
    </row>
    <row r="131" spans="1:21" x14ac:dyDescent="0.2">
      <c r="A131" s="556" t="s">
        <v>147</v>
      </c>
      <c r="B131" s="556"/>
      <c r="C131" s="556"/>
      <c r="D131" s="116" t="s">
        <v>71</v>
      </c>
      <c r="E131" s="108">
        <v>0.14299999999999999</v>
      </c>
      <c r="F131" s="116"/>
      <c r="G131" s="108">
        <v>0.214</v>
      </c>
      <c r="H131" s="116" t="s">
        <v>146</v>
      </c>
      <c r="I131" s="108">
        <v>1.4999999999999999E-2</v>
      </c>
      <c r="J131" s="108"/>
      <c r="K131" s="108">
        <v>0.17299999999999999</v>
      </c>
      <c r="L131" s="106" t="s">
        <v>146</v>
      </c>
      <c r="M131" s="121">
        <v>0.13624999999999998</v>
      </c>
    </row>
    <row r="132" spans="1:21" x14ac:dyDescent="0.2">
      <c r="A132" s="556" t="s">
        <v>148</v>
      </c>
      <c r="B132" s="556"/>
      <c r="C132" s="556"/>
      <c r="D132" s="116" t="s">
        <v>71</v>
      </c>
      <c r="E132" s="108">
        <v>0.3</v>
      </c>
      <c r="F132" s="116" t="s">
        <v>71</v>
      </c>
      <c r="G132" s="108">
        <v>0.45</v>
      </c>
      <c r="H132" s="116" t="s">
        <v>146</v>
      </c>
      <c r="I132" s="108">
        <v>0.03</v>
      </c>
      <c r="J132" s="108"/>
      <c r="K132" s="108">
        <v>0.37</v>
      </c>
      <c r="L132" s="106" t="s">
        <v>146</v>
      </c>
      <c r="M132" s="106">
        <v>0.28749999999999998</v>
      </c>
    </row>
    <row r="133" spans="1:21" x14ac:dyDescent="0.2">
      <c r="A133" s="556" t="s">
        <v>58</v>
      </c>
      <c r="B133" s="556"/>
      <c r="C133" s="556"/>
      <c r="D133" s="116" t="s">
        <v>71</v>
      </c>
      <c r="E133" s="111">
        <v>1E-4</v>
      </c>
      <c r="F133" s="117" t="s">
        <v>71</v>
      </c>
      <c r="G133" s="111">
        <v>1E-4</v>
      </c>
      <c r="H133" s="116" t="s">
        <v>146</v>
      </c>
      <c r="I133" s="111">
        <v>1.06E-5</v>
      </c>
      <c r="J133" s="122"/>
      <c r="K133" s="111">
        <v>1E-4</v>
      </c>
      <c r="L133" s="106" t="s">
        <v>146</v>
      </c>
      <c r="M133" s="118">
        <v>7.7650000000000004E-5</v>
      </c>
    </row>
    <row r="134" spans="1:21" x14ac:dyDescent="0.2">
      <c r="A134" s="556" t="s">
        <v>149</v>
      </c>
      <c r="B134" s="556"/>
      <c r="C134" s="556"/>
      <c r="D134" s="116" t="s">
        <v>71</v>
      </c>
      <c r="E134" s="111">
        <v>1.1235955056179775E-6</v>
      </c>
      <c r="F134" s="117" t="s">
        <v>71</v>
      </c>
      <c r="G134" s="111">
        <v>8.2644628099173561E-7</v>
      </c>
      <c r="H134" s="116" t="s">
        <v>146</v>
      </c>
      <c r="I134" s="111">
        <v>8.2644628099173561E-7</v>
      </c>
      <c r="J134" s="123"/>
      <c r="K134" s="111">
        <v>8.2644628099173561E-7</v>
      </c>
      <c r="L134" s="106" t="s">
        <v>146</v>
      </c>
      <c r="M134" s="118">
        <v>9.0073358714829607E-7</v>
      </c>
      <c r="O134" s="115">
        <f>E133/E24</f>
        <v>1.1235955056179775E-6</v>
      </c>
      <c r="P134" s="115"/>
      <c r="Q134" s="115">
        <f t="shared" ref="Q134:S134" si="3">G133/G24</f>
        <v>8.2644628099173561E-7</v>
      </c>
      <c r="R134" s="115"/>
      <c r="S134" s="115">
        <f t="shared" si="3"/>
        <v>8.833333333333333E-8</v>
      </c>
      <c r="T134" s="115"/>
      <c r="U134" s="115">
        <f t="shared" ref="U134" si="4">K133/K24</f>
        <v>7.1428571428571431E-7</v>
      </c>
    </row>
    <row r="135" spans="1:21" ht="16" x14ac:dyDescent="0.2">
      <c r="A135" s="552" t="s">
        <v>150</v>
      </c>
      <c r="B135" s="552"/>
      <c r="C135" s="552"/>
      <c r="D135" s="105"/>
      <c r="E135" s="113">
        <f>E134</f>
        <v>1.1235955056179775E-6</v>
      </c>
      <c r="F135" s="110"/>
      <c r="G135" s="113">
        <f>G134</f>
        <v>8.2644628099173561E-7</v>
      </c>
      <c r="H135" s="113"/>
      <c r="I135" s="113">
        <f>I134*0.5</f>
        <v>4.132231404958678E-7</v>
      </c>
      <c r="J135" s="113"/>
      <c r="K135" s="113">
        <f>K134</f>
        <v>8.2644628099173561E-7</v>
      </c>
      <c r="L135" s="112"/>
      <c r="M135" s="114">
        <f>AVERAGE(E135,G135,I135,K135)</f>
        <v>7.9742780202432915E-7</v>
      </c>
    </row>
  </sheetData>
  <sheetProtection algorithmName="SHA-512" hashValue="ItyeIBf7Y1c92Y/znmXPjzBLug5M09iLcXlej/F9umxeuSCj4XBTwtKC1bVm0WdDLUxROiC17w72SkhHKFlswA==" saltValue="yP7E/H10CStN4gSmDo0qbQ==" spinCount="100000" sheet="1" objects="1" scenarios="1"/>
  <mergeCells count="134">
    <mergeCell ref="A8:C8"/>
    <mergeCell ref="A9:C9"/>
    <mergeCell ref="A10:C10"/>
    <mergeCell ref="A12:M12"/>
    <mergeCell ref="A13:C13"/>
    <mergeCell ref="A14:C14"/>
    <mergeCell ref="A1:M1"/>
    <mergeCell ref="B2:E2"/>
    <mergeCell ref="B3:E3"/>
    <mergeCell ref="B4:E4"/>
    <mergeCell ref="B5:E5"/>
    <mergeCell ref="A7:C7"/>
    <mergeCell ref="E7:M7"/>
    <mergeCell ref="A21:C21"/>
    <mergeCell ref="A22:C22"/>
    <mergeCell ref="A23:C23"/>
    <mergeCell ref="A24:C24"/>
    <mergeCell ref="A25:C25"/>
    <mergeCell ref="A26:M26"/>
    <mergeCell ref="A15:C15"/>
    <mergeCell ref="A16:C16"/>
    <mergeCell ref="A17:C17"/>
    <mergeCell ref="A18:C18"/>
    <mergeCell ref="A19:C19"/>
    <mergeCell ref="A20:C20"/>
    <mergeCell ref="A33:C33"/>
    <mergeCell ref="A34:C34"/>
    <mergeCell ref="A35:C35"/>
    <mergeCell ref="A36:C36"/>
    <mergeCell ref="A37:C37"/>
    <mergeCell ref="A38:M38"/>
    <mergeCell ref="A27:C27"/>
    <mergeCell ref="A28:C28"/>
    <mergeCell ref="A29:C29"/>
    <mergeCell ref="A30:C30"/>
    <mergeCell ref="A31:M31"/>
    <mergeCell ref="A32:C32"/>
    <mergeCell ref="A45:M45"/>
    <mergeCell ref="A46:C46"/>
    <mergeCell ref="A47:C47"/>
    <mergeCell ref="A48:C48"/>
    <mergeCell ref="A49:C49"/>
    <mergeCell ref="A50:C50"/>
    <mergeCell ref="A39:C39"/>
    <mergeCell ref="A40:C40"/>
    <mergeCell ref="A41:C41"/>
    <mergeCell ref="A42:C42"/>
    <mergeCell ref="A43:C43"/>
    <mergeCell ref="A44:C44"/>
    <mergeCell ref="A57:C57"/>
    <mergeCell ref="A58:C58"/>
    <mergeCell ref="A59:M59"/>
    <mergeCell ref="A60:C60"/>
    <mergeCell ref="A61:C61"/>
    <mergeCell ref="A62:C62"/>
    <mergeCell ref="A51:C51"/>
    <mergeCell ref="A52:M52"/>
    <mergeCell ref="A53:C53"/>
    <mergeCell ref="A54:C54"/>
    <mergeCell ref="A55:C55"/>
    <mergeCell ref="A56:C56"/>
    <mergeCell ref="A69:C69"/>
    <mergeCell ref="A70:C70"/>
    <mergeCell ref="A71:C71"/>
    <mergeCell ref="A72:C72"/>
    <mergeCell ref="A73:M73"/>
    <mergeCell ref="A74:C74"/>
    <mergeCell ref="A63:C63"/>
    <mergeCell ref="A64:C64"/>
    <mergeCell ref="A65:C65"/>
    <mergeCell ref="A66:M66"/>
    <mergeCell ref="A67:C67"/>
    <mergeCell ref="A68:C68"/>
    <mergeCell ref="A81:C81"/>
    <mergeCell ref="A82:C82"/>
    <mergeCell ref="A83:C83"/>
    <mergeCell ref="A84:C84"/>
    <mergeCell ref="A85:C85"/>
    <mergeCell ref="A86:C86"/>
    <mergeCell ref="A75:C75"/>
    <mergeCell ref="A76:C76"/>
    <mergeCell ref="A77:C77"/>
    <mergeCell ref="A78:C78"/>
    <mergeCell ref="A79:C79"/>
    <mergeCell ref="A80:M80"/>
    <mergeCell ref="A93:C93"/>
    <mergeCell ref="A94:M94"/>
    <mergeCell ref="A95:C95"/>
    <mergeCell ref="A96:C96"/>
    <mergeCell ref="A97:C97"/>
    <mergeCell ref="A98:C98"/>
    <mergeCell ref="A87:M87"/>
    <mergeCell ref="A88:C88"/>
    <mergeCell ref="A89:C89"/>
    <mergeCell ref="A90:C90"/>
    <mergeCell ref="A91:C91"/>
    <mergeCell ref="A92:C92"/>
    <mergeCell ref="A105:C105"/>
    <mergeCell ref="A106:C106"/>
    <mergeCell ref="A107:C107"/>
    <mergeCell ref="A108:M108"/>
    <mergeCell ref="A109:C109"/>
    <mergeCell ref="A110:C110"/>
    <mergeCell ref="A99:C99"/>
    <mergeCell ref="A100:C100"/>
    <mergeCell ref="A101:M101"/>
    <mergeCell ref="A102:C102"/>
    <mergeCell ref="A103:C103"/>
    <mergeCell ref="A104:C104"/>
    <mergeCell ref="A117:C117"/>
    <mergeCell ref="A118:C118"/>
    <mergeCell ref="A119:C119"/>
    <mergeCell ref="A120:C120"/>
    <mergeCell ref="A121:C121"/>
    <mergeCell ref="A122:M122"/>
    <mergeCell ref="A111:C111"/>
    <mergeCell ref="A112:C112"/>
    <mergeCell ref="A113:C113"/>
    <mergeCell ref="A114:C114"/>
    <mergeCell ref="A115:M115"/>
    <mergeCell ref="A116:C116"/>
    <mergeCell ref="A135:C135"/>
    <mergeCell ref="A129:M129"/>
    <mergeCell ref="A130:C130"/>
    <mergeCell ref="A131:C131"/>
    <mergeCell ref="A132:C132"/>
    <mergeCell ref="A133:C133"/>
    <mergeCell ref="A134:C134"/>
    <mergeCell ref="A123:C123"/>
    <mergeCell ref="A124:C124"/>
    <mergeCell ref="A125:C125"/>
    <mergeCell ref="A126:C126"/>
    <mergeCell ref="A127:C127"/>
    <mergeCell ref="A128:C128"/>
  </mergeCells>
  <conditionalFormatting sqref="K131 A31:M31 A38:M38 A45:M45 A52:M52 A59:M59 A66:M66 A73:M73 A80:M80 A87:M87 A94:M94 A101:M101 A108:M108 A115:M115 A122:M122 A129:M129 H61:H64 H28:K29 H68:H71 H75 H89 H96">
    <cfRule type="cellIs" dxfId="1654" priority="43" stopIfTrue="1" operator="equal">
      <formula>0</formula>
    </cfRule>
  </conditionalFormatting>
  <conditionalFormatting sqref="A33:C35 A40:C42 A47:C49 A54:C56 A61:C63 E40:E42 G40:G42 E47:E49 G47:G49 E54:E56 G54:G56 E61:E63 G61:G63 M37 E33:E36 G33:G36 J61:J63">
    <cfRule type="cellIs" dxfId="1653" priority="299" stopIfTrue="1" operator="equal">
      <formula>0</formula>
    </cfRule>
  </conditionalFormatting>
  <conditionalFormatting sqref="A60:C60">
    <cfRule type="cellIs" dxfId="1652" priority="298" stopIfTrue="1" operator="equal">
      <formula>0</formula>
    </cfRule>
  </conditionalFormatting>
  <conditionalFormatting sqref="A64:C64">
    <cfRule type="cellIs" dxfId="1651" priority="297" stopIfTrue="1" operator="equal">
      <formula>0</formula>
    </cfRule>
  </conditionalFormatting>
  <conditionalFormatting sqref="A53:C53">
    <cfRule type="cellIs" dxfId="1650" priority="296" stopIfTrue="1" operator="equal">
      <formula>0</formula>
    </cfRule>
  </conditionalFormatting>
  <conditionalFormatting sqref="A46:C46">
    <cfRule type="cellIs" dxfId="1649" priority="294" stopIfTrue="1" operator="equal">
      <formula>0</formula>
    </cfRule>
  </conditionalFormatting>
  <conditionalFormatting sqref="A50:C50">
    <cfRule type="cellIs" dxfId="1648" priority="295" stopIfTrue="1" operator="equal">
      <formula>0</formula>
    </cfRule>
  </conditionalFormatting>
  <conditionalFormatting sqref="A43:C43">
    <cfRule type="cellIs" dxfId="1647" priority="293" stopIfTrue="1" operator="equal">
      <formula>0</formula>
    </cfRule>
  </conditionalFormatting>
  <conditionalFormatting sqref="A39:C39">
    <cfRule type="cellIs" dxfId="1646" priority="292" stopIfTrue="1" operator="equal">
      <formula>0</formula>
    </cfRule>
  </conditionalFormatting>
  <conditionalFormatting sqref="A36:C36">
    <cfRule type="cellIs" dxfId="1645" priority="291" stopIfTrue="1" operator="equal">
      <formula>0</formula>
    </cfRule>
  </conditionalFormatting>
  <conditionalFormatting sqref="A32:C32">
    <cfRule type="cellIs" dxfId="1644" priority="290" stopIfTrue="1" operator="equal">
      <formula>0</formula>
    </cfRule>
  </conditionalFormatting>
  <conditionalFormatting sqref="D32">
    <cfRule type="cellIs" dxfId="1643" priority="289" stopIfTrue="1" operator="equal">
      <formula>0</formula>
    </cfRule>
  </conditionalFormatting>
  <conditionalFormatting sqref="D33:D37">
    <cfRule type="cellIs" dxfId="1642" priority="288" stopIfTrue="1" operator="equal">
      <formula>0</formula>
    </cfRule>
  </conditionalFormatting>
  <conditionalFormatting sqref="E43">
    <cfRule type="cellIs" dxfId="1641" priority="287" stopIfTrue="1" operator="equal">
      <formula>0</formula>
    </cfRule>
  </conditionalFormatting>
  <conditionalFormatting sqref="E64">
    <cfRule type="cellIs" dxfId="1640" priority="284" stopIfTrue="1" operator="equal">
      <formula>0</formula>
    </cfRule>
  </conditionalFormatting>
  <conditionalFormatting sqref="E50">
    <cfRule type="cellIs" dxfId="1639" priority="286" stopIfTrue="1" operator="equal">
      <formula>0</formula>
    </cfRule>
  </conditionalFormatting>
  <conditionalFormatting sqref="E57">
    <cfRule type="cellIs" dxfId="1638" priority="285" stopIfTrue="1" operator="equal">
      <formula>0</formula>
    </cfRule>
  </conditionalFormatting>
  <conditionalFormatting sqref="G57">
    <cfRule type="cellIs" dxfId="1637" priority="283" stopIfTrue="1" operator="equal">
      <formula>0</formula>
    </cfRule>
  </conditionalFormatting>
  <conditionalFormatting sqref="J64">
    <cfRule type="cellIs" dxfId="1636" priority="282" stopIfTrue="1" operator="equal">
      <formula>0</formula>
    </cfRule>
  </conditionalFormatting>
  <conditionalFormatting sqref="E28">
    <cfRule type="cellIs" dxfId="1635" priority="281" stopIfTrue="1" operator="equal">
      <formula>0</formula>
    </cfRule>
  </conditionalFormatting>
  <conditionalFormatting sqref="E29">
    <cfRule type="cellIs" dxfId="1634" priority="280" stopIfTrue="1" operator="equal">
      <formula>0</formula>
    </cfRule>
  </conditionalFormatting>
  <conditionalFormatting sqref="G28:G29">
    <cfRule type="cellIs" dxfId="1633" priority="279" stopIfTrue="1" operator="equal">
      <formula>0</formula>
    </cfRule>
  </conditionalFormatting>
  <conditionalFormatting sqref="I33:I36">
    <cfRule type="cellIs" dxfId="1632" priority="256" stopIfTrue="1" operator="equal">
      <formula>0</formula>
    </cfRule>
  </conditionalFormatting>
  <conditionalFormatting sqref="D40:D43">
    <cfRule type="cellIs" dxfId="1631" priority="275" stopIfTrue="1" operator="equal">
      <formula>0</formula>
    </cfRule>
  </conditionalFormatting>
  <conditionalFormatting sqref="F32">
    <cfRule type="cellIs" dxfId="1630" priority="278" stopIfTrue="1" operator="equal">
      <formula>0</formula>
    </cfRule>
  </conditionalFormatting>
  <conditionalFormatting sqref="F61:F64">
    <cfRule type="cellIs" dxfId="1629" priority="261" stopIfTrue="1" operator="equal">
      <formula>0</formula>
    </cfRule>
  </conditionalFormatting>
  <conditionalFormatting sqref="F33:F37">
    <cfRule type="cellIs" dxfId="1628" priority="277" stopIfTrue="1" operator="equal">
      <formula>0</formula>
    </cfRule>
  </conditionalFormatting>
  <conditionalFormatting sqref="D39">
    <cfRule type="cellIs" dxfId="1627" priority="276" stopIfTrue="1" operator="equal">
      <formula>0</formula>
    </cfRule>
  </conditionalFormatting>
  <conditionalFormatting sqref="D53">
    <cfRule type="cellIs" dxfId="1626" priority="268" stopIfTrue="1" operator="equal">
      <formula>0</formula>
    </cfRule>
  </conditionalFormatting>
  <conditionalFormatting sqref="F39">
    <cfRule type="cellIs" dxfId="1625" priority="274" stopIfTrue="1" operator="equal">
      <formula>0</formula>
    </cfRule>
  </conditionalFormatting>
  <conditionalFormatting sqref="F40:F43">
    <cfRule type="cellIs" dxfId="1624" priority="273" stopIfTrue="1" operator="equal">
      <formula>0</formula>
    </cfRule>
  </conditionalFormatting>
  <conditionalFormatting sqref="D46">
    <cfRule type="cellIs" dxfId="1623" priority="272" stopIfTrue="1" operator="equal">
      <formula>0</formula>
    </cfRule>
  </conditionalFormatting>
  <conditionalFormatting sqref="D47:D50">
    <cfRule type="cellIs" dxfId="1622" priority="271" stopIfTrue="1" operator="equal">
      <formula>0</formula>
    </cfRule>
  </conditionalFormatting>
  <conditionalFormatting sqref="F46">
    <cfRule type="cellIs" dxfId="1621" priority="270" stopIfTrue="1" operator="equal">
      <formula>0</formula>
    </cfRule>
  </conditionalFormatting>
  <conditionalFormatting sqref="F47:F50">
    <cfRule type="cellIs" dxfId="1620" priority="269" stopIfTrue="1" operator="equal">
      <formula>0</formula>
    </cfRule>
  </conditionalFormatting>
  <conditionalFormatting sqref="A57:C57">
    <cfRule type="cellIs" dxfId="1619" priority="258" stopIfTrue="1" operator="equal">
      <formula>0</formula>
    </cfRule>
  </conditionalFormatting>
  <conditionalFormatting sqref="D54:D57">
    <cfRule type="cellIs" dxfId="1618" priority="267" stopIfTrue="1" operator="equal">
      <formula>0</formula>
    </cfRule>
  </conditionalFormatting>
  <conditionalFormatting sqref="F53">
    <cfRule type="cellIs" dxfId="1617" priority="266" stopIfTrue="1" operator="equal">
      <formula>0</formula>
    </cfRule>
  </conditionalFormatting>
  <conditionalFormatting sqref="F54:F57">
    <cfRule type="cellIs" dxfId="1616" priority="265" stopIfTrue="1" operator="equal">
      <formula>0</formula>
    </cfRule>
  </conditionalFormatting>
  <conditionalFormatting sqref="D60">
    <cfRule type="cellIs" dxfId="1615" priority="264" stopIfTrue="1" operator="equal">
      <formula>0</formula>
    </cfRule>
  </conditionalFormatting>
  <conditionalFormatting sqref="D61:D64">
    <cfRule type="cellIs" dxfId="1614" priority="263" stopIfTrue="1" operator="equal">
      <formula>0</formula>
    </cfRule>
  </conditionalFormatting>
  <conditionalFormatting sqref="F60">
    <cfRule type="cellIs" dxfId="1613" priority="262" stopIfTrue="1" operator="equal">
      <formula>0</formula>
    </cfRule>
  </conditionalFormatting>
  <conditionalFormatting sqref="G43">
    <cfRule type="cellIs" dxfId="1612" priority="260" stopIfTrue="1" operator="equal">
      <formula>0</formula>
    </cfRule>
  </conditionalFormatting>
  <conditionalFormatting sqref="G50">
    <cfRule type="cellIs" dxfId="1611" priority="259" stopIfTrue="1" operator="equal">
      <formula>0</formula>
    </cfRule>
  </conditionalFormatting>
  <conditionalFormatting sqref="G64">
    <cfRule type="cellIs" dxfId="1610" priority="257" stopIfTrue="1" operator="equal">
      <formula>0</formula>
    </cfRule>
  </conditionalFormatting>
  <conditionalFormatting sqref="K64">
    <cfRule type="cellIs" dxfId="1609" priority="218" stopIfTrue="1" operator="equal">
      <formula>0</formula>
    </cfRule>
  </conditionalFormatting>
  <conditionalFormatting sqref="H32">
    <cfRule type="cellIs" dxfId="1608" priority="255" stopIfTrue="1" operator="equal">
      <formula>0</formula>
    </cfRule>
  </conditionalFormatting>
  <conditionalFormatting sqref="H33:H36">
    <cfRule type="cellIs" dxfId="1607" priority="254" stopIfTrue="1" operator="equal">
      <formula>0</formula>
    </cfRule>
  </conditionalFormatting>
  <conditionalFormatting sqref="J32">
    <cfRule type="cellIs" dxfId="1606" priority="253" stopIfTrue="1" operator="equal">
      <formula>0</formula>
    </cfRule>
  </conditionalFormatting>
  <conditionalFormatting sqref="J33:J36">
    <cfRule type="cellIs" dxfId="1605" priority="252" stopIfTrue="1" operator="equal">
      <formula>0</formula>
    </cfRule>
  </conditionalFormatting>
  <conditionalFormatting sqref="L32">
    <cfRule type="cellIs" dxfId="1604" priority="251" stopIfTrue="1" operator="equal">
      <formula>0</formula>
    </cfRule>
  </conditionalFormatting>
  <conditionalFormatting sqref="L33:L36">
    <cfRule type="cellIs" dxfId="1603" priority="250" stopIfTrue="1" operator="equal">
      <formula>0</formula>
    </cfRule>
  </conditionalFormatting>
  <conditionalFormatting sqref="I40:I42">
    <cfRule type="cellIs" dxfId="1602" priority="249" stopIfTrue="1" operator="equal">
      <formula>0</formula>
    </cfRule>
  </conditionalFormatting>
  <conditionalFormatting sqref="I43">
    <cfRule type="cellIs" dxfId="1601" priority="248" stopIfTrue="1" operator="equal">
      <formula>0</formula>
    </cfRule>
  </conditionalFormatting>
  <conditionalFormatting sqref="H39">
    <cfRule type="cellIs" dxfId="1600" priority="247" stopIfTrue="1" operator="equal">
      <formula>0</formula>
    </cfRule>
  </conditionalFormatting>
  <conditionalFormatting sqref="H40:H43">
    <cfRule type="cellIs" dxfId="1599" priority="246" stopIfTrue="1" operator="equal">
      <formula>0</formula>
    </cfRule>
  </conditionalFormatting>
  <conditionalFormatting sqref="K40:K41">
    <cfRule type="cellIs" dxfId="1598" priority="245" stopIfTrue="1" operator="equal">
      <formula>0</formula>
    </cfRule>
  </conditionalFormatting>
  <conditionalFormatting sqref="J39">
    <cfRule type="cellIs" dxfId="1597" priority="244" stopIfTrue="1" operator="equal">
      <formula>0</formula>
    </cfRule>
  </conditionalFormatting>
  <conditionalFormatting sqref="J40:J43">
    <cfRule type="cellIs" dxfId="1596" priority="243" stopIfTrue="1" operator="equal">
      <formula>0</formula>
    </cfRule>
  </conditionalFormatting>
  <conditionalFormatting sqref="K42">
    <cfRule type="cellIs" dxfId="1595" priority="242" stopIfTrue="1" operator="equal">
      <formula>0</formula>
    </cfRule>
  </conditionalFormatting>
  <conditionalFormatting sqref="K43">
    <cfRule type="cellIs" dxfId="1594" priority="241" stopIfTrue="1" operator="equal">
      <formula>0</formula>
    </cfRule>
  </conditionalFormatting>
  <conditionalFormatting sqref="I47:I49">
    <cfRule type="cellIs" dxfId="1593" priority="240" stopIfTrue="1" operator="equal">
      <formula>0</formula>
    </cfRule>
  </conditionalFormatting>
  <conditionalFormatting sqref="I50">
    <cfRule type="cellIs" dxfId="1592" priority="239" stopIfTrue="1" operator="equal">
      <formula>0</formula>
    </cfRule>
  </conditionalFormatting>
  <conditionalFormatting sqref="H46">
    <cfRule type="cellIs" dxfId="1591" priority="238" stopIfTrue="1" operator="equal">
      <formula>0</formula>
    </cfRule>
  </conditionalFormatting>
  <conditionalFormatting sqref="H47:H50">
    <cfRule type="cellIs" dxfId="1590" priority="237" stopIfTrue="1" operator="equal">
      <formula>0</formula>
    </cfRule>
  </conditionalFormatting>
  <conditionalFormatting sqref="K47:K48">
    <cfRule type="cellIs" dxfId="1589" priority="236" stopIfTrue="1" operator="equal">
      <formula>0</formula>
    </cfRule>
  </conditionalFormatting>
  <conditionalFormatting sqref="J46">
    <cfRule type="cellIs" dxfId="1588" priority="235" stopIfTrue="1" operator="equal">
      <formula>0</formula>
    </cfRule>
  </conditionalFormatting>
  <conditionalFormatting sqref="J47:J50">
    <cfRule type="cellIs" dxfId="1587" priority="234" stopIfTrue="1" operator="equal">
      <formula>0</formula>
    </cfRule>
  </conditionalFormatting>
  <conditionalFormatting sqref="K49">
    <cfRule type="cellIs" dxfId="1586" priority="233" stopIfTrue="1" operator="equal">
      <formula>0</formula>
    </cfRule>
  </conditionalFormatting>
  <conditionalFormatting sqref="K50">
    <cfRule type="cellIs" dxfId="1585" priority="232" stopIfTrue="1" operator="equal">
      <formula>0</formula>
    </cfRule>
  </conditionalFormatting>
  <conditionalFormatting sqref="I54:I56">
    <cfRule type="cellIs" dxfId="1584" priority="231" stopIfTrue="1" operator="equal">
      <formula>0</formula>
    </cfRule>
  </conditionalFormatting>
  <conditionalFormatting sqref="I57">
    <cfRule type="cellIs" dxfId="1583" priority="230" stopIfTrue="1" operator="equal">
      <formula>0</formula>
    </cfRule>
  </conditionalFormatting>
  <conditionalFormatting sqref="H53">
    <cfRule type="cellIs" dxfId="1582" priority="229" stopIfTrue="1" operator="equal">
      <formula>0</formula>
    </cfRule>
  </conditionalFormatting>
  <conditionalFormatting sqref="H54:H57">
    <cfRule type="cellIs" dxfId="1581" priority="228" stopIfTrue="1" operator="equal">
      <formula>0</formula>
    </cfRule>
  </conditionalFormatting>
  <conditionalFormatting sqref="K54:K55">
    <cfRule type="cellIs" dxfId="1580" priority="227" stopIfTrue="1" operator="equal">
      <formula>0</formula>
    </cfRule>
  </conditionalFormatting>
  <conditionalFormatting sqref="J53">
    <cfRule type="cellIs" dxfId="1579" priority="226" stopIfTrue="1" operator="equal">
      <formula>0</formula>
    </cfRule>
  </conditionalFormatting>
  <conditionalFormatting sqref="J54:J57">
    <cfRule type="cellIs" dxfId="1578" priority="225" stopIfTrue="1" operator="equal">
      <formula>0</formula>
    </cfRule>
  </conditionalFormatting>
  <conditionalFormatting sqref="K56">
    <cfRule type="cellIs" dxfId="1577" priority="224" stopIfTrue="1" operator="equal">
      <formula>0</formula>
    </cfRule>
  </conditionalFormatting>
  <conditionalFormatting sqref="K57">
    <cfRule type="cellIs" dxfId="1576" priority="223" stopIfTrue="1" operator="equal">
      <formula>0</formula>
    </cfRule>
  </conditionalFormatting>
  <conditionalFormatting sqref="I61:I63">
    <cfRule type="cellIs" dxfId="1575" priority="222" stopIfTrue="1" operator="equal">
      <formula>0</formula>
    </cfRule>
  </conditionalFormatting>
  <conditionalFormatting sqref="I64">
    <cfRule type="cellIs" dxfId="1574" priority="221" stopIfTrue="1" operator="equal">
      <formula>0</formula>
    </cfRule>
  </conditionalFormatting>
  <conditionalFormatting sqref="K61:K62">
    <cfRule type="cellIs" dxfId="1573" priority="220" stopIfTrue="1" operator="equal">
      <formula>0</formula>
    </cfRule>
  </conditionalFormatting>
  <conditionalFormatting sqref="K63">
    <cfRule type="cellIs" dxfId="1572" priority="219" stopIfTrue="1" operator="equal">
      <formula>0</formula>
    </cfRule>
  </conditionalFormatting>
  <conditionalFormatting sqref="K33:K36">
    <cfRule type="cellIs" dxfId="1571" priority="217" stopIfTrue="1" operator="equal">
      <formula>0</formula>
    </cfRule>
  </conditionalFormatting>
  <conditionalFormatting sqref="A68:C70 A75:C77 A82:C84 A89:C91 A96:C98 E76:E77 G76 E83:E84 G83:G84 E90:E91 G90:G91 E97:E98 G97 E68:E71 G68:G71 J68:J71 J76:J77 J83:J84 J90:J91 J97:J98">
    <cfRule type="cellIs" dxfId="1570" priority="216" stopIfTrue="1" operator="equal">
      <formula>0</formula>
    </cfRule>
  </conditionalFormatting>
  <conditionalFormatting sqref="A95:C95">
    <cfRule type="cellIs" dxfId="1569" priority="215" stopIfTrue="1" operator="equal">
      <formula>0</formula>
    </cfRule>
  </conditionalFormatting>
  <conditionalFormatting sqref="A99:C99">
    <cfRule type="cellIs" dxfId="1568" priority="214" stopIfTrue="1" operator="equal">
      <formula>0</formula>
    </cfRule>
  </conditionalFormatting>
  <conditionalFormatting sqref="A88:C88">
    <cfRule type="cellIs" dxfId="1567" priority="213" stopIfTrue="1" operator="equal">
      <formula>0</formula>
    </cfRule>
  </conditionalFormatting>
  <conditionalFormatting sqref="A92:C92">
    <cfRule type="cellIs" dxfId="1566" priority="212" stopIfTrue="1" operator="equal">
      <formula>0</formula>
    </cfRule>
  </conditionalFormatting>
  <conditionalFormatting sqref="A85:C85">
    <cfRule type="cellIs" dxfId="1565" priority="211" stopIfTrue="1" operator="equal">
      <formula>0</formula>
    </cfRule>
  </conditionalFormatting>
  <conditionalFormatting sqref="A81:C81">
    <cfRule type="cellIs" dxfId="1564" priority="210" stopIfTrue="1" operator="equal">
      <formula>0</formula>
    </cfRule>
  </conditionalFormatting>
  <conditionalFormatting sqref="A78:C78">
    <cfRule type="cellIs" dxfId="1563" priority="209" stopIfTrue="1" operator="equal">
      <formula>0</formula>
    </cfRule>
  </conditionalFormatting>
  <conditionalFormatting sqref="A74:C74">
    <cfRule type="cellIs" dxfId="1562" priority="208" stopIfTrue="1" operator="equal">
      <formula>0</formula>
    </cfRule>
  </conditionalFormatting>
  <conditionalFormatting sqref="A71:C71">
    <cfRule type="cellIs" dxfId="1561" priority="207" stopIfTrue="1" operator="equal">
      <formula>0</formula>
    </cfRule>
  </conditionalFormatting>
  <conditionalFormatting sqref="A67:C67">
    <cfRule type="cellIs" dxfId="1560" priority="206" stopIfTrue="1" operator="equal">
      <formula>0</formula>
    </cfRule>
  </conditionalFormatting>
  <conditionalFormatting sqref="D67">
    <cfRule type="cellIs" dxfId="1559" priority="205" stopIfTrue="1" operator="equal">
      <formula>0</formula>
    </cfRule>
  </conditionalFormatting>
  <conditionalFormatting sqref="D68:D71">
    <cfRule type="cellIs" dxfId="1558" priority="204" stopIfTrue="1" operator="equal">
      <formula>0</formula>
    </cfRule>
  </conditionalFormatting>
  <conditionalFormatting sqref="E78">
    <cfRule type="cellIs" dxfId="1557" priority="203" stopIfTrue="1" operator="equal">
      <formula>0</formula>
    </cfRule>
  </conditionalFormatting>
  <conditionalFormatting sqref="E99">
    <cfRule type="cellIs" dxfId="1556" priority="199" stopIfTrue="1" operator="equal">
      <formula>0</formula>
    </cfRule>
  </conditionalFormatting>
  <conditionalFormatting sqref="J78">
    <cfRule type="cellIs" dxfId="1555" priority="202" stopIfTrue="1" operator="equal">
      <formula>0</formula>
    </cfRule>
  </conditionalFormatting>
  <conditionalFormatting sqref="E85">
    <cfRule type="cellIs" dxfId="1554" priority="201" stopIfTrue="1" operator="equal">
      <formula>0</formula>
    </cfRule>
  </conditionalFormatting>
  <conditionalFormatting sqref="E92">
    <cfRule type="cellIs" dxfId="1553" priority="200" stopIfTrue="1" operator="equal">
      <formula>0</formula>
    </cfRule>
  </conditionalFormatting>
  <conditionalFormatting sqref="G85">
    <cfRule type="cellIs" dxfId="1552" priority="198" stopIfTrue="1" operator="equal">
      <formula>0</formula>
    </cfRule>
  </conditionalFormatting>
  <conditionalFormatting sqref="G92">
    <cfRule type="cellIs" dxfId="1551" priority="197" stopIfTrue="1" operator="equal">
      <formula>0</formula>
    </cfRule>
  </conditionalFormatting>
  <conditionalFormatting sqref="J92">
    <cfRule type="cellIs" dxfId="1550" priority="195" stopIfTrue="1" operator="equal">
      <formula>0</formula>
    </cfRule>
  </conditionalFormatting>
  <conditionalFormatting sqref="J85">
    <cfRule type="cellIs" dxfId="1549" priority="196" stopIfTrue="1" operator="equal">
      <formula>0</formula>
    </cfRule>
  </conditionalFormatting>
  <conditionalFormatting sqref="J99">
    <cfRule type="cellIs" dxfId="1548" priority="194" stopIfTrue="1" operator="equal">
      <formula>0</formula>
    </cfRule>
  </conditionalFormatting>
  <conditionalFormatting sqref="D74">
    <cfRule type="cellIs" dxfId="1547" priority="191" stopIfTrue="1" operator="equal">
      <formula>0</formula>
    </cfRule>
  </conditionalFormatting>
  <conditionalFormatting sqref="D88">
    <cfRule type="cellIs" dxfId="1546" priority="183" stopIfTrue="1" operator="equal">
      <formula>0</formula>
    </cfRule>
  </conditionalFormatting>
  <conditionalFormatting sqref="F67">
    <cfRule type="cellIs" dxfId="1545" priority="193" stopIfTrue="1" operator="equal">
      <formula>0</formula>
    </cfRule>
  </conditionalFormatting>
  <conditionalFormatting sqref="F68:F71">
    <cfRule type="cellIs" dxfId="1544" priority="192" stopIfTrue="1" operator="equal">
      <formula>0</formula>
    </cfRule>
  </conditionalFormatting>
  <conditionalFormatting sqref="D75:D78">
    <cfRule type="cellIs" dxfId="1543" priority="190" stopIfTrue="1" operator="equal">
      <formula>0</formula>
    </cfRule>
  </conditionalFormatting>
  <conditionalFormatting sqref="F74">
    <cfRule type="cellIs" dxfId="1542" priority="189" stopIfTrue="1" operator="equal">
      <formula>0</formula>
    </cfRule>
  </conditionalFormatting>
  <conditionalFormatting sqref="F76:F78">
    <cfRule type="cellIs" dxfId="1541" priority="188" stopIfTrue="1" operator="equal">
      <formula>0</formula>
    </cfRule>
  </conditionalFormatting>
  <conditionalFormatting sqref="D81">
    <cfRule type="cellIs" dxfId="1540" priority="187" stopIfTrue="1" operator="equal">
      <formula>0</formula>
    </cfRule>
  </conditionalFormatting>
  <conditionalFormatting sqref="D82:D85">
    <cfRule type="cellIs" dxfId="1539" priority="186" stopIfTrue="1" operator="equal">
      <formula>0</formula>
    </cfRule>
  </conditionalFormatting>
  <conditionalFormatting sqref="F81">
    <cfRule type="cellIs" dxfId="1538" priority="185" stopIfTrue="1" operator="equal">
      <formula>0</formula>
    </cfRule>
  </conditionalFormatting>
  <conditionalFormatting sqref="F83:F85">
    <cfRule type="cellIs" dxfId="1537" priority="184" stopIfTrue="1" operator="equal">
      <formula>0</formula>
    </cfRule>
  </conditionalFormatting>
  <conditionalFormatting sqref="D89:D92">
    <cfRule type="cellIs" dxfId="1536" priority="182" stopIfTrue="1" operator="equal">
      <formula>0</formula>
    </cfRule>
  </conditionalFormatting>
  <conditionalFormatting sqref="F88">
    <cfRule type="cellIs" dxfId="1535" priority="181" stopIfTrue="1" operator="equal">
      <formula>0</formula>
    </cfRule>
  </conditionalFormatting>
  <conditionalFormatting sqref="F90:F92">
    <cfRule type="cellIs" dxfId="1534" priority="180" stopIfTrue="1" operator="equal">
      <formula>0</formula>
    </cfRule>
  </conditionalFormatting>
  <conditionalFormatting sqref="D95">
    <cfRule type="cellIs" dxfId="1533" priority="179" stopIfTrue="1" operator="equal">
      <formula>0</formula>
    </cfRule>
  </conditionalFormatting>
  <conditionalFormatting sqref="D96:D99">
    <cfRule type="cellIs" dxfId="1532" priority="178" stopIfTrue="1" operator="equal">
      <formula>0</formula>
    </cfRule>
  </conditionalFormatting>
  <conditionalFormatting sqref="F95">
    <cfRule type="cellIs" dxfId="1531" priority="177" stopIfTrue="1" operator="equal">
      <formula>0</formula>
    </cfRule>
  </conditionalFormatting>
  <conditionalFormatting sqref="F97:F99">
    <cfRule type="cellIs" dxfId="1530" priority="176" stopIfTrue="1" operator="equal">
      <formula>0</formula>
    </cfRule>
  </conditionalFormatting>
  <conditionalFormatting sqref="E75 G75 J75 H76:H78">
    <cfRule type="cellIs" dxfId="1529" priority="175" stopIfTrue="1" operator="equal">
      <formula>0</formula>
    </cfRule>
  </conditionalFormatting>
  <conditionalFormatting sqref="F75">
    <cfRule type="cellIs" dxfId="1528" priority="174" stopIfTrue="1" operator="equal">
      <formula>0</formula>
    </cfRule>
  </conditionalFormatting>
  <conditionalFormatting sqref="E82 G82 J82">
    <cfRule type="cellIs" dxfId="1527" priority="173" stopIfTrue="1" operator="equal">
      <formula>0</formula>
    </cfRule>
  </conditionalFormatting>
  <conditionalFormatting sqref="F82">
    <cfRule type="cellIs" dxfId="1526" priority="172" stopIfTrue="1" operator="equal">
      <formula>0</formula>
    </cfRule>
  </conditionalFormatting>
  <conditionalFormatting sqref="E89 G89 J89 H90:H92">
    <cfRule type="cellIs" dxfId="1525" priority="171" stopIfTrue="1" operator="equal">
      <formula>0</formula>
    </cfRule>
  </conditionalFormatting>
  <conditionalFormatting sqref="F89">
    <cfRule type="cellIs" dxfId="1524" priority="170" stopIfTrue="1" operator="equal">
      <formula>0</formula>
    </cfRule>
  </conditionalFormatting>
  <conditionalFormatting sqref="E96 G96 J96 H97:H99">
    <cfRule type="cellIs" dxfId="1523" priority="169" stopIfTrue="1" operator="equal">
      <formula>0</formula>
    </cfRule>
  </conditionalFormatting>
  <conditionalFormatting sqref="F96">
    <cfRule type="cellIs" dxfId="1522" priority="168" stopIfTrue="1" operator="equal">
      <formula>0</formula>
    </cfRule>
  </conditionalFormatting>
  <conditionalFormatting sqref="G77">
    <cfRule type="cellIs" dxfId="1521" priority="167" stopIfTrue="1" operator="equal">
      <formula>0</formula>
    </cfRule>
  </conditionalFormatting>
  <conditionalFormatting sqref="G78">
    <cfRule type="cellIs" dxfId="1520" priority="166" stopIfTrue="1" operator="equal">
      <formula>0</formula>
    </cfRule>
  </conditionalFormatting>
  <conditionalFormatting sqref="G99">
    <cfRule type="cellIs" dxfId="1519" priority="164" stopIfTrue="1" operator="equal">
      <formula>0</formula>
    </cfRule>
  </conditionalFormatting>
  <conditionalFormatting sqref="K99">
    <cfRule type="cellIs" dxfId="1518" priority="136" stopIfTrue="1" operator="equal">
      <formula>0</formula>
    </cfRule>
  </conditionalFormatting>
  <conditionalFormatting sqref="G98">
    <cfRule type="cellIs" dxfId="1517" priority="165" stopIfTrue="1" operator="equal">
      <formula>0</formula>
    </cfRule>
  </conditionalFormatting>
  <conditionalFormatting sqref="I68:I71">
    <cfRule type="cellIs" dxfId="1516" priority="163" stopIfTrue="1" operator="equal">
      <formula>0</formula>
    </cfRule>
  </conditionalFormatting>
  <conditionalFormatting sqref="K68:K71">
    <cfRule type="cellIs" dxfId="1515" priority="162" stopIfTrue="1" operator="equal">
      <formula>0</formula>
    </cfRule>
  </conditionalFormatting>
  <conditionalFormatting sqref="I76:I77">
    <cfRule type="cellIs" dxfId="1514" priority="161" stopIfTrue="1" operator="equal">
      <formula>0</formula>
    </cfRule>
  </conditionalFormatting>
  <conditionalFormatting sqref="I78">
    <cfRule type="cellIs" dxfId="1513" priority="160" stopIfTrue="1" operator="equal">
      <formula>0</formula>
    </cfRule>
  </conditionalFormatting>
  <conditionalFormatting sqref="I75">
    <cfRule type="cellIs" dxfId="1512" priority="159" stopIfTrue="1" operator="equal">
      <formula>0</formula>
    </cfRule>
  </conditionalFormatting>
  <conditionalFormatting sqref="K76:K77">
    <cfRule type="cellIs" dxfId="1511" priority="158" stopIfTrue="1" operator="equal">
      <formula>0</formula>
    </cfRule>
  </conditionalFormatting>
  <conditionalFormatting sqref="K75">
    <cfRule type="cellIs" dxfId="1510" priority="157" stopIfTrue="1" operator="equal">
      <formula>0</formula>
    </cfRule>
  </conditionalFormatting>
  <conditionalFormatting sqref="K78">
    <cfRule type="cellIs" dxfId="1509" priority="156" stopIfTrue="1" operator="equal">
      <formula>0</formula>
    </cfRule>
  </conditionalFormatting>
  <conditionalFormatting sqref="I83:I84">
    <cfRule type="cellIs" dxfId="1508" priority="155" stopIfTrue="1" operator="equal">
      <formula>0</formula>
    </cfRule>
  </conditionalFormatting>
  <conditionalFormatting sqref="I85">
    <cfRule type="cellIs" dxfId="1507" priority="154" stopIfTrue="1" operator="equal">
      <formula>0</formula>
    </cfRule>
  </conditionalFormatting>
  <conditionalFormatting sqref="H81">
    <cfRule type="cellIs" dxfId="1506" priority="153" stopIfTrue="1" operator="equal">
      <formula>0</formula>
    </cfRule>
  </conditionalFormatting>
  <conditionalFormatting sqref="H82:H85">
    <cfRule type="cellIs" dxfId="1505" priority="152" stopIfTrue="1" operator="equal">
      <formula>0</formula>
    </cfRule>
  </conditionalFormatting>
  <conditionalFormatting sqref="I82">
    <cfRule type="cellIs" dxfId="1504" priority="151" stopIfTrue="1" operator="equal">
      <formula>0</formula>
    </cfRule>
  </conditionalFormatting>
  <conditionalFormatting sqref="K83:K84">
    <cfRule type="cellIs" dxfId="1503" priority="150" stopIfTrue="1" operator="equal">
      <formula>0</formula>
    </cfRule>
  </conditionalFormatting>
  <conditionalFormatting sqref="K85">
    <cfRule type="cellIs" dxfId="1502" priority="149" stopIfTrue="1" operator="equal">
      <formula>0</formula>
    </cfRule>
  </conditionalFormatting>
  <conditionalFormatting sqref="K82">
    <cfRule type="cellIs" dxfId="1501" priority="148" stopIfTrue="1" operator="equal">
      <formula>0</formula>
    </cfRule>
  </conditionalFormatting>
  <conditionalFormatting sqref="I90:I91">
    <cfRule type="cellIs" dxfId="1500" priority="147" stopIfTrue="1" operator="equal">
      <formula>0</formula>
    </cfRule>
  </conditionalFormatting>
  <conditionalFormatting sqref="I92">
    <cfRule type="cellIs" dxfId="1499" priority="146" stopIfTrue="1" operator="equal">
      <formula>0</formula>
    </cfRule>
  </conditionalFormatting>
  <conditionalFormatting sqref="I89">
    <cfRule type="cellIs" dxfId="1498" priority="145" stopIfTrue="1" operator="equal">
      <formula>0</formula>
    </cfRule>
  </conditionalFormatting>
  <conditionalFormatting sqref="K90:K91">
    <cfRule type="cellIs" dxfId="1497" priority="144" stopIfTrue="1" operator="equal">
      <formula>0</formula>
    </cfRule>
  </conditionalFormatting>
  <conditionalFormatting sqref="K89">
    <cfRule type="cellIs" dxfId="1496" priority="143" stopIfTrue="1" operator="equal">
      <formula>0</formula>
    </cfRule>
  </conditionalFormatting>
  <conditionalFormatting sqref="K92">
    <cfRule type="cellIs" dxfId="1495" priority="142" stopIfTrue="1" operator="equal">
      <formula>0</formula>
    </cfRule>
  </conditionalFormatting>
  <conditionalFormatting sqref="I97:I98">
    <cfRule type="cellIs" dxfId="1494" priority="141" stopIfTrue="1" operator="equal">
      <formula>0</formula>
    </cfRule>
  </conditionalFormatting>
  <conditionalFormatting sqref="I99">
    <cfRule type="cellIs" dxfId="1493" priority="140" stopIfTrue="1" operator="equal">
      <formula>0</formula>
    </cfRule>
  </conditionalFormatting>
  <conditionalFormatting sqref="I96">
    <cfRule type="cellIs" dxfId="1492" priority="139" stopIfTrue="1" operator="equal">
      <formula>0</formula>
    </cfRule>
  </conditionalFormatting>
  <conditionalFormatting sqref="K97:K98">
    <cfRule type="cellIs" dxfId="1491" priority="138" stopIfTrue="1" operator="equal">
      <formula>0</formula>
    </cfRule>
  </conditionalFormatting>
  <conditionalFormatting sqref="K96">
    <cfRule type="cellIs" dxfId="1490" priority="137" stopIfTrue="1" operator="equal">
      <formula>0</formula>
    </cfRule>
  </conditionalFormatting>
  <conditionalFormatting sqref="L81">
    <cfRule type="cellIs" dxfId="1489" priority="135" stopIfTrue="1" operator="equal">
      <formula>0</formula>
    </cfRule>
  </conditionalFormatting>
  <conditionalFormatting sqref="L82:L85">
    <cfRule type="cellIs" dxfId="1488" priority="134" stopIfTrue="1" operator="equal">
      <formula>0</formula>
    </cfRule>
  </conditionalFormatting>
  <conditionalFormatting sqref="A103:C105 A110:C112 A117:C119 A124:C126 A131:C133 E111:E112 G111 E118:E119 G118 E125:E126 G125:G126 E132:E133 G132:G133 E103:E106 G103:G106 J118:J119 J132:J133">
    <cfRule type="cellIs" dxfId="1487" priority="133" stopIfTrue="1" operator="equal">
      <formula>0</formula>
    </cfRule>
  </conditionalFormatting>
  <conditionalFormatting sqref="A130:C130">
    <cfRule type="cellIs" dxfId="1486" priority="132" stopIfTrue="1" operator="equal">
      <formula>0</formula>
    </cfRule>
  </conditionalFormatting>
  <conditionalFormatting sqref="A134:C134">
    <cfRule type="cellIs" dxfId="1485" priority="131" stopIfTrue="1" operator="equal">
      <formula>0</formula>
    </cfRule>
  </conditionalFormatting>
  <conditionalFormatting sqref="A123:C123">
    <cfRule type="cellIs" dxfId="1484" priority="130" stopIfTrue="1" operator="equal">
      <formula>0</formula>
    </cfRule>
  </conditionalFormatting>
  <conditionalFormatting sqref="A127:C127">
    <cfRule type="cellIs" dxfId="1483" priority="129" stopIfTrue="1" operator="equal">
      <formula>0</formula>
    </cfRule>
  </conditionalFormatting>
  <conditionalFormatting sqref="A120:C120">
    <cfRule type="cellIs" dxfId="1482" priority="128" stopIfTrue="1" operator="equal">
      <formula>0</formula>
    </cfRule>
  </conditionalFormatting>
  <conditionalFormatting sqref="A116:C116">
    <cfRule type="cellIs" dxfId="1481" priority="127" stopIfTrue="1" operator="equal">
      <formula>0</formula>
    </cfRule>
  </conditionalFormatting>
  <conditionalFormatting sqref="A113:C113">
    <cfRule type="cellIs" dxfId="1480" priority="126" stopIfTrue="1" operator="equal">
      <formula>0</formula>
    </cfRule>
  </conditionalFormatting>
  <conditionalFormatting sqref="A109:C109">
    <cfRule type="cellIs" dxfId="1479" priority="125" stopIfTrue="1" operator="equal">
      <formula>0</formula>
    </cfRule>
  </conditionalFormatting>
  <conditionalFormatting sqref="A106:C106">
    <cfRule type="cellIs" dxfId="1478" priority="124" stopIfTrue="1" operator="equal">
      <formula>0</formula>
    </cfRule>
  </conditionalFormatting>
  <conditionalFormatting sqref="A102:C102">
    <cfRule type="cellIs" dxfId="1477" priority="123" stopIfTrue="1" operator="equal">
      <formula>0</formula>
    </cfRule>
  </conditionalFormatting>
  <conditionalFormatting sqref="E113">
    <cfRule type="cellIs" dxfId="1476" priority="122" stopIfTrue="1" operator="equal">
      <formula>0</formula>
    </cfRule>
  </conditionalFormatting>
  <conditionalFormatting sqref="E120">
    <cfRule type="cellIs" dxfId="1475" priority="121" stopIfTrue="1" operator="equal">
      <formula>0</formula>
    </cfRule>
  </conditionalFormatting>
  <conditionalFormatting sqref="J120">
    <cfRule type="cellIs" dxfId="1474" priority="120" stopIfTrue="1" operator="equal">
      <formula>0</formula>
    </cfRule>
  </conditionalFormatting>
  <conditionalFormatting sqref="J134">
    <cfRule type="cellIs" dxfId="1473" priority="119" stopIfTrue="1" operator="equal">
      <formula>0</formula>
    </cfRule>
  </conditionalFormatting>
  <conditionalFormatting sqref="D110:D113">
    <cfRule type="cellIs" dxfId="1472" priority="113" stopIfTrue="1" operator="equal">
      <formula>0</formula>
    </cfRule>
  </conditionalFormatting>
  <conditionalFormatting sqref="F103:F106">
    <cfRule type="cellIs" dxfId="1471" priority="115" stopIfTrue="1" operator="equal">
      <formula>0</formula>
    </cfRule>
  </conditionalFormatting>
  <conditionalFormatting sqref="D102">
    <cfRule type="cellIs" dxfId="1470" priority="118" stopIfTrue="1" operator="equal">
      <formula>0</formula>
    </cfRule>
  </conditionalFormatting>
  <conditionalFormatting sqref="D103:D106">
    <cfRule type="cellIs" dxfId="1469" priority="117" stopIfTrue="1" operator="equal">
      <formula>0</formula>
    </cfRule>
  </conditionalFormatting>
  <conditionalFormatting sqref="F102">
    <cfRule type="cellIs" dxfId="1468" priority="116" stopIfTrue="1" operator="equal">
      <formula>0</formula>
    </cfRule>
  </conditionalFormatting>
  <conditionalFormatting sqref="D109">
    <cfRule type="cellIs" dxfId="1467" priority="114" stopIfTrue="1" operator="equal">
      <formula>0</formula>
    </cfRule>
  </conditionalFormatting>
  <conditionalFormatting sqref="F109">
    <cfRule type="cellIs" dxfId="1466" priority="112" stopIfTrue="1" operator="equal">
      <formula>0</formula>
    </cfRule>
  </conditionalFormatting>
  <conditionalFormatting sqref="F111:F113">
    <cfRule type="cellIs" dxfId="1465" priority="111" stopIfTrue="1" operator="equal">
      <formula>0</formula>
    </cfRule>
  </conditionalFormatting>
  <conditionalFormatting sqref="D116">
    <cfRule type="cellIs" dxfId="1464" priority="110" stopIfTrue="1" operator="equal">
      <formula>0</formula>
    </cfRule>
  </conditionalFormatting>
  <conditionalFormatting sqref="D117:D120">
    <cfRule type="cellIs" dxfId="1463" priority="109" stopIfTrue="1" operator="equal">
      <formula>0</formula>
    </cfRule>
  </conditionalFormatting>
  <conditionalFormatting sqref="F116">
    <cfRule type="cellIs" dxfId="1462" priority="108" stopIfTrue="1" operator="equal">
      <formula>0</formula>
    </cfRule>
  </conditionalFormatting>
  <conditionalFormatting sqref="F118:F120">
    <cfRule type="cellIs" dxfId="1461" priority="107" stopIfTrue="1" operator="equal">
      <formula>0</formula>
    </cfRule>
  </conditionalFormatting>
  <conditionalFormatting sqref="D123">
    <cfRule type="cellIs" dxfId="1460" priority="106" stopIfTrue="1" operator="equal">
      <formula>0</formula>
    </cfRule>
  </conditionalFormatting>
  <conditionalFormatting sqref="D124:D127">
    <cfRule type="cellIs" dxfId="1459" priority="105" stopIfTrue="1" operator="equal">
      <formula>0</formula>
    </cfRule>
  </conditionalFormatting>
  <conditionalFormatting sqref="F123">
    <cfRule type="cellIs" dxfId="1458" priority="104" stopIfTrue="1" operator="equal">
      <formula>0</formula>
    </cfRule>
  </conditionalFormatting>
  <conditionalFormatting sqref="F125:F127">
    <cfRule type="cellIs" dxfId="1457" priority="103" stopIfTrue="1" operator="equal">
      <formula>0</formula>
    </cfRule>
  </conditionalFormatting>
  <conditionalFormatting sqref="D130">
    <cfRule type="cellIs" dxfId="1456" priority="102" stopIfTrue="1" operator="equal">
      <formula>0</formula>
    </cfRule>
  </conditionalFormatting>
  <conditionalFormatting sqref="D131:D134">
    <cfRule type="cellIs" dxfId="1455" priority="101" stopIfTrue="1" operator="equal">
      <formula>0</formula>
    </cfRule>
  </conditionalFormatting>
  <conditionalFormatting sqref="F130">
    <cfRule type="cellIs" dxfId="1454" priority="100" stopIfTrue="1" operator="equal">
      <formula>0</formula>
    </cfRule>
  </conditionalFormatting>
  <conditionalFormatting sqref="F132:F134">
    <cfRule type="cellIs" dxfId="1453" priority="99" stopIfTrue="1" operator="equal">
      <formula>0</formula>
    </cfRule>
  </conditionalFormatting>
  <conditionalFormatting sqref="E131 G131 E124 G124 E117 G117 E110 G110 J117 J131">
    <cfRule type="cellIs" dxfId="1452" priority="98" stopIfTrue="1" operator="equal">
      <formula>0</formula>
    </cfRule>
  </conditionalFormatting>
  <conditionalFormatting sqref="F131 F124 F117 F110">
    <cfRule type="cellIs" dxfId="1451" priority="97" stopIfTrue="1" operator="equal">
      <formula>0</formula>
    </cfRule>
  </conditionalFormatting>
  <conditionalFormatting sqref="G112">
    <cfRule type="cellIs" dxfId="1450" priority="96" stopIfTrue="1" operator="equal">
      <formula>0</formula>
    </cfRule>
  </conditionalFormatting>
  <conditionalFormatting sqref="G113">
    <cfRule type="cellIs" dxfId="1449" priority="95" stopIfTrue="1" operator="equal">
      <formula>0</formula>
    </cfRule>
  </conditionalFormatting>
  <conditionalFormatting sqref="G119">
    <cfRule type="cellIs" dxfId="1448" priority="94" stopIfTrue="1" operator="equal">
      <formula>0</formula>
    </cfRule>
  </conditionalFormatting>
  <conditionalFormatting sqref="G120">
    <cfRule type="cellIs" dxfId="1447" priority="93" stopIfTrue="1" operator="equal">
      <formula>0</formula>
    </cfRule>
  </conditionalFormatting>
  <conditionalFormatting sqref="I103:I106">
    <cfRule type="cellIs" dxfId="1446" priority="92" stopIfTrue="1" operator="equal">
      <formula>0</formula>
    </cfRule>
  </conditionalFormatting>
  <conditionalFormatting sqref="H102">
    <cfRule type="cellIs" dxfId="1445" priority="91" stopIfTrue="1" operator="equal">
      <formula>0</formula>
    </cfRule>
  </conditionalFormatting>
  <conditionalFormatting sqref="H103:H106">
    <cfRule type="cellIs" dxfId="1444" priority="90" stopIfTrue="1" operator="equal">
      <formula>0</formula>
    </cfRule>
  </conditionalFormatting>
  <conditionalFormatting sqref="K103:K106">
    <cfRule type="cellIs" dxfId="1443" priority="89" stopIfTrue="1" operator="equal">
      <formula>0</formula>
    </cfRule>
  </conditionalFormatting>
  <conditionalFormatting sqref="J102">
    <cfRule type="cellIs" dxfId="1442" priority="88" stopIfTrue="1" operator="equal">
      <formula>0</formula>
    </cfRule>
  </conditionalFormatting>
  <conditionalFormatting sqref="J103:J106">
    <cfRule type="cellIs" dxfId="1441" priority="87" stopIfTrue="1" operator="equal">
      <formula>0</formula>
    </cfRule>
  </conditionalFormatting>
  <conditionalFormatting sqref="I111:I112">
    <cfRule type="cellIs" dxfId="1440" priority="86" stopIfTrue="1" operator="equal">
      <formula>0</formula>
    </cfRule>
  </conditionalFormatting>
  <conditionalFormatting sqref="I113">
    <cfRule type="cellIs" dxfId="1439" priority="85" stopIfTrue="1" operator="equal">
      <formula>0</formula>
    </cfRule>
  </conditionalFormatting>
  <conditionalFormatting sqref="H109">
    <cfRule type="cellIs" dxfId="1438" priority="84" stopIfTrue="1" operator="equal">
      <formula>0</formula>
    </cfRule>
  </conditionalFormatting>
  <conditionalFormatting sqref="H110:H113">
    <cfRule type="cellIs" dxfId="1437" priority="83" stopIfTrue="1" operator="equal">
      <formula>0</formula>
    </cfRule>
  </conditionalFormatting>
  <conditionalFormatting sqref="I110">
    <cfRule type="cellIs" dxfId="1436" priority="82" stopIfTrue="1" operator="equal">
      <formula>0</formula>
    </cfRule>
  </conditionalFormatting>
  <conditionalFormatting sqref="K111:K112">
    <cfRule type="cellIs" dxfId="1435" priority="81" stopIfTrue="1" operator="equal">
      <formula>0</formula>
    </cfRule>
  </conditionalFormatting>
  <conditionalFormatting sqref="K113">
    <cfRule type="cellIs" dxfId="1434" priority="80" stopIfTrue="1" operator="equal">
      <formula>0</formula>
    </cfRule>
  </conditionalFormatting>
  <conditionalFormatting sqref="J109">
    <cfRule type="cellIs" dxfId="1433" priority="79" stopIfTrue="1" operator="equal">
      <formula>0</formula>
    </cfRule>
  </conditionalFormatting>
  <conditionalFormatting sqref="J111:J113">
    <cfRule type="cellIs" dxfId="1432" priority="78" stopIfTrue="1" operator="equal">
      <formula>0</formula>
    </cfRule>
  </conditionalFormatting>
  <conditionalFormatting sqref="K110">
    <cfRule type="cellIs" dxfId="1431" priority="77" stopIfTrue="1" operator="equal">
      <formula>0</formula>
    </cfRule>
  </conditionalFormatting>
  <conditionalFormatting sqref="J110">
    <cfRule type="cellIs" dxfId="1430" priority="76" stopIfTrue="1" operator="equal">
      <formula>0</formula>
    </cfRule>
  </conditionalFormatting>
  <conditionalFormatting sqref="I118:I119">
    <cfRule type="cellIs" dxfId="1429" priority="75" stopIfTrue="1" operator="equal">
      <formula>0</formula>
    </cfRule>
  </conditionalFormatting>
  <conditionalFormatting sqref="I120">
    <cfRule type="cellIs" dxfId="1428" priority="74" stopIfTrue="1" operator="equal">
      <formula>0</formula>
    </cfRule>
  </conditionalFormatting>
  <conditionalFormatting sqref="H116">
    <cfRule type="cellIs" dxfId="1427" priority="73" stopIfTrue="1" operator="equal">
      <formula>0</formula>
    </cfRule>
  </conditionalFormatting>
  <conditionalFormatting sqref="H117:H120">
    <cfRule type="cellIs" dxfId="1426" priority="72" stopIfTrue="1" operator="equal">
      <formula>0</formula>
    </cfRule>
  </conditionalFormatting>
  <conditionalFormatting sqref="I117">
    <cfRule type="cellIs" dxfId="1425" priority="71" stopIfTrue="1" operator="equal">
      <formula>0</formula>
    </cfRule>
  </conditionalFormatting>
  <conditionalFormatting sqref="L116">
    <cfRule type="cellIs" dxfId="1424" priority="70" stopIfTrue="1" operator="equal">
      <formula>0</formula>
    </cfRule>
  </conditionalFormatting>
  <conditionalFormatting sqref="L117:L120">
    <cfRule type="cellIs" dxfId="1423" priority="69" stopIfTrue="1" operator="equal">
      <formula>0</formula>
    </cfRule>
  </conditionalFormatting>
  <conditionalFormatting sqref="K118:K119">
    <cfRule type="cellIs" dxfId="1422" priority="68" stopIfTrue="1" operator="equal">
      <formula>0</formula>
    </cfRule>
  </conditionalFormatting>
  <conditionalFormatting sqref="K117">
    <cfRule type="cellIs" dxfId="1421" priority="67" stopIfTrue="1" operator="equal">
      <formula>0</formula>
    </cfRule>
  </conditionalFormatting>
  <conditionalFormatting sqref="K120">
    <cfRule type="cellIs" dxfId="1420" priority="66" stopIfTrue="1" operator="equal">
      <formula>0</formula>
    </cfRule>
  </conditionalFormatting>
  <conditionalFormatting sqref="E127">
    <cfRule type="cellIs" dxfId="1419" priority="65" stopIfTrue="1" operator="equal">
      <formula>0</formula>
    </cfRule>
  </conditionalFormatting>
  <conditionalFormatting sqref="G127">
    <cfRule type="cellIs" dxfId="1418" priority="64" stopIfTrue="1" operator="equal">
      <formula>0</formula>
    </cfRule>
  </conditionalFormatting>
  <conditionalFormatting sqref="E134">
    <cfRule type="cellIs" dxfId="1417" priority="63" stopIfTrue="1" operator="equal">
      <formula>0</formula>
    </cfRule>
  </conditionalFormatting>
  <conditionalFormatting sqref="G134">
    <cfRule type="cellIs" dxfId="1416" priority="62" stopIfTrue="1" operator="equal">
      <formula>0</formula>
    </cfRule>
  </conditionalFormatting>
  <conditionalFormatting sqref="I125:I126">
    <cfRule type="cellIs" dxfId="1415" priority="61" stopIfTrue="1" operator="equal">
      <formula>0</formula>
    </cfRule>
  </conditionalFormatting>
  <conditionalFormatting sqref="H123">
    <cfRule type="cellIs" dxfId="1414" priority="60" stopIfTrue="1" operator="equal">
      <formula>0</formula>
    </cfRule>
  </conditionalFormatting>
  <conditionalFormatting sqref="H124:H127">
    <cfRule type="cellIs" dxfId="1413" priority="59" stopIfTrue="1" operator="equal">
      <formula>0</formula>
    </cfRule>
  </conditionalFormatting>
  <conditionalFormatting sqref="I124">
    <cfRule type="cellIs" dxfId="1412" priority="58" stopIfTrue="1" operator="equal">
      <formula>0</formula>
    </cfRule>
  </conditionalFormatting>
  <conditionalFormatting sqref="I127">
    <cfRule type="cellIs" dxfId="1411" priority="57" stopIfTrue="1" operator="equal">
      <formula>0</formula>
    </cfRule>
  </conditionalFormatting>
  <conditionalFormatting sqref="K125:K126">
    <cfRule type="cellIs" dxfId="1410" priority="56" stopIfTrue="1" operator="equal">
      <formula>0</formula>
    </cfRule>
  </conditionalFormatting>
  <conditionalFormatting sqref="K127">
    <cfRule type="cellIs" dxfId="1409" priority="55" stopIfTrue="1" operator="equal">
      <formula>0</formula>
    </cfRule>
  </conditionalFormatting>
  <conditionalFormatting sqref="J123">
    <cfRule type="cellIs" dxfId="1408" priority="54" stopIfTrue="1" operator="equal">
      <formula>0</formula>
    </cfRule>
  </conditionalFormatting>
  <conditionalFormatting sqref="J125:J127">
    <cfRule type="cellIs" dxfId="1407" priority="53" stopIfTrue="1" operator="equal">
      <formula>0</formula>
    </cfRule>
  </conditionalFormatting>
  <conditionalFormatting sqref="K124">
    <cfRule type="cellIs" dxfId="1406" priority="52" stopIfTrue="1" operator="equal">
      <formula>0</formula>
    </cfRule>
  </conditionalFormatting>
  <conditionalFormatting sqref="J124">
    <cfRule type="cellIs" dxfId="1405" priority="51" stopIfTrue="1" operator="equal">
      <formula>0</formula>
    </cfRule>
  </conditionalFormatting>
  <conditionalFormatting sqref="I132:I133">
    <cfRule type="cellIs" dxfId="1404" priority="50" stopIfTrue="1" operator="equal">
      <formula>0</formula>
    </cfRule>
  </conditionalFormatting>
  <conditionalFormatting sqref="I134">
    <cfRule type="cellIs" dxfId="1403" priority="49" stopIfTrue="1" operator="equal">
      <formula>0</formula>
    </cfRule>
  </conditionalFormatting>
  <conditionalFormatting sqref="H130">
    <cfRule type="cellIs" dxfId="1402" priority="48" stopIfTrue="1" operator="equal">
      <formula>0</formula>
    </cfRule>
  </conditionalFormatting>
  <conditionalFormatting sqref="H131:H134">
    <cfRule type="cellIs" dxfId="1401" priority="47" stopIfTrue="1" operator="equal">
      <formula>0</formula>
    </cfRule>
  </conditionalFormatting>
  <conditionalFormatting sqref="I131">
    <cfRule type="cellIs" dxfId="1400" priority="46" stopIfTrue="1" operator="equal">
      <formula>0</formula>
    </cfRule>
  </conditionalFormatting>
  <conditionalFormatting sqref="K132:K133">
    <cfRule type="cellIs" dxfId="1399" priority="45" stopIfTrue="1" operator="equal">
      <formula>0</formula>
    </cfRule>
  </conditionalFormatting>
  <conditionalFormatting sqref="K134">
    <cfRule type="cellIs" dxfId="1398" priority="44" stopIfTrue="1" operator="equal">
      <formula>0</formula>
    </cfRule>
  </conditionalFormatting>
  <conditionalFormatting sqref="M44">
    <cfRule type="cellIs" dxfId="1397" priority="42" stopIfTrue="1" operator="equal">
      <formula>0</formula>
    </cfRule>
  </conditionalFormatting>
  <conditionalFormatting sqref="D44">
    <cfRule type="cellIs" dxfId="1396" priority="41" stopIfTrue="1" operator="equal">
      <formula>0</formula>
    </cfRule>
  </conditionalFormatting>
  <conditionalFormatting sqref="F44">
    <cfRule type="cellIs" dxfId="1395" priority="40" stopIfTrue="1" operator="equal">
      <formula>0</formula>
    </cfRule>
  </conditionalFormatting>
  <conditionalFormatting sqref="M58">
    <cfRule type="cellIs" dxfId="1394" priority="36" stopIfTrue="1" operator="equal">
      <formula>0</formula>
    </cfRule>
  </conditionalFormatting>
  <conditionalFormatting sqref="D58">
    <cfRule type="cellIs" dxfId="1393" priority="35" stopIfTrue="1" operator="equal">
      <formula>0</formula>
    </cfRule>
  </conditionalFormatting>
  <conditionalFormatting sqref="F58">
    <cfRule type="cellIs" dxfId="1392" priority="34" stopIfTrue="1" operator="equal">
      <formula>0</formula>
    </cfRule>
  </conditionalFormatting>
  <conditionalFormatting sqref="M51">
    <cfRule type="cellIs" dxfId="1391" priority="39" stopIfTrue="1" operator="equal">
      <formula>0</formula>
    </cfRule>
  </conditionalFormatting>
  <conditionalFormatting sqref="D51">
    <cfRule type="cellIs" dxfId="1390" priority="38" stopIfTrue="1" operator="equal">
      <formula>0</formula>
    </cfRule>
  </conditionalFormatting>
  <conditionalFormatting sqref="F51">
    <cfRule type="cellIs" dxfId="1389" priority="37" stopIfTrue="1" operator="equal">
      <formula>0</formula>
    </cfRule>
  </conditionalFormatting>
  <conditionalFormatting sqref="M93">
    <cfRule type="cellIs" dxfId="1388" priority="21" stopIfTrue="1" operator="equal">
      <formula>0</formula>
    </cfRule>
  </conditionalFormatting>
  <conditionalFormatting sqref="D93">
    <cfRule type="cellIs" dxfId="1387" priority="20" stopIfTrue="1" operator="equal">
      <formula>0</formula>
    </cfRule>
  </conditionalFormatting>
  <conditionalFormatting sqref="F93">
    <cfRule type="cellIs" dxfId="1386" priority="19" stopIfTrue="1" operator="equal">
      <formula>0</formula>
    </cfRule>
  </conditionalFormatting>
  <conditionalFormatting sqref="F135">
    <cfRule type="cellIs" dxfId="1385" priority="1" stopIfTrue="1" operator="equal">
      <formula>0</formula>
    </cfRule>
  </conditionalFormatting>
  <conditionalFormatting sqref="M65">
    <cfRule type="cellIs" dxfId="1384" priority="33" stopIfTrue="1" operator="equal">
      <formula>0</formula>
    </cfRule>
  </conditionalFormatting>
  <conditionalFormatting sqref="D65">
    <cfRule type="cellIs" dxfId="1383" priority="32" stopIfTrue="1" operator="equal">
      <formula>0</formula>
    </cfRule>
  </conditionalFormatting>
  <conditionalFormatting sqref="F65">
    <cfRule type="cellIs" dxfId="1382" priority="31" stopIfTrue="1" operator="equal">
      <formula>0</formula>
    </cfRule>
  </conditionalFormatting>
  <conditionalFormatting sqref="M72">
    <cfRule type="cellIs" dxfId="1381" priority="30" stopIfTrue="1" operator="equal">
      <formula>0</formula>
    </cfRule>
  </conditionalFormatting>
  <conditionalFormatting sqref="D72">
    <cfRule type="cellIs" dxfId="1380" priority="29" stopIfTrue="1" operator="equal">
      <formula>0</formula>
    </cfRule>
  </conditionalFormatting>
  <conditionalFormatting sqref="F72">
    <cfRule type="cellIs" dxfId="1379" priority="28" stopIfTrue="1" operator="equal">
      <formula>0</formula>
    </cfRule>
  </conditionalFormatting>
  <conditionalFormatting sqref="M79">
    <cfRule type="cellIs" dxfId="1378" priority="27" stopIfTrue="1" operator="equal">
      <formula>0</formula>
    </cfRule>
  </conditionalFormatting>
  <conditionalFormatting sqref="D79">
    <cfRule type="cellIs" dxfId="1377" priority="26" stopIfTrue="1" operator="equal">
      <formula>0</formula>
    </cfRule>
  </conditionalFormatting>
  <conditionalFormatting sqref="F79">
    <cfRule type="cellIs" dxfId="1376" priority="25" stopIfTrue="1" operator="equal">
      <formula>0</formula>
    </cfRule>
  </conditionalFormatting>
  <conditionalFormatting sqref="M86">
    <cfRule type="cellIs" dxfId="1375" priority="24" stopIfTrue="1" operator="equal">
      <formula>0</formula>
    </cfRule>
  </conditionalFormatting>
  <conditionalFormatting sqref="D86">
    <cfRule type="cellIs" dxfId="1374" priority="23" stopIfTrue="1" operator="equal">
      <formula>0</formula>
    </cfRule>
  </conditionalFormatting>
  <conditionalFormatting sqref="F86">
    <cfRule type="cellIs" dxfId="1373" priority="22" stopIfTrue="1" operator="equal">
      <formula>0</formula>
    </cfRule>
  </conditionalFormatting>
  <conditionalFormatting sqref="M135">
    <cfRule type="cellIs" dxfId="1372" priority="3" stopIfTrue="1" operator="equal">
      <formula>0</formula>
    </cfRule>
  </conditionalFormatting>
  <conditionalFormatting sqref="D135">
    <cfRule type="cellIs" dxfId="1371" priority="2" stopIfTrue="1" operator="equal">
      <formula>0</formula>
    </cfRule>
  </conditionalFormatting>
  <conditionalFormatting sqref="M100">
    <cfRule type="cellIs" dxfId="1370" priority="18" stopIfTrue="1" operator="equal">
      <formula>0</formula>
    </cfRule>
  </conditionalFormatting>
  <conditionalFormatting sqref="D100">
    <cfRule type="cellIs" dxfId="1369" priority="17" stopIfTrue="1" operator="equal">
      <formula>0</formula>
    </cfRule>
  </conditionalFormatting>
  <conditionalFormatting sqref="F100">
    <cfRule type="cellIs" dxfId="1368" priority="16" stopIfTrue="1" operator="equal">
      <formula>0</formula>
    </cfRule>
  </conditionalFormatting>
  <conditionalFormatting sqref="M107">
    <cfRule type="cellIs" dxfId="1367" priority="15" stopIfTrue="1" operator="equal">
      <formula>0</formula>
    </cfRule>
  </conditionalFormatting>
  <conditionalFormatting sqref="D107">
    <cfRule type="cellIs" dxfId="1366" priority="14" stopIfTrue="1" operator="equal">
      <formula>0</formula>
    </cfRule>
  </conditionalFormatting>
  <conditionalFormatting sqref="F107">
    <cfRule type="cellIs" dxfId="1365" priority="13" stopIfTrue="1" operator="equal">
      <formula>0</formula>
    </cfRule>
  </conditionalFormatting>
  <conditionalFormatting sqref="M114">
    <cfRule type="cellIs" dxfId="1364" priority="12" stopIfTrue="1" operator="equal">
      <formula>0</formula>
    </cfRule>
  </conditionalFormatting>
  <conditionalFormatting sqref="D114">
    <cfRule type="cellIs" dxfId="1363" priority="11" stopIfTrue="1" operator="equal">
      <formula>0</formula>
    </cfRule>
  </conditionalFormatting>
  <conditionalFormatting sqref="F114">
    <cfRule type="cellIs" dxfId="1362" priority="10" stopIfTrue="1" operator="equal">
      <formula>0</formula>
    </cfRule>
  </conditionalFormatting>
  <conditionalFormatting sqref="M121">
    <cfRule type="cellIs" dxfId="1361" priority="9" stopIfTrue="1" operator="equal">
      <formula>0</formula>
    </cfRule>
  </conditionalFormatting>
  <conditionalFormatting sqref="D121">
    <cfRule type="cellIs" dxfId="1360" priority="8" stopIfTrue="1" operator="equal">
      <formula>0</formula>
    </cfRule>
  </conditionalFormatting>
  <conditionalFormatting sqref="F121">
    <cfRule type="cellIs" dxfId="1359" priority="7" stopIfTrue="1" operator="equal">
      <formula>0</formula>
    </cfRule>
  </conditionalFormatting>
  <conditionalFormatting sqref="M128">
    <cfRule type="cellIs" dxfId="1358" priority="6" stopIfTrue="1" operator="equal">
      <formula>0</formula>
    </cfRule>
  </conditionalFormatting>
  <conditionalFormatting sqref="D128">
    <cfRule type="cellIs" dxfId="1357" priority="5" stopIfTrue="1" operator="equal">
      <formula>0</formula>
    </cfRule>
  </conditionalFormatting>
  <conditionalFormatting sqref="F128">
    <cfRule type="cellIs" dxfId="1356" priority="4" stopIfTrue="1" operator="equal">
      <formula>0</formula>
    </cfRule>
  </conditionalFormatting>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00B0F0"/>
  </sheetPr>
  <dimension ref="A1:P135"/>
  <sheetViews>
    <sheetView workbookViewId="0">
      <selection sqref="A1:M1"/>
    </sheetView>
  </sheetViews>
  <sheetFormatPr baseColWidth="10" defaultColWidth="8.83203125" defaultRowHeight="15" x14ac:dyDescent="0.2"/>
  <cols>
    <col min="1" max="3" width="13.83203125" style="68" customWidth="1"/>
    <col min="4" max="4" width="2.83203125" style="68" customWidth="1"/>
    <col min="5" max="5" width="8.83203125" style="68"/>
    <col min="6" max="6" width="2.83203125" style="68" customWidth="1"/>
    <col min="7" max="7" width="8.83203125" style="68"/>
    <col min="8" max="8" width="2.83203125" style="68" customWidth="1"/>
    <col min="9" max="9" width="8.83203125" style="68"/>
    <col min="10" max="10" width="2.83203125" style="68" customWidth="1"/>
    <col min="11" max="11" width="8.83203125" style="68"/>
    <col min="12" max="12" width="2.83203125" style="68" customWidth="1"/>
    <col min="13" max="16384" width="8.83203125" style="68"/>
  </cols>
  <sheetData>
    <row r="1" spans="1:16" ht="19" x14ac:dyDescent="0.25">
      <c r="A1" s="567" t="s">
        <v>318</v>
      </c>
      <c r="B1" s="567"/>
      <c r="C1" s="567"/>
      <c r="D1" s="567"/>
      <c r="E1" s="567"/>
      <c r="F1" s="567"/>
      <c r="G1" s="567"/>
      <c r="H1" s="567"/>
      <c r="I1" s="567"/>
      <c r="J1" s="567"/>
      <c r="K1" s="567"/>
      <c r="L1" s="567"/>
      <c r="M1" s="567"/>
      <c r="O1" s="50" t="s">
        <v>314</v>
      </c>
    </row>
    <row r="2" spans="1:16" ht="19" x14ac:dyDescent="0.25">
      <c r="A2" s="69" t="s">
        <v>112</v>
      </c>
      <c r="B2" s="568" t="s">
        <v>0</v>
      </c>
      <c r="C2" s="568"/>
      <c r="D2" s="568"/>
      <c r="E2" s="568"/>
      <c r="F2" s="70"/>
      <c r="G2" s="71"/>
      <c r="H2" s="71"/>
      <c r="I2" s="71"/>
      <c r="J2" s="71"/>
      <c r="K2" s="71"/>
      <c r="L2" s="71"/>
      <c r="M2" s="71"/>
      <c r="O2" s="150" t="s">
        <v>319</v>
      </c>
      <c r="P2" s="49"/>
    </row>
    <row r="3" spans="1:16" x14ac:dyDescent="0.2">
      <c r="A3" s="69" t="s">
        <v>113</v>
      </c>
      <c r="B3" s="568" t="s">
        <v>114</v>
      </c>
      <c r="C3" s="568"/>
      <c r="D3" s="568"/>
      <c r="E3" s="568"/>
      <c r="F3" s="70"/>
      <c r="G3" s="71"/>
      <c r="H3" s="71"/>
      <c r="I3" s="71"/>
      <c r="J3" s="71"/>
      <c r="K3" s="71"/>
      <c r="L3" s="71"/>
      <c r="M3" s="71"/>
      <c r="O3" s="68" t="s">
        <v>459</v>
      </c>
    </row>
    <row r="4" spans="1:16" x14ac:dyDescent="0.2">
      <c r="A4" s="69" t="s">
        <v>115</v>
      </c>
      <c r="B4" s="568" t="s">
        <v>4</v>
      </c>
      <c r="C4" s="568"/>
      <c r="D4" s="568"/>
      <c r="E4" s="568"/>
      <c r="F4" s="70"/>
      <c r="G4" s="71"/>
      <c r="H4" s="71"/>
      <c r="I4" s="71"/>
      <c r="J4" s="71"/>
      <c r="K4" s="71"/>
      <c r="L4" s="71"/>
      <c r="M4" s="71"/>
    </row>
    <row r="5" spans="1:16" x14ac:dyDescent="0.2">
      <c r="A5" s="72" t="s">
        <v>116</v>
      </c>
      <c r="B5" s="569" t="s">
        <v>117</v>
      </c>
      <c r="C5" s="569"/>
      <c r="D5" s="569"/>
      <c r="E5" s="569"/>
      <c r="F5" s="73"/>
      <c r="G5" s="71"/>
      <c r="H5" s="71"/>
      <c r="I5" s="71"/>
      <c r="J5" s="71"/>
      <c r="K5" s="71"/>
      <c r="L5" s="71"/>
      <c r="M5" s="71"/>
    </row>
    <row r="6" spans="1:16" x14ac:dyDescent="0.2">
      <c r="A6" s="74"/>
      <c r="B6" s="75"/>
      <c r="C6" s="74"/>
      <c r="D6" s="74"/>
      <c r="E6" s="74"/>
      <c r="F6" s="74"/>
      <c r="G6" s="71"/>
      <c r="H6" s="71"/>
      <c r="I6" s="71"/>
      <c r="J6" s="71"/>
      <c r="K6" s="71"/>
      <c r="L6" s="71"/>
      <c r="M6" s="71"/>
    </row>
    <row r="7" spans="1:16" x14ac:dyDescent="0.2">
      <c r="A7" s="570" t="s">
        <v>118</v>
      </c>
      <c r="B7" s="570"/>
      <c r="C7" s="570"/>
      <c r="D7" s="76"/>
      <c r="E7" s="571" t="s">
        <v>165</v>
      </c>
      <c r="F7" s="571"/>
      <c r="G7" s="571"/>
      <c r="H7" s="571"/>
      <c r="I7" s="571"/>
      <c r="J7" s="571"/>
      <c r="K7" s="571"/>
      <c r="L7" s="571"/>
      <c r="M7" s="571"/>
    </row>
    <row r="8" spans="1:16" x14ac:dyDescent="0.2">
      <c r="A8" s="563" t="s">
        <v>39</v>
      </c>
      <c r="B8" s="563"/>
      <c r="C8" s="563"/>
      <c r="D8" s="77"/>
      <c r="E8" s="78">
        <v>43684</v>
      </c>
      <c r="F8" s="78"/>
      <c r="G8" s="78">
        <v>43684</v>
      </c>
      <c r="H8" s="78"/>
      <c r="I8" s="78">
        <v>43684</v>
      </c>
      <c r="J8" s="78"/>
      <c r="K8" s="78">
        <v>43685</v>
      </c>
      <c r="L8" s="78"/>
      <c r="M8" s="71"/>
    </row>
    <row r="9" spans="1:16" x14ac:dyDescent="0.2">
      <c r="A9" s="563" t="s">
        <v>120</v>
      </c>
      <c r="B9" s="563"/>
      <c r="C9" s="563"/>
      <c r="D9" s="77"/>
      <c r="E9" s="79">
        <v>0.42152777777777778</v>
      </c>
      <c r="F9" s="79"/>
      <c r="G9" s="79">
        <v>0.51874999999999993</v>
      </c>
      <c r="H9" s="79"/>
      <c r="I9" s="79">
        <v>0.62847222222222221</v>
      </c>
      <c r="J9" s="79"/>
      <c r="K9" s="79">
        <v>0.37152777777777773</v>
      </c>
      <c r="L9" s="79"/>
      <c r="M9" s="71"/>
    </row>
    <row r="10" spans="1:16" x14ac:dyDescent="0.2">
      <c r="A10" s="563" t="s">
        <v>121</v>
      </c>
      <c r="B10" s="563"/>
      <c r="C10" s="563"/>
      <c r="D10" s="77"/>
      <c r="E10" s="79">
        <v>0.46319444444444402</v>
      </c>
      <c r="F10" s="79"/>
      <c r="G10" s="79">
        <v>0.54652777777777795</v>
      </c>
      <c r="H10" s="79"/>
      <c r="I10" s="79">
        <v>0.67013888888888895</v>
      </c>
      <c r="J10" s="79"/>
      <c r="K10" s="79">
        <v>0.41319444444444497</v>
      </c>
      <c r="L10" s="79"/>
      <c r="M10" s="71"/>
    </row>
    <row r="11" spans="1:16" x14ac:dyDescent="0.2">
      <c r="A11" s="77"/>
      <c r="B11" s="77"/>
      <c r="C11" s="77"/>
      <c r="D11" s="77"/>
      <c r="E11" s="80" t="s">
        <v>122</v>
      </c>
      <c r="F11" s="80"/>
      <c r="G11" s="80" t="s">
        <v>123</v>
      </c>
      <c r="H11" s="80"/>
      <c r="I11" s="80" t="s">
        <v>124</v>
      </c>
      <c r="J11" s="80"/>
      <c r="K11" s="80" t="s">
        <v>125</v>
      </c>
      <c r="L11" s="80"/>
      <c r="M11" s="80" t="s">
        <v>72</v>
      </c>
    </row>
    <row r="12" spans="1:16" x14ac:dyDescent="0.2">
      <c r="A12" s="564" t="s">
        <v>126</v>
      </c>
      <c r="B12" s="565"/>
      <c r="C12" s="565"/>
      <c r="D12" s="565"/>
      <c r="E12" s="565"/>
      <c r="F12" s="565"/>
      <c r="G12" s="565"/>
      <c r="H12" s="565"/>
      <c r="I12" s="565"/>
      <c r="J12" s="565"/>
      <c r="K12" s="565"/>
      <c r="L12" s="565"/>
      <c r="M12" s="566"/>
    </row>
    <row r="13" spans="1:16" x14ac:dyDescent="0.2">
      <c r="A13" s="563" t="s">
        <v>127</v>
      </c>
      <c r="B13" s="563"/>
      <c r="C13" s="563"/>
      <c r="D13" s="77"/>
      <c r="E13" s="81">
        <v>114</v>
      </c>
      <c r="F13" s="81"/>
      <c r="G13" s="81">
        <v>117</v>
      </c>
      <c r="H13" s="81"/>
      <c r="I13" s="81">
        <v>136</v>
      </c>
      <c r="J13" s="81"/>
      <c r="K13" s="81">
        <v>140</v>
      </c>
      <c r="L13" s="81"/>
      <c r="M13" s="82">
        <v>126.75</v>
      </c>
    </row>
    <row r="14" spans="1:16" x14ac:dyDescent="0.2">
      <c r="A14" s="563" t="s">
        <v>128</v>
      </c>
      <c r="B14" s="563"/>
      <c r="C14" s="563"/>
      <c r="D14" s="77"/>
      <c r="E14" s="83">
        <v>1.4E-2</v>
      </c>
      <c r="F14" s="84"/>
      <c r="G14" s="83">
        <v>1.4E-2</v>
      </c>
      <c r="H14" s="83"/>
      <c r="I14" s="83">
        <v>1.4E-2</v>
      </c>
      <c r="J14" s="83"/>
      <c r="K14" s="83">
        <v>1.4E-2</v>
      </c>
      <c r="L14" s="84"/>
      <c r="M14" s="85">
        <v>1.4E-2</v>
      </c>
    </row>
    <row r="15" spans="1:16" x14ac:dyDescent="0.2">
      <c r="A15" s="563" t="s">
        <v>129</v>
      </c>
      <c r="B15" s="563"/>
      <c r="C15" s="563"/>
      <c r="D15" s="77"/>
      <c r="E15" s="86">
        <v>29.83</v>
      </c>
      <c r="F15" s="86"/>
      <c r="G15" s="86">
        <v>29.83</v>
      </c>
      <c r="H15" s="86"/>
      <c r="I15" s="86">
        <v>29.83</v>
      </c>
      <c r="J15" s="86"/>
      <c r="K15" s="86">
        <v>29.83</v>
      </c>
      <c r="L15" s="86"/>
      <c r="M15" s="87">
        <v>29.83</v>
      </c>
    </row>
    <row r="16" spans="1:16" x14ac:dyDescent="0.2">
      <c r="A16" s="563" t="s">
        <v>130</v>
      </c>
      <c r="B16" s="563"/>
      <c r="C16" s="563"/>
      <c r="D16" s="77"/>
      <c r="E16" s="88">
        <v>1265.7639999999999</v>
      </c>
      <c r="F16" s="88"/>
      <c r="G16" s="88">
        <v>949.32399999999996</v>
      </c>
      <c r="H16" s="88"/>
      <c r="I16" s="88">
        <v>662.19399999999996</v>
      </c>
      <c r="J16" s="88"/>
      <c r="K16" s="88">
        <v>712.54100000000005</v>
      </c>
      <c r="L16" s="88"/>
      <c r="M16" s="89">
        <v>897.45574999999997</v>
      </c>
    </row>
    <row r="17" spans="1:13" x14ac:dyDescent="0.2">
      <c r="A17" s="563" t="s">
        <v>131</v>
      </c>
      <c r="B17" s="563"/>
      <c r="C17" s="563"/>
      <c r="D17" s="77"/>
      <c r="E17" s="90">
        <v>9.3949999999999996</v>
      </c>
      <c r="F17" s="90"/>
      <c r="G17" s="90">
        <v>10.413</v>
      </c>
      <c r="H17" s="90"/>
      <c r="I17" s="90">
        <v>11.281000000000001</v>
      </c>
      <c r="J17" s="90"/>
      <c r="K17" s="90">
        <v>11.09</v>
      </c>
      <c r="L17" s="90"/>
      <c r="M17" s="89">
        <v>10.544750000000001</v>
      </c>
    </row>
    <row r="18" spans="1:13" x14ac:dyDescent="0.2">
      <c r="A18" s="563" t="s">
        <v>132</v>
      </c>
      <c r="B18" s="563"/>
      <c r="C18" s="563"/>
      <c r="D18" s="77"/>
      <c r="E18" s="91">
        <v>84587</v>
      </c>
      <c r="F18" s="91"/>
      <c r="G18" s="91">
        <v>93757</v>
      </c>
      <c r="H18" s="91"/>
      <c r="I18" s="91">
        <v>101574</v>
      </c>
      <c r="J18" s="91"/>
      <c r="K18" s="91">
        <v>99849</v>
      </c>
      <c r="L18" s="91"/>
      <c r="M18" s="92">
        <v>94941.75</v>
      </c>
    </row>
    <row r="19" spans="1:13" x14ac:dyDescent="0.2">
      <c r="A19" s="563" t="s">
        <v>133</v>
      </c>
      <c r="B19" s="563"/>
      <c r="C19" s="563"/>
      <c r="D19" s="77"/>
      <c r="E19" s="91">
        <v>76464</v>
      </c>
      <c r="F19" s="91"/>
      <c r="G19" s="91">
        <v>84323</v>
      </c>
      <c r="H19" s="91"/>
      <c r="I19" s="91">
        <v>88456</v>
      </c>
      <c r="J19" s="91"/>
      <c r="K19" s="91">
        <v>86403</v>
      </c>
      <c r="L19" s="91"/>
      <c r="M19" s="92">
        <v>83911.5</v>
      </c>
    </row>
    <row r="20" spans="1:13" x14ac:dyDescent="0.2">
      <c r="A20" s="563" t="s">
        <v>134</v>
      </c>
      <c r="B20" s="563"/>
      <c r="C20" s="563"/>
      <c r="D20" s="77"/>
      <c r="E20" s="91">
        <v>77574</v>
      </c>
      <c r="F20" s="91"/>
      <c r="G20" s="91">
        <v>85536</v>
      </c>
      <c r="H20" s="91"/>
      <c r="I20" s="91">
        <v>89714</v>
      </c>
      <c r="J20" s="91"/>
      <c r="K20" s="91">
        <v>87602</v>
      </c>
      <c r="L20" s="91"/>
      <c r="M20" s="92">
        <v>85106.5</v>
      </c>
    </row>
    <row r="21" spans="1:13" x14ac:dyDescent="0.2">
      <c r="A21" s="563" t="s">
        <v>135</v>
      </c>
      <c r="B21" s="563"/>
      <c r="C21" s="563"/>
      <c r="D21" s="77"/>
      <c r="E21" s="81">
        <v>0</v>
      </c>
      <c r="F21" s="81"/>
      <c r="G21" s="81">
        <v>0</v>
      </c>
      <c r="H21" s="81"/>
      <c r="I21" s="81">
        <v>0</v>
      </c>
      <c r="J21" s="81"/>
      <c r="K21" s="81">
        <v>0</v>
      </c>
      <c r="L21" s="81"/>
      <c r="M21" s="82">
        <v>0</v>
      </c>
    </row>
    <row r="22" spans="1:13" x14ac:dyDescent="0.2">
      <c r="A22" s="563" t="s">
        <v>136</v>
      </c>
      <c r="B22" s="563"/>
      <c r="C22" s="563"/>
      <c r="D22" s="77"/>
      <c r="E22" s="81">
        <v>20.9</v>
      </c>
      <c r="F22" s="81"/>
      <c r="G22" s="81">
        <v>20.9</v>
      </c>
      <c r="H22" s="81"/>
      <c r="I22" s="81">
        <v>20.9</v>
      </c>
      <c r="J22" s="81"/>
      <c r="K22" s="81">
        <v>20.9</v>
      </c>
      <c r="L22" s="81"/>
      <c r="M22" s="82">
        <v>20.9</v>
      </c>
    </row>
    <row r="23" spans="1:13" x14ac:dyDescent="0.2">
      <c r="A23" s="563" t="s">
        <v>137</v>
      </c>
      <c r="B23" s="563"/>
      <c r="C23" s="563"/>
      <c r="D23" s="77"/>
      <c r="E23" s="81">
        <v>89.8</v>
      </c>
      <c r="F23" s="81"/>
      <c r="G23" s="81">
        <v>91.6</v>
      </c>
      <c r="H23" s="81"/>
      <c r="I23" s="81">
        <v>85.9</v>
      </c>
      <c r="J23" s="81"/>
      <c r="K23" s="81">
        <v>94.6</v>
      </c>
      <c r="L23" s="81"/>
      <c r="M23" s="82">
        <v>90.474999999999994</v>
      </c>
    </row>
    <row r="24" spans="1:13" x14ac:dyDescent="0.2">
      <c r="A24" s="563" t="s">
        <v>138</v>
      </c>
      <c r="B24" s="563"/>
      <c r="C24" s="563"/>
      <c r="D24" s="77"/>
      <c r="E24" s="93">
        <v>89</v>
      </c>
      <c r="F24" s="93"/>
      <c r="G24" s="93">
        <v>121</v>
      </c>
      <c r="H24" s="93"/>
      <c r="I24" s="93">
        <v>120</v>
      </c>
      <c r="J24" s="93"/>
      <c r="K24" s="93">
        <v>140</v>
      </c>
      <c r="L24" s="93"/>
      <c r="M24" s="82">
        <v>117.5</v>
      </c>
    </row>
    <row r="25" spans="1:13" hidden="1" x14ac:dyDescent="0.2">
      <c r="A25" s="552" t="s">
        <v>139</v>
      </c>
      <c r="B25" s="552" t="s">
        <v>140</v>
      </c>
      <c r="C25" s="552" t="s">
        <v>140</v>
      </c>
      <c r="D25" s="77"/>
      <c r="E25" s="94" t="s">
        <v>71</v>
      </c>
      <c r="F25" s="81"/>
      <c r="G25" s="94" t="s">
        <v>71</v>
      </c>
      <c r="H25" s="94"/>
      <c r="I25" s="94"/>
      <c r="J25" s="94"/>
      <c r="K25" s="94"/>
      <c r="L25" s="81"/>
      <c r="M25" s="95" t="e">
        <v>#REF!</v>
      </c>
    </row>
    <row r="26" spans="1:13" hidden="1" x14ac:dyDescent="0.2">
      <c r="A26" s="564" t="s">
        <v>141</v>
      </c>
      <c r="B26" s="565"/>
      <c r="C26" s="565"/>
      <c r="D26" s="565"/>
      <c r="E26" s="565"/>
      <c r="F26" s="565"/>
      <c r="G26" s="565"/>
      <c r="H26" s="565"/>
      <c r="I26" s="565"/>
      <c r="J26" s="565"/>
      <c r="K26" s="565"/>
      <c r="L26" s="565"/>
      <c r="M26" s="566"/>
    </row>
    <row r="27" spans="1:13" hidden="1" x14ac:dyDescent="0.2">
      <c r="A27" s="562" t="s">
        <v>142</v>
      </c>
      <c r="B27" s="562"/>
      <c r="C27" s="562"/>
      <c r="D27" s="96"/>
      <c r="E27" s="97">
        <v>2161.7199999999998</v>
      </c>
      <c r="F27" s="96"/>
      <c r="G27" s="98">
        <v>4304.5200000000004</v>
      </c>
      <c r="H27" s="87"/>
      <c r="I27" s="87"/>
      <c r="J27" s="87"/>
      <c r="K27" s="87"/>
      <c r="L27" s="96"/>
      <c r="M27" s="97" t="e">
        <v>#REF!</v>
      </c>
    </row>
    <row r="28" spans="1:13" hidden="1" x14ac:dyDescent="0.2">
      <c r="A28" s="563" t="s">
        <v>58</v>
      </c>
      <c r="B28" s="563"/>
      <c r="C28" s="563"/>
      <c r="D28" s="96"/>
      <c r="E28" s="99">
        <v>1.7299999999999999E-2</v>
      </c>
      <c r="F28" s="96"/>
      <c r="G28" s="99">
        <v>5.0599999999999999E-2</v>
      </c>
      <c r="H28" s="99"/>
      <c r="I28" s="99"/>
      <c r="J28" s="99"/>
      <c r="K28" s="99"/>
      <c r="L28" s="96"/>
      <c r="M28" s="100" t="e">
        <v>#REF!</v>
      </c>
    </row>
    <row r="29" spans="1:13" hidden="1" x14ac:dyDescent="0.2">
      <c r="A29" s="563" t="s">
        <v>143</v>
      </c>
      <c r="B29" s="563"/>
      <c r="C29" s="563"/>
      <c r="D29" s="101"/>
      <c r="E29" s="102">
        <v>0.19409000000000001</v>
      </c>
      <c r="F29" s="81"/>
      <c r="G29" s="102">
        <v>0.41798000000000002</v>
      </c>
      <c r="H29" s="102"/>
      <c r="I29" s="102"/>
      <c r="J29" s="102"/>
      <c r="K29" s="102"/>
      <c r="L29" s="93"/>
      <c r="M29" s="103" t="e">
        <v>#REF!</v>
      </c>
    </row>
    <row r="30" spans="1:13" hidden="1" x14ac:dyDescent="0.2">
      <c r="A30" s="563" t="s">
        <v>144</v>
      </c>
      <c r="B30" s="563"/>
      <c r="C30" s="563"/>
      <c r="D30" s="101"/>
      <c r="E30" s="104" t="e">
        <v>#DIV/0!</v>
      </c>
      <c r="F30" s="81"/>
      <c r="G30" s="104" t="e">
        <v>#VALUE!</v>
      </c>
      <c r="H30" s="104"/>
      <c r="I30" s="104"/>
      <c r="J30" s="104"/>
      <c r="K30" s="104"/>
      <c r="L30" s="93"/>
      <c r="M30" s="100" t="e">
        <v>#DIV/0!</v>
      </c>
    </row>
    <row r="31" spans="1:13" x14ac:dyDescent="0.2">
      <c r="A31" s="558" t="s">
        <v>145</v>
      </c>
      <c r="B31" s="559"/>
      <c r="C31" s="559"/>
      <c r="D31" s="559"/>
      <c r="E31" s="559"/>
      <c r="F31" s="559"/>
      <c r="G31" s="559"/>
      <c r="H31" s="559"/>
      <c r="I31" s="559"/>
      <c r="J31" s="559"/>
      <c r="K31" s="559"/>
      <c r="L31" s="559"/>
      <c r="M31" s="560"/>
    </row>
    <row r="32" spans="1:13" x14ac:dyDescent="0.2">
      <c r="A32" s="557" t="s">
        <v>142</v>
      </c>
      <c r="B32" s="557"/>
      <c r="C32" s="557"/>
      <c r="D32" s="105" t="s">
        <v>71</v>
      </c>
      <c r="E32" s="87">
        <v>210</v>
      </c>
      <c r="F32" s="105" t="s">
        <v>71</v>
      </c>
      <c r="G32" s="87">
        <v>200</v>
      </c>
      <c r="H32" s="105"/>
      <c r="I32" s="87">
        <v>320</v>
      </c>
      <c r="J32" s="116" t="s">
        <v>146</v>
      </c>
      <c r="K32" s="106">
        <v>180</v>
      </c>
      <c r="L32" s="105" t="s">
        <v>146</v>
      </c>
      <c r="M32" s="87">
        <v>227.5</v>
      </c>
    </row>
    <row r="33" spans="1:13" x14ac:dyDescent="0.2">
      <c r="A33" s="557" t="s">
        <v>147</v>
      </c>
      <c r="B33" s="557"/>
      <c r="C33" s="557"/>
      <c r="D33" s="105" t="s">
        <v>71</v>
      </c>
      <c r="E33" s="107">
        <v>5.2190000000000003</v>
      </c>
      <c r="F33" s="105" t="s">
        <v>71</v>
      </c>
      <c r="G33" s="107">
        <v>6.6280000000000001</v>
      </c>
      <c r="H33" s="105"/>
      <c r="I33" s="107">
        <v>15.202</v>
      </c>
      <c r="J33" s="116" t="s">
        <v>146</v>
      </c>
      <c r="K33" s="108">
        <v>7.9470000000000001</v>
      </c>
      <c r="L33" s="105" t="s">
        <v>146</v>
      </c>
      <c r="M33" s="87">
        <v>8.7490000000000006</v>
      </c>
    </row>
    <row r="34" spans="1:13" x14ac:dyDescent="0.2">
      <c r="A34" s="557" t="s">
        <v>148</v>
      </c>
      <c r="B34" s="557"/>
      <c r="C34" s="557"/>
      <c r="D34" s="105" t="s">
        <v>71</v>
      </c>
      <c r="E34" s="107">
        <v>5.86</v>
      </c>
      <c r="F34" s="105" t="s">
        <v>71</v>
      </c>
      <c r="G34" s="107">
        <v>7.44</v>
      </c>
      <c r="H34" s="105"/>
      <c r="I34" s="107">
        <v>17.07</v>
      </c>
      <c r="J34" s="116" t="s">
        <v>146</v>
      </c>
      <c r="K34" s="108">
        <v>8.92</v>
      </c>
      <c r="L34" s="105" t="s">
        <v>146</v>
      </c>
      <c r="M34" s="87">
        <v>9.8224999999999998</v>
      </c>
    </row>
    <row r="35" spans="1:13" x14ac:dyDescent="0.2">
      <c r="A35" s="557" t="s">
        <v>58</v>
      </c>
      <c r="B35" s="557"/>
      <c r="C35" s="557"/>
      <c r="D35" s="105" t="s">
        <v>71</v>
      </c>
      <c r="E35" s="109">
        <v>1.678E-3</v>
      </c>
      <c r="F35" s="110" t="s">
        <v>71</v>
      </c>
      <c r="G35" s="109">
        <v>1.598E-3</v>
      </c>
      <c r="H35" s="105"/>
      <c r="I35" s="109">
        <v>5.6540000000000002E-3</v>
      </c>
      <c r="J35" s="117" t="s">
        <v>146</v>
      </c>
      <c r="K35" s="111">
        <v>2.8869999999999998E-3</v>
      </c>
      <c r="L35" s="110" t="s">
        <v>146</v>
      </c>
      <c r="M35" s="112">
        <v>2.9542500000000003E-3</v>
      </c>
    </row>
    <row r="36" spans="1:13" x14ac:dyDescent="0.2">
      <c r="A36" s="557" t="s">
        <v>149</v>
      </c>
      <c r="B36" s="557"/>
      <c r="C36" s="557"/>
      <c r="D36" s="105" t="s">
        <v>71</v>
      </c>
      <c r="E36" s="109">
        <v>1.8853932584269663E-5</v>
      </c>
      <c r="F36" s="110" t="s">
        <v>71</v>
      </c>
      <c r="G36" s="109">
        <v>1.3206611570247933E-5</v>
      </c>
      <c r="H36" s="105"/>
      <c r="I36" s="109">
        <v>4.7116666666666669E-5</v>
      </c>
      <c r="J36" s="117" t="s">
        <v>146</v>
      </c>
      <c r="K36" s="111">
        <v>2.0621428571428571E-5</v>
      </c>
      <c r="L36" s="110" t="s">
        <v>146</v>
      </c>
      <c r="M36" s="112">
        <v>2.4949659848153206E-5</v>
      </c>
    </row>
    <row r="37" spans="1:13" ht="16" x14ac:dyDescent="0.2">
      <c r="A37" s="552" t="s">
        <v>150</v>
      </c>
      <c r="B37" s="552"/>
      <c r="C37" s="552"/>
      <c r="D37" s="105"/>
      <c r="E37" s="113">
        <f>E36</f>
        <v>1.8853932584269663E-5</v>
      </c>
      <c r="F37" s="110"/>
      <c r="G37" s="113">
        <f>G36</f>
        <v>1.3206611570247933E-5</v>
      </c>
      <c r="H37" s="113"/>
      <c r="I37" s="113">
        <f>I36</f>
        <v>4.7116666666666669E-5</v>
      </c>
      <c r="J37" s="113"/>
      <c r="K37" s="113">
        <f t="shared" ref="K37" si="0">K36*0.5</f>
        <v>1.0310714285714285E-5</v>
      </c>
      <c r="L37" s="112"/>
      <c r="M37" s="114">
        <f>AVERAGE(E37,G37,I37,K37)</f>
        <v>2.2371981276724637E-5</v>
      </c>
    </row>
    <row r="38" spans="1:13" x14ac:dyDescent="0.2">
      <c r="A38" s="558" t="s">
        <v>151</v>
      </c>
      <c r="B38" s="559"/>
      <c r="C38" s="559"/>
      <c r="D38" s="559"/>
      <c r="E38" s="559"/>
      <c r="F38" s="559"/>
      <c r="G38" s="559"/>
      <c r="H38" s="559"/>
      <c r="I38" s="559"/>
      <c r="J38" s="559"/>
      <c r="K38" s="559"/>
      <c r="L38" s="559"/>
      <c r="M38" s="560"/>
    </row>
    <row r="39" spans="1:13" x14ac:dyDescent="0.2">
      <c r="A39" s="557" t="s">
        <v>142</v>
      </c>
      <c r="B39" s="557"/>
      <c r="C39" s="557"/>
      <c r="D39" s="105" t="s">
        <v>71</v>
      </c>
      <c r="E39" s="87">
        <v>8.1</v>
      </c>
      <c r="F39" s="105" t="s">
        <v>71</v>
      </c>
      <c r="G39" s="87">
        <v>23</v>
      </c>
      <c r="H39" s="105"/>
      <c r="I39" s="87">
        <v>31</v>
      </c>
      <c r="J39" s="105"/>
      <c r="K39" s="87">
        <v>13</v>
      </c>
      <c r="L39" s="87"/>
      <c r="M39" s="87">
        <v>18.774999999999999</v>
      </c>
    </row>
    <row r="40" spans="1:13" x14ac:dyDescent="0.2">
      <c r="A40" s="557" t="s">
        <v>147</v>
      </c>
      <c r="B40" s="557"/>
      <c r="C40" s="557"/>
      <c r="D40" s="105" t="s">
        <v>71</v>
      </c>
      <c r="E40" s="107">
        <v>4.4999999999999998E-2</v>
      </c>
      <c r="F40" s="105" t="s">
        <v>71</v>
      </c>
      <c r="G40" s="107">
        <v>0.16900000000000001</v>
      </c>
      <c r="H40" s="105"/>
      <c r="I40" s="107">
        <v>0.32600000000000001</v>
      </c>
      <c r="J40" s="105"/>
      <c r="K40" s="107">
        <v>0.127</v>
      </c>
      <c r="L40" s="87"/>
      <c r="M40" s="87">
        <v>0.16675000000000001</v>
      </c>
    </row>
    <row r="41" spans="1:13" x14ac:dyDescent="0.2">
      <c r="A41" s="557" t="s">
        <v>148</v>
      </c>
      <c r="B41" s="557"/>
      <c r="C41" s="557"/>
      <c r="D41" s="105" t="s">
        <v>71</v>
      </c>
      <c r="E41" s="107">
        <v>0.23</v>
      </c>
      <c r="F41" s="105" t="s">
        <v>71</v>
      </c>
      <c r="G41" s="107">
        <v>0.86</v>
      </c>
      <c r="H41" s="105"/>
      <c r="I41" s="107">
        <v>1.65</v>
      </c>
      <c r="J41" s="105"/>
      <c r="K41" s="107">
        <v>0.64</v>
      </c>
      <c r="L41" s="87"/>
      <c r="M41" s="87">
        <v>0.84500000000000008</v>
      </c>
    </row>
    <row r="42" spans="1:13" x14ac:dyDescent="0.2">
      <c r="A42" s="557" t="s">
        <v>58</v>
      </c>
      <c r="B42" s="557"/>
      <c r="C42" s="557"/>
      <c r="D42" s="105" t="s">
        <v>71</v>
      </c>
      <c r="E42" s="109">
        <v>6.4999999999999994E-5</v>
      </c>
      <c r="F42" s="110" t="s">
        <v>71</v>
      </c>
      <c r="G42" s="109">
        <v>1.84E-4</v>
      </c>
      <c r="H42" s="105"/>
      <c r="I42" s="109">
        <v>5.4799999999999998E-4</v>
      </c>
      <c r="J42" s="110"/>
      <c r="K42" s="109">
        <v>2.0900000000000001E-4</v>
      </c>
      <c r="L42" s="112"/>
      <c r="M42" s="112">
        <v>2.5149999999999999E-4</v>
      </c>
    </row>
    <row r="43" spans="1:13" x14ac:dyDescent="0.2">
      <c r="A43" s="557" t="s">
        <v>149</v>
      </c>
      <c r="B43" s="557"/>
      <c r="C43" s="557"/>
      <c r="D43" s="105" t="s">
        <v>71</v>
      </c>
      <c r="E43" s="109">
        <v>7.3033707865168529E-7</v>
      </c>
      <c r="F43" s="110" t="s">
        <v>71</v>
      </c>
      <c r="G43" s="109">
        <v>1.5206611570247934E-6</v>
      </c>
      <c r="H43" s="105"/>
      <c r="I43" s="109">
        <v>4.5666666666666664E-6</v>
      </c>
      <c r="J43" s="110"/>
      <c r="K43" s="109">
        <v>1.492857142857143E-6</v>
      </c>
      <c r="L43" s="112"/>
      <c r="M43" s="112">
        <v>2.0776305113000721E-6</v>
      </c>
    </row>
    <row r="44" spans="1:13" ht="16" x14ac:dyDescent="0.2">
      <c r="A44" s="552" t="s">
        <v>150</v>
      </c>
      <c r="B44" s="552"/>
      <c r="C44" s="552"/>
      <c r="D44" s="105"/>
      <c r="E44" s="113">
        <f>E43</f>
        <v>7.3033707865168529E-7</v>
      </c>
      <c r="F44" s="110"/>
      <c r="G44" s="113">
        <f>G43</f>
        <v>1.5206611570247934E-6</v>
      </c>
      <c r="H44" s="113"/>
      <c r="I44" s="113">
        <f>I43</f>
        <v>4.5666666666666664E-6</v>
      </c>
      <c r="J44" s="113"/>
      <c r="K44" s="113">
        <f>K43</f>
        <v>1.492857142857143E-6</v>
      </c>
      <c r="L44" s="112"/>
      <c r="M44" s="114">
        <f>AVERAGE(E44,G44,I44,K44)</f>
        <v>2.0776305113000721E-6</v>
      </c>
    </row>
    <row r="45" spans="1:13" x14ac:dyDescent="0.2">
      <c r="A45" s="558" t="s">
        <v>152</v>
      </c>
      <c r="B45" s="559"/>
      <c r="C45" s="559"/>
      <c r="D45" s="559"/>
      <c r="E45" s="559"/>
      <c r="F45" s="559"/>
      <c r="G45" s="559"/>
      <c r="H45" s="559"/>
      <c r="I45" s="559"/>
      <c r="J45" s="559"/>
      <c r="K45" s="559"/>
      <c r="L45" s="559"/>
      <c r="M45" s="560"/>
    </row>
    <row r="46" spans="1:13" x14ac:dyDescent="0.2">
      <c r="A46" s="557" t="s">
        <v>142</v>
      </c>
      <c r="B46" s="557"/>
      <c r="C46" s="557"/>
      <c r="D46" s="105" t="s">
        <v>71</v>
      </c>
      <c r="E46" s="87">
        <v>52</v>
      </c>
      <c r="F46" s="105" t="s">
        <v>71</v>
      </c>
      <c r="G46" s="87">
        <v>84</v>
      </c>
      <c r="H46" s="105"/>
      <c r="I46" s="87">
        <v>70</v>
      </c>
      <c r="J46" s="105"/>
      <c r="K46" s="87">
        <v>33</v>
      </c>
      <c r="L46" s="87"/>
      <c r="M46" s="87">
        <v>59.75</v>
      </c>
    </row>
    <row r="47" spans="1:13" x14ac:dyDescent="0.2">
      <c r="A47" s="557" t="s">
        <v>147</v>
      </c>
      <c r="B47" s="557"/>
      <c r="C47" s="557"/>
      <c r="D47" s="105" t="s">
        <v>71</v>
      </c>
      <c r="E47" s="107">
        <v>0.46500000000000002</v>
      </c>
      <c r="F47" s="105" t="s">
        <v>71</v>
      </c>
      <c r="G47" s="107">
        <v>1.002</v>
      </c>
      <c r="H47" s="105"/>
      <c r="I47" s="107">
        <v>1.198</v>
      </c>
      <c r="J47" s="105"/>
      <c r="K47" s="107">
        <v>0.52500000000000002</v>
      </c>
      <c r="L47" s="87"/>
      <c r="M47" s="87">
        <v>0.79749999999999999</v>
      </c>
    </row>
    <row r="48" spans="1:13" x14ac:dyDescent="0.2">
      <c r="A48" s="557" t="s">
        <v>148</v>
      </c>
      <c r="B48" s="557"/>
      <c r="C48" s="557"/>
      <c r="D48" s="105" t="s">
        <v>71</v>
      </c>
      <c r="E48" s="107">
        <v>1.45</v>
      </c>
      <c r="F48" s="105" t="s">
        <v>71</v>
      </c>
      <c r="G48" s="107">
        <v>3.12</v>
      </c>
      <c r="H48" s="105"/>
      <c r="I48" s="107">
        <v>3.73</v>
      </c>
      <c r="J48" s="105"/>
      <c r="K48" s="107">
        <v>1.64</v>
      </c>
      <c r="L48" s="87"/>
      <c r="M48" s="87">
        <v>2.4850000000000003</v>
      </c>
    </row>
    <row r="49" spans="1:13" x14ac:dyDescent="0.2">
      <c r="A49" s="557" t="s">
        <v>58</v>
      </c>
      <c r="B49" s="557"/>
      <c r="C49" s="557"/>
      <c r="D49" s="105" t="s">
        <v>71</v>
      </c>
      <c r="E49" s="109">
        <v>4.1599999999999997E-4</v>
      </c>
      <c r="F49" s="110" t="s">
        <v>71</v>
      </c>
      <c r="G49" s="109">
        <v>6.7100000000000005E-4</v>
      </c>
      <c r="H49" s="105"/>
      <c r="I49" s="109">
        <v>1.237E-3</v>
      </c>
      <c r="J49" s="110"/>
      <c r="K49" s="109">
        <v>5.2899999999999996E-4</v>
      </c>
      <c r="L49" s="112"/>
      <c r="M49" s="112">
        <v>7.1325000000000002E-4</v>
      </c>
    </row>
    <row r="50" spans="1:13" x14ac:dyDescent="0.2">
      <c r="A50" s="557" t="s">
        <v>149</v>
      </c>
      <c r="B50" s="557"/>
      <c r="C50" s="557"/>
      <c r="D50" s="105" t="s">
        <v>71</v>
      </c>
      <c r="E50" s="109">
        <v>4.674157303370786E-6</v>
      </c>
      <c r="F50" s="110" t="s">
        <v>71</v>
      </c>
      <c r="G50" s="109">
        <v>5.5454545454545461E-6</v>
      </c>
      <c r="H50" s="105"/>
      <c r="I50" s="109">
        <v>1.0308333333333334E-5</v>
      </c>
      <c r="J50" s="110"/>
      <c r="K50" s="109">
        <v>3.7785714285714282E-6</v>
      </c>
      <c r="L50" s="112"/>
      <c r="M50" s="112">
        <v>6.0766291526825242E-6</v>
      </c>
    </row>
    <row r="51" spans="1:13" ht="15" customHeight="1" x14ac:dyDescent="0.2">
      <c r="A51" s="552" t="s">
        <v>150</v>
      </c>
      <c r="B51" s="552"/>
      <c r="C51" s="552"/>
      <c r="D51" s="105"/>
      <c r="E51" s="113">
        <f>E50</f>
        <v>4.674157303370786E-6</v>
      </c>
      <c r="F51" s="110"/>
      <c r="G51" s="113">
        <f>G50</f>
        <v>5.5454545454545461E-6</v>
      </c>
      <c r="H51" s="113"/>
      <c r="I51" s="113">
        <f>I50</f>
        <v>1.0308333333333334E-5</v>
      </c>
      <c r="J51" s="113"/>
      <c r="K51" s="113">
        <f>K50</f>
        <v>3.7785714285714282E-6</v>
      </c>
      <c r="L51" s="112"/>
      <c r="M51" s="114">
        <f>AVERAGE(E51,G51,I51,K51)</f>
        <v>6.0766291526825242E-6</v>
      </c>
    </row>
    <row r="52" spans="1:13" x14ac:dyDescent="0.2">
      <c r="A52" s="558" t="s">
        <v>153</v>
      </c>
      <c r="B52" s="559"/>
      <c r="C52" s="559"/>
      <c r="D52" s="559"/>
      <c r="E52" s="559"/>
      <c r="F52" s="559"/>
      <c r="G52" s="559"/>
      <c r="H52" s="559"/>
      <c r="I52" s="559"/>
      <c r="J52" s="559"/>
      <c r="K52" s="559"/>
      <c r="L52" s="559"/>
      <c r="M52" s="560"/>
    </row>
    <row r="53" spans="1:13" x14ac:dyDescent="0.2">
      <c r="A53" s="557" t="s">
        <v>142</v>
      </c>
      <c r="B53" s="557"/>
      <c r="C53" s="557"/>
      <c r="D53" s="105" t="s">
        <v>146</v>
      </c>
      <c r="E53" s="87">
        <v>2.7</v>
      </c>
      <c r="F53" s="105" t="s">
        <v>146</v>
      </c>
      <c r="G53" s="87">
        <v>2.7</v>
      </c>
      <c r="H53" s="105" t="s">
        <v>146</v>
      </c>
      <c r="I53" s="87">
        <v>2.7</v>
      </c>
      <c r="J53" s="105" t="s">
        <v>146</v>
      </c>
      <c r="K53" s="87">
        <v>2.7</v>
      </c>
      <c r="L53" s="105" t="s">
        <v>146</v>
      </c>
      <c r="M53" s="87">
        <v>2.7</v>
      </c>
    </row>
    <row r="54" spans="1:13" x14ac:dyDescent="0.2">
      <c r="A54" s="557" t="s">
        <v>147</v>
      </c>
      <c r="B54" s="557"/>
      <c r="C54" s="557"/>
      <c r="D54" s="105" t="s">
        <v>146</v>
      </c>
      <c r="E54" s="107">
        <v>0.20100000000000001</v>
      </c>
      <c r="F54" s="105" t="s">
        <v>146</v>
      </c>
      <c r="G54" s="107">
        <v>0.26800000000000002</v>
      </c>
      <c r="H54" s="105" t="s">
        <v>146</v>
      </c>
      <c r="I54" s="107">
        <v>0.38400000000000001</v>
      </c>
      <c r="J54" s="105" t="s">
        <v>146</v>
      </c>
      <c r="K54" s="107">
        <v>0.35699999999999998</v>
      </c>
      <c r="L54" s="105" t="s">
        <v>146</v>
      </c>
      <c r="M54" s="87">
        <v>0.30249999999999999</v>
      </c>
    </row>
    <row r="55" spans="1:13" x14ac:dyDescent="0.2">
      <c r="A55" s="557" t="s">
        <v>148</v>
      </c>
      <c r="B55" s="557"/>
      <c r="C55" s="557"/>
      <c r="D55" s="105" t="s">
        <v>146</v>
      </c>
      <c r="E55" s="107">
        <v>0.08</v>
      </c>
      <c r="F55" s="105" t="s">
        <v>146</v>
      </c>
      <c r="G55" s="107">
        <v>0.1</v>
      </c>
      <c r="H55" s="105" t="s">
        <v>146</v>
      </c>
      <c r="I55" s="107">
        <v>0.14000000000000001</v>
      </c>
      <c r="J55" s="105" t="s">
        <v>146</v>
      </c>
      <c r="K55" s="107">
        <v>0.13</v>
      </c>
      <c r="L55" s="105" t="s">
        <v>146</v>
      </c>
      <c r="M55" s="87">
        <v>0.1125</v>
      </c>
    </row>
    <row r="56" spans="1:13" x14ac:dyDescent="0.2">
      <c r="A56" s="557" t="s">
        <v>58</v>
      </c>
      <c r="B56" s="557"/>
      <c r="C56" s="557"/>
      <c r="D56" s="105" t="s">
        <v>146</v>
      </c>
      <c r="E56" s="109">
        <v>2.1999999999999999E-5</v>
      </c>
      <c r="F56" s="110" t="s">
        <v>146</v>
      </c>
      <c r="G56" s="109">
        <v>2.1999999999999999E-5</v>
      </c>
      <c r="H56" s="105" t="s">
        <v>146</v>
      </c>
      <c r="I56" s="109">
        <v>4.8000000000000001E-5</v>
      </c>
      <c r="J56" s="110" t="s">
        <v>146</v>
      </c>
      <c r="K56" s="109">
        <v>4.3000000000000002E-5</v>
      </c>
      <c r="L56" s="110" t="s">
        <v>146</v>
      </c>
      <c r="M56" s="112">
        <v>3.375E-5</v>
      </c>
    </row>
    <row r="57" spans="1:13" x14ac:dyDescent="0.2">
      <c r="A57" s="557" t="s">
        <v>149</v>
      </c>
      <c r="B57" s="557"/>
      <c r="C57" s="557"/>
      <c r="D57" s="105" t="s">
        <v>146</v>
      </c>
      <c r="E57" s="109">
        <v>2.4719101123595505E-7</v>
      </c>
      <c r="F57" s="110" t="s">
        <v>146</v>
      </c>
      <c r="G57" s="109">
        <v>1.818181818181818E-7</v>
      </c>
      <c r="H57" s="105" t="s">
        <v>146</v>
      </c>
      <c r="I57" s="109">
        <v>4.0000000000000003E-7</v>
      </c>
      <c r="J57" s="110" t="s">
        <v>146</v>
      </c>
      <c r="K57" s="109">
        <v>3.0714285714285716E-7</v>
      </c>
      <c r="L57" s="110" t="s">
        <v>146</v>
      </c>
      <c r="M57" s="112">
        <v>2.8403801254924849E-7</v>
      </c>
    </row>
    <row r="58" spans="1:13" ht="16" x14ac:dyDescent="0.2">
      <c r="A58" s="552" t="s">
        <v>150</v>
      </c>
      <c r="B58" s="552"/>
      <c r="C58" s="552"/>
      <c r="D58" s="105"/>
      <c r="E58" s="113">
        <v>0</v>
      </c>
      <c r="F58" s="110"/>
      <c r="G58" s="113">
        <v>0</v>
      </c>
      <c r="H58" s="113"/>
      <c r="I58" s="113">
        <v>0</v>
      </c>
      <c r="J58" s="113"/>
      <c r="K58" s="113">
        <v>0</v>
      </c>
      <c r="L58" s="112"/>
      <c r="M58" s="114">
        <f>AVERAGE(E58,G58,I58,K58)</f>
        <v>0</v>
      </c>
    </row>
    <row r="59" spans="1:13" x14ac:dyDescent="0.2">
      <c r="A59" s="558" t="s">
        <v>154</v>
      </c>
      <c r="B59" s="559"/>
      <c r="C59" s="559"/>
      <c r="D59" s="559"/>
      <c r="E59" s="559"/>
      <c r="F59" s="559"/>
      <c r="G59" s="559"/>
      <c r="H59" s="559"/>
      <c r="I59" s="559"/>
      <c r="J59" s="559"/>
      <c r="K59" s="559"/>
      <c r="L59" s="559"/>
      <c r="M59" s="560"/>
    </row>
    <row r="60" spans="1:13" x14ac:dyDescent="0.2">
      <c r="A60" s="557" t="s">
        <v>142</v>
      </c>
      <c r="B60" s="557"/>
      <c r="C60" s="557"/>
      <c r="D60" s="105" t="s">
        <v>71</v>
      </c>
      <c r="E60" s="87">
        <v>51.6</v>
      </c>
      <c r="F60" s="105" t="s">
        <v>71</v>
      </c>
      <c r="G60" s="87">
        <v>117.6</v>
      </c>
      <c r="H60" s="116"/>
      <c r="I60" s="106">
        <v>107.6</v>
      </c>
      <c r="J60" s="87"/>
      <c r="K60" s="87">
        <v>56.6</v>
      </c>
      <c r="L60" s="87"/>
      <c r="M60" s="87">
        <v>83.35</v>
      </c>
    </row>
    <row r="61" spans="1:13" x14ac:dyDescent="0.2">
      <c r="A61" s="557" t="s">
        <v>147</v>
      </c>
      <c r="B61" s="557"/>
      <c r="C61" s="557"/>
      <c r="D61" s="105" t="s">
        <v>71</v>
      </c>
      <c r="E61" s="107">
        <v>0.66600000000000004</v>
      </c>
      <c r="F61" s="105" t="s">
        <v>71</v>
      </c>
      <c r="G61" s="107">
        <v>2.0219999999999998</v>
      </c>
      <c r="H61" s="116"/>
      <c r="I61" s="108">
        <v>2.653</v>
      </c>
      <c r="J61" s="107"/>
      <c r="K61" s="107">
        <v>1.2969999999999999</v>
      </c>
      <c r="L61" s="87"/>
      <c r="M61" s="87">
        <v>1.6594999999999998</v>
      </c>
    </row>
    <row r="62" spans="1:13" x14ac:dyDescent="0.2">
      <c r="A62" s="557" t="s">
        <v>148</v>
      </c>
      <c r="B62" s="557"/>
      <c r="C62" s="557"/>
      <c r="D62" s="105" t="s">
        <v>71</v>
      </c>
      <c r="E62" s="107">
        <v>1.44</v>
      </c>
      <c r="F62" s="105" t="s">
        <v>71</v>
      </c>
      <c r="G62" s="107">
        <v>4.37</v>
      </c>
      <c r="H62" s="116"/>
      <c r="I62" s="108">
        <v>5.74</v>
      </c>
      <c r="J62" s="107"/>
      <c r="K62" s="107">
        <v>2.81</v>
      </c>
      <c r="L62" s="87"/>
      <c r="M62" s="87">
        <v>3.5900000000000003</v>
      </c>
    </row>
    <row r="63" spans="1:13" x14ac:dyDescent="0.2">
      <c r="A63" s="557" t="s">
        <v>58</v>
      </c>
      <c r="B63" s="557"/>
      <c r="C63" s="557"/>
      <c r="D63" s="105" t="s">
        <v>71</v>
      </c>
      <c r="E63" s="109">
        <v>4.1199999999999999E-4</v>
      </c>
      <c r="F63" s="110" t="s">
        <v>71</v>
      </c>
      <c r="G63" s="109">
        <v>9.3999999999999997E-4</v>
      </c>
      <c r="H63" s="116"/>
      <c r="I63" s="111">
        <v>1.9009999999999999E-3</v>
      </c>
      <c r="J63" s="109"/>
      <c r="K63" s="109">
        <v>9.0799999999999995E-4</v>
      </c>
      <c r="L63" s="112"/>
      <c r="M63" s="112">
        <v>1.0402499999999999E-3</v>
      </c>
    </row>
    <row r="64" spans="1:13" x14ac:dyDescent="0.2">
      <c r="A64" s="557" t="s">
        <v>149</v>
      </c>
      <c r="B64" s="557"/>
      <c r="C64" s="557"/>
      <c r="D64" s="105" t="s">
        <v>71</v>
      </c>
      <c r="E64" s="109">
        <v>4.629213483146067E-6</v>
      </c>
      <c r="F64" s="110" t="s">
        <v>71</v>
      </c>
      <c r="G64" s="109">
        <v>7.7685950413223144E-6</v>
      </c>
      <c r="H64" s="116"/>
      <c r="I64" s="111">
        <v>1.5841666666666664E-5</v>
      </c>
      <c r="J64" s="109"/>
      <c r="K64" s="109">
        <v>6.4857142857142856E-6</v>
      </c>
      <c r="L64" s="112"/>
      <c r="M64" s="112">
        <v>8.6812973692123337E-6</v>
      </c>
    </row>
    <row r="65" spans="1:13" ht="16" x14ac:dyDescent="0.2">
      <c r="A65" s="552" t="s">
        <v>150</v>
      </c>
      <c r="B65" s="552"/>
      <c r="C65" s="552"/>
      <c r="D65" s="105"/>
      <c r="E65" s="113">
        <f>E64</f>
        <v>4.629213483146067E-6</v>
      </c>
      <c r="F65" s="110"/>
      <c r="G65" s="113">
        <f>G64</f>
        <v>7.7685950413223144E-6</v>
      </c>
      <c r="H65" s="113"/>
      <c r="I65" s="113">
        <f>I64</f>
        <v>1.5841666666666664E-5</v>
      </c>
      <c r="J65" s="113"/>
      <c r="K65" s="113">
        <f>K64</f>
        <v>6.4857142857142856E-6</v>
      </c>
      <c r="L65" s="112"/>
      <c r="M65" s="114">
        <f>AVERAGE(E65,G65,I65,K65)</f>
        <v>8.6812973692123337E-6</v>
      </c>
    </row>
    <row r="66" spans="1:13" x14ac:dyDescent="0.2">
      <c r="A66" s="558" t="s">
        <v>155</v>
      </c>
      <c r="B66" s="559"/>
      <c r="C66" s="559"/>
      <c r="D66" s="559"/>
      <c r="E66" s="559"/>
      <c r="F66" s="559"/>
      <c r="G66" s="559"/>
      <c r="H66" s="559"/>
      <c r="I66" s="559"/>
      <c r="J66" s="559"/>
      <c r="K66" s="559"/>
      <c r="L66" s="559"/>
      <c r="M66" s="560"/>
    </row>
    <row r="67" spans="1:13" x14ac:dyDescent="0.2">
      <c r="A67" s="557" t="s">
        <v>142</v>
      </c>
      <c r="B67" s="557"/>
      <c r="C67" s="557"/>
      <c r="D67" s="105" t="s">
        <v>71</v>
      </c>
      <c r="E67" s="87">
        <v>23</v>
      </c>
      <c r="F67" s="105" t="s">
        <v>71</v>
      </c>
      <c r="G67" s="87">
        <v>39</v>
      </c>
      <c r="H67" s="116"/>
      <c r="I67" s="106">
        <v>29</v>
      </c>
      <c r="J67" s="87"/>
      <c r="K67" s="87">
        <v>13</v>
      </c>
      <c r="L67" s="87"/>
      <c r="M67" s="87">
        <v>26</v>
      </c>
    </row>
    <row r="68" spans="1:13" x14ac:dyDescent="0.2">
      <c r="A68" s="557" t="s">
        <v>147</v>
      </c>
      <c r="B68" s="557"/>
      <c r="C68" s="557"/>
      <c r="D68" s="105" t="s">
        <v>71</v>
      </c>
      <c r="E68" s="107">
        <v>0.26200000000000001</v>
      </c>
      <c r="F68" s="105" t="s">
        <v>71</v>
      </c>
      <c r="G68" s="107">
        <v>0.59199999999999997</v>
      </c>
      <c r="H68" s="116"/>
      <c r="I68" s="108">
        <v>0.63100000000000001</v>
      </c>
      <c r="J68" s="107"/>
      <c r="K68" s="107">
        <v>0.26300000000000001</v>
      </c>
      <c r="L68" s="87"/>
      <c r="M68" s="87">
        <v>0.43699999999999994</v>
      </c>
    </row>
    <row r="69" spans="1:13" x14ac:dyDescent="0.2">
      <c r="A69" s="557" t="s">
        <v>148</v>
      </c>
      <c r="B69" s="557"/>
      <c r="C69" s="557"/>
      <c r="D69" s="105" t="s">
        <v>71</v>
      </c>
      <c r="E69" s="107">
        <v>0.64</v>
      </c>
      <c r="F69" s="105" t="s">
        <v>71</v>
      </c>
      <c r="G69" s="107">
        <v>1.45</v>
      </c>
      <c r="H69" s="116"/>
      <c r="I69" s="108">
        <v>1.55</v>
      </c>
      <c r="J69" s="107"/>
      <c r="K69" s="107">
        <v>0.64</v>
      </c>
      <c r="L69" s="87"/>
      <c r="M69" s="87">
        <v>1.0699999999999998</v>
      </c>
    </row>
    <row r="70" spans="1:13" x14ac:dyDescent="0.2">
      <c r="A70" s="557" t="s">
        <v>58</v>
      </c>
      <c r="B70" s="557"/>
      <c r="C70" s="557"/>
      <c r="D70" s="105" t="s">
        <v>71</v>
      </c>
      <c r="E70" s="109">
        <v>1.8379E-4</v>
      </c>
      <c r="F70" s="110" t="s">
        <v>71</v>
      </c>
      <c r="G70" s="109">
        <v>3.1164000000000002E-4</v>
      </c>
      <c r="H70" s="116"/>
      <c r="I70" s="111">
        <v>5.1241000000000004E-4</v>
      </c>
      <c r="J70" s="109"/>
      <c r="K70" s="109">
        <v>2.0000000000000001E-4</v>
      </c>
      <c r="L70" s="87"/>
      <c r="M70" s="112">
        <v>3.0196000000000004E-4</v>
      </c>
    </row>
    <row r="71" spans="1:13" x14ac:dyDescent="0.2">
      <c r="A71" s="557" t="s">
        <v>149</v>
      </c>
      <c r="B71" s="557"/>
      <c r="C71" s="557"/>
      <c r="D71" s="105" t="s">
        <v>71</v>
      </c>
      <c r="E71" s="109">
        <v>2.0650561797752811E-6</v>
      </c>
      <c r="F71" s="110" t="s">
        <v>71</v>
      </c>
      <c r="G71" s="109">
        <v>2.5755371900826448E-6</v>
      </c>
      <c r="H71" s="116"/>
      <c r="I71" s="111">
        <v>4.2700833333333333E-6</v>
      </c>
      <c r="J71" s="109"/>
      <c r="K71" s="109">
        <v>1.4285714285714286E-6</v>
      </c>
      <c r="L71" s="87"/>
      <c r="M71" s="112">
        <v>2.5848120329406718E-6</v>
      </c>
    </row>
    <row r="72" spans="1:13" ht="16" x14ac:dyDescent="0.2">
      <c r="A72" s="552" t="s">
        <v>150</v>
      </c>
      <c r="B72" s="552"/>
      <c r="C72" s="552"/>
      <c r="D72" s="105"/>
      <c r="E72" s="113">
        <f>E71</f>
        <v>2.0650561797752811E-6</v>
      </c>
      <c r="F72" s="110"/>
      <c r="G72" s="113">
        <f>G71</f>
        <v>2.5755371900826448E-6</v>
      </c>
      <c r="H72" s="113"/>
      <c r="I72" s="113">
        <f>I71</f>
        <v>4.2700833333333333E-6</v>
      </c>
      <c r="J72" s="113"/>
      <c r="K72" s="113">
        <f>K71</f>
        <v>1.4285714285714286E-6</v>
      </c>
      <c r="L72" s="112"/>
      <c r="M72" s="114">
        <f>AVERAGE(E72,G72,I72,K72)</f>
        <v>2.5848120329406718E-6</v>
      </c>
    </row>
    <row r="73" spans="1:13" x14ac:dyDescent="0.2">
      <c r="A73" s="558" t="s">
        <v>156</v>
      </c>
      <c r="B73" s="559"/>
      <c r="C73" s="559"/>
      <c r="D73" s="559"/>
      <c r="E73" s="559"/>
      <c r="F73" s="559"/>
      <c r="G73" s="559"/>
      <c r="H73" s="559"/>
      <c r="I73" s="559"/>
      <c r="J73" s="559"/>
      <c r="K73" s="559"/>
      <c r="L73" s="559"/>
      <c r="M73" s="560"/>
    </row>
    <row r="74" spans="1:13" x14ac:dyDescent="0.2">
      <c r="A74" s="557" t="s">
        <v>142</v>
      </c>
      <c r="B74" s="557"/>
      <c r="C74" s="557"/>
      <c r="D74" s="105" t="s">
        <v>71</v>
      </c>
      <c r="E74" s="87">
        <v>810</v>
      </c>
      <c r="F74" s="105" t="s">
        <v>71</v>
      </c>
      <c r="G74" s="98">
        <v>2100</v>
      </c>
      <c r="H74" s="116"/>
      <c r="I74" s="124">
        <v>2800</v>
      </c>
      <c r="J74" s="87"/>
      <c r="K74" s="98">
        <v>1200</v>
      </c>
      <c r="L74" s="87"/>
      <c r="M74" s="98">
        <v>1727.5</v>
      </c>
    </row>
    <row r="75" spans="1:13" x14ac:dyDescent="0.2">
      <c r="A75" s="557" t="s">
        <v>147</v>
      </c>
      <c r="B75" s="557"/>
      <c r="C75" s="557"/>
      <c r="D75" s="105" t="s">
        <v>71</v>
      </c>
      <c r="E75" s="107">
        <v>8.5470000000000006</v>
      </c>
      <c r="F75" s="105" t="s">
        <v>71</v>
      </c>
      <c r="G75" s="107">
        <v>29.545000000000002</v>
      </c>
      <c r="H75" s="116"/>
      <c r="I75" s="108">
        <v>56.473999999999997</v>
      </c>
      <c r="J75" s="107"/>
      <c r="K75" s="107">
        <v>22.492999999999999</v>
      </c>
      <c r="L75" s="87"/>
      <c r="M75" s="87">
        <v>29.264749999999999</v>
      </c>
    </row>
    <row r="76" spans="1:13" x14ac:dyDescent="0.2">
      <c r="A76" s="557" t="s">
        <v>148</v>
      </c>
      <c r="B76" s="557"/>
      <c r="C76" s="557"/>
      <c r="D76" s="105" t="s">
        <v>71</v>
      </c>
      <c r="E76" s="107">
        <v>22.6</v>
      </c>
      <c r="F76" s="105" t="s">
        <v>71</v>
      </c>
      <c r="G76" s="107">
        <v>78.12</v>
      </c>
      <c r="H76" s="116"/>
      <c r="I76" s="108">
        <v>149.32</v>
      </c>
      <c r="J76" s="107"/>
      <c r="K76" s="107">
        <v>59.47</v>
      </c>
      <c r="L76" s="87"/>
      <c r="M76" s="87">
        <v>77.377499999999998</v>
      </c>
    </row>
    <row r="77" spans="1:13" x14ac:dyDescent="0.2">
      <c r="A77" s="557" t="s">
        <v>58</v>
      </c>
      <c r="B77" s="557"/>
      <c r="C77" s="557"/>
      <c r="D77" s="105" t="s">
        <v>71</v>
      </c>
      <c r="E77" s="109">
        <v>6.4999999999999997E-3</v>
      </c>
      <c r="F77" s="110" t="s">
        <v>71</v>
      </c>
      <c r="G77" s="109">
        <v>1.6799999999999999E-2</v>
      </c>
      <c r="H77" s="116"/>
      <c r="I77" s="111">
        <v>4.947435E-2</v>
      </c>
      <c r="J77" s="109"/>
      <c r="K77" s="109">
        <v>1.9199999999999998E-2</v>
      </c>
      <c r="L77" s="87"/>
      <c r="M77" s="112">
        <v>2.2993587499999999E-2</v>
      </c>
    </row>
    <row r="78" spans="1:13" x14ac:dyDescent="0.2">
      <c r="A78" s="557" t="s">
        <v>149</v>
      </c>
      <c r="B78" s="557"/>
      <c r="C78" s="557"/>
      <c r="D78" s="105" t="s">
        <v>71</v>
      </c>
      <c r="E78" s="109">
        <v>7.303370786516853E-5</v>
      </c>
      <c r="F78" s="110" t="s">
        <v>71</v>
      </c>
      <c r="G78" s="109">
        <v>1.3884297520661156E-4</v>
      </c>
      <c r="H78" s="116"/>
      <c r="I78" s="111">
        <v>4.1228625000000002E-4</v>
      </c>
      <c r="J78" s="109"/>
      <c r="K78" s="109">
        <v>1.3714285714285713E-4</v>
      </c>
      <c r="L78" s="87"/>
      <c r="M78" s="112">
        <v>1.9032644755365933E-4</v>
      </c>
    </row>
    <row r="79" spans="1:13" ht="16" x14ac:dyDescent="0.2">
      <c r="A79" s="552" t="s">
        <v>150</v>
      </c>
      <c r="B79" s="552"/>
      <c r="C79" s="552"/>
      <c r="D79" s="105"/>
      <c r="E79" s="113">
        <f>E78</f>
        <v>7.303370786516853E-5</v>
      </c>
      <c r="F79" s="110"/>
      <c r="G79" s="113">
        <f>G78</f>
        <v>1.3884297520661156E-4</v>
      </c>
      <c r="H79" s="113"/>
      <c r="I79" s="113">
        <f>I78</f>
        <v>4.1228625000000002E-4</v>
      </c>
      <c r="J79" s="113"/>
      <c r="K79" s="113">
        <f>K78</f>
        <v>1.3714285714285713E-4</v>
      </c>
      <c r="L79" s="112"/>
      <c r="M79" s="114">
        <f>AVERAGE(E79,G79,I79,K79)</f>
        <v>1.9032644755365933E-4</v>
      </c>
    </row>
    <row r="80" spans="1:13" x14ac:dyDescent="0.2">
      <c r="A80" s="558" t="s">
        <v>157</v>
      </c>
      <c r="B80" s="559"/>
      <c r="C80" s="559"/>
      <c r="D80" s="559"/>
      <c r="E80" s="559"/>
      <c r="F80" s="559"/>
      <c r="G80" s="559"/>
      <c r="H80" s="559"/>
      <c r="I80" s="559"/>
      <c r="J80" s="559"/>
      <c r="K80" s="559"/>
      <c r="L80" s="559"/>
      <c r="M80" s="560"/>
    </row>
    <row r="81" spans="1:13" x14ac:dyDescent="0.2">
      <c r="A81" s="557" t="s">
        <v>142</v>
      </c>
      <c r="B81" s="557"/>
      <c r="C81" s="557"/>
      <c r="D81" s="105" t="s">
        <v>71</v>
      </c>
      <c r="E81" s="87">
        <v>8.1</v>
      </c>
      <c r="F81" s="105" t="s">
        <v>71</v>
      </c>
      <c r="G81" s="87">
        <v>10</v>
      </c>
      <c r="H81" s="105"/>
      <c r="I81" s="87">
        <v>91</v>
      </c>
      <c r="J81" s="87"/>
      <c r="K81" s="87">
        <v>110</v>
      </c>
      <c r="L81" s="87"/>
      <c r="M81" s="98">
        <v>54.774999999999999</v>
      </c>
    </row>
    <row r="82" spans="1:13" x14ac:dyDescent="0.2">
      <c r="A82" s="557" t="s">
        <v>147</v>
      </c>
      <c r="B82" s="557"/>
      <c r="C82" s="557"/>
      <c r="D82" s="105" t="s">
        <v>71</v>
      </c>
      <c r="E82" s="107">
        <v>2.5999999999999999E-2</v>
      </c>
      <c r="F82" s="105" t="s">
        <v>71</v>
      </c>
      <c r="G82" s="107">
        <v>4.2999999999999997E-2</v>
      </c>
      <c r="H82" s="105"/>
      <c r="I82" s="107">
        <v>0.56299999999999994</v>
      </c>
      <c r="J82" s="107"/>
      <c r="K82" s="107">
        <v>0.63200000000000001</v>
      </c>
      <c r="L82" s="87"/>
      <c r="M82" s="87">
        <v>0.31599999999999995</v>
      </c>
    </row>
    <row r="83" spans="1:13" x14ac:dyDescent="0.2">
      <c r="A83" s="557" t="s">
        <v>148</v>
      </c>
      <c r="B83" s="557"/>
      <c r="C83" s="557"/>
      <c r="D83" s="105" t="s">
        <v>71</v>
      </c>
      <c r="E83" s="107">
        <v>0.23</v>
      </c>
      <c r="F83" s="105" t="s">
        <v>71</v>
      </c>
      <c r="G83" s="107">
        <v>0.37</v>
      </c>
      <c r="H83" s="105"/>
      <c r="I83" s="107">
        <v>4.8499999999999996</v>
      </c>
      <c r="J83" s="107"/>
      <c r="K83" s="107">
        <v>5.45</v>
      </c>
      <c r="L83" s="87"/>
      <c r="M83" s="87">
        <v>2.7249999999999996</v>
      </c>
    </row>
    <row r="84" spans="1:13" x14ac:dyDescent="0.2">
      <c r="A84" s="557" t="s">
        <v>58</v>
      </c>
      <c r="B84" s="557"/>
      <c r="C84" s="557"/>
      <c r="D84" s="105" t="s">
        <v>71</v>
      </c>
      <c r="E84" s="109">
        <v>6.4729999999999999E-5</v>
      </c>
      <c r="F84" s="110" t="s">
        <v>71</v>
      </c>
      <c r="G84" s="109">
        <v>7.9909999999999999E-5</v>
      </c>
      <c r="H84" s="105"/>
      <c r="I84" s="109">
        <v>1.6079200000000001E-3</v>
      </c>
      <c r="J84" s="109"/>
      <c r="K84" s="109">
        <v>1.7643800000000001E-3</v>
      </c>
      <c r="L84" s="112"/>
      <c r="M84" s="112">
        <v>8.7923500000000002E-4</v>
      </c>
    </row>
    <row r="85" spans="1:13" x14ac:dyDescent="0.2">
      <c r="A85" s="557" t="s">
        <v>149</v>
      </c>
      <c r="B85" s="557"/>
      <c r="C85" s="557"/>
      <c r="D85" s="105" t="s">
        <v>71</v>
      </c>
      <c r="E85" s="109">
        <v>7.2730337078651684E-7</v>
      </c>
      <c r="F85" s="110" t="s">
        <v>71</v>
      </c>
      <c r="G85" s="109">
        <v>6.6041322314049583E-7</v>
      </c>
      <c r="H85" s="105"/>
      <c r="I85" s="109">
        <v>1.3399333333333334E-5</v>
      </c>
      <c r="J85" s="109"/>
      <c r="K85" s="109">
        <v>1.2602714285714286E-5</v>
      </c>
      <c r="L85" s="112"/>
      <c r="M85" s="112">
        <v>6.8474410532436579E-6</v>
      </c>
    </row>
    <row r="86" spans="1:13" ht="16" x14ac:dyDescent="0.2">
      <c r="A86" s="552" t="s">
        <v>150</v>
      </c>
      <c r="B86" s="552"/>
      <c r="C86" s="552"/>
      <c r="D86" s="105"/>
      <c r="E86" s="113">
        <f>E85</f>
        <v>7.2730337078651684E-7</v>
      </c>
      <c r="F86" s="110"/>
      <c r="G86" s="113">
        <f>G85</f>
        <v>6.6041322314049583E-7</v>
      </c>
      <c r="H86" s="113"/>
      <c r="I86" s="113">
        <f>I85</f>
        <v>1.3399333333333334E-5</v>
      </c>
      <c r="J86" s="113"/>
      <c r="K86" s="113">
        <f>K85</f>
        <v>1.2602714285714286E-5</v>
      </c>
      <c r="L86" s="112"/>
      <c r="M86" s="114">
        <f>AVERAGE(E86,G86,I86,K86)</f>
        <v>6.8474410532436579E-6</v>
      </c>
    </row>
    <row r="87" spans="1:13" x14ac:dyDescent="0.2">
      <c r="A87" s="558" t="s">
        <v>158</v>
      </c>
      <c r="B87" s="559"/>
      <c r="C87" s="559"/>
      <c r="D87" s="559"/>
      <c r="E87" s="559"/>
      <c r="F87" s="559"/>
      <c r="G87" s="559"/>
      <c r="H87" s="559"/>
      <c r="I87" s="559"/>
      <c r="J87" s="559"/>
      <c r="K87" s="559"/>
      <c r="L87" s="559"/>
      <c r="M87" s="560"/>
    </row>
    <row r="88" spans="1:13" x14ac:dyDescent="0.2">
      <c r="A88" s="557" t="s">
        <v>142</v>
      </c>
      <c r="B88" s="557"/>
      <c r="C88" s="557"/>
      <c r="D88" s="105" t="s">
        <v>71</v>
      </c>
      <c r="E88" s="87">
        <v>570</v>
      </c>
      <c r="F88" s="105" t="s">
        <v>71</v>
      </c>
      <c r="G88" s="98">
        <v>1100</v>
      </c>
      <c r="H88" s="116"/>
      <c r="I88" s="124">
        <v>1400</v>
      </c>
      <c r="J88" s="87"/>
      <c r="K88" s="98">
        <v>590</v>
      </c>
      <c r="L88" s="87"/>
      <c r="M88" s="98">
        <v>915</v>
      </c>
    </row>
    <row r="89" spans="1:13" x14ac:dyDescent="0.2">
      <c r="A89" s="557" t="s">
        <v>147</v>
      </c>
      <c r="B89" s="557"/>
      <c r="C89" s="557"/>
      <c r="D89" s="105" t="s">
        <v>71</v>
      </c>
      <c r="E89" s="107">
        <v>6.9569999999999999</v>
      </c>
      <c r="F89" s="105" t="s">
        <v>71</v>
      </c>
      <c r="G89" s="107">
        <v>17.901</v>
      </c>
      <c r="H89" s="116"/>
      <c r="I89" s="108">
        <v>32.661999999999999</v>
      </c>
      <c r="J89" s="107"/>
      <c r="K89" s="107">
        <v>12.792</v>
      </c>
      <c r="L89" s="87"/>
      <c r="M89" s="87">
        <v>17.577999999999999</v>
      </c>
    </row>
    <row r="90" spans="1:13" x14ac:dyDescent="0.2">
      <c r="A90" s="557" t="s">
        <v>148</v>
      </c>
      <c r="B90" s="557"/>
      <c r="C90" s="557"/>
      <c r="D90" s="105" t="s">
        <v>71</v>
      </c>
      <c r="E90" s="107">
        <v>15.9</v>
      </c>
      <c r="F90" s="105" t="s">
        <v>71</v>
      </c>
      <c r="G90" s="107">
        <v>40.92</v>
      </c>
      <c r="H90" s="116"/>
      <c r="I90" s="108">
        <v>74.66</v>
      </c>
      <c r="J90" s="107"/>
      <c r="K90" s="107">
        <v>29.24</v>
      </c>
      <c r="L90" s="87"/>
      <c r="M90" s="87">
        <v>40.18</v>
      </c>
    </row>
    <row r="91" spans="1:13" x14ac:dyDescent="0.2">
      <c r="A91" s="557" t="s">
        <v>58</v>
      </c>
      <c r="B91" s="557"/>
      <c r="C91" s="557"/>
      <c r="D91" s="105" t="s">
        <v>71</v>
      </c>
      <c r="E91" s="109">
        <v>4.5999999999999999E-3</v>
      </c>
      <c r="F91" s="110" t="s">
        <v>71</v>
      </c>
      <c r="G91" s="109">
        <v>8.8000000000000005E-3</v>
      </c>
      <c r="H91" s="116"/>
      <c r="I91" s="111">
        <v>2.47E-2</v>
      </c>
      <c r="J91" s="109"/>
      <c r="K91" s="109">
        <v>9.4999999999999998E-3</v>
      </c>
      <c r="L91" s="87"/>
      <c r="M91" s="112">
        <v>1.1900000000000001E-2</v>
      </c>
    </row>
    <row r="92" spans="1:13" x14ac:dyDescent="0.2">
      <c r="A92" s="557" t="s">
        <v>149</v>
      </c>
      <c r="B92" s="557"/>
      <c r="C92" s="557"/>
      <c r="D92" s="105" t="s">
        <v>71</v>
      </c>
      <c r="E92" s="109">
        <v>5.1685393258426966E-5</v>
      </c>
      <c r="F92" s="110" t="s">
        <v>71</v>
      </c>
      <c r="G92" s="109">
        <v>7.2727272727272728E-5</v>
      </c>
      <c r="H92" s="116"/>
      <c r="I92" s="111">
        <v>2.0583333333333334E-4</v>
      </c>
      <c r="J92" s="109"/>
      <c r="K92" s="109">
        <v>6.7857142857142861E-5</v>
      </c>
      <c r="L92" s="87"/>
      <c r="M92" s="112">
        <v>9.9525785544043977E-5</v>
      </c>
    </row>
    <row r="93" spans="1:13" ht="16" x14ac:dyDescent="0.2">
      <c r="A93" s="552" t="s">
        <v>150</v>
      </c>
      <c r="B93" s="552"/>
      <c r="C93" s="552"/>
      <c r="D93" s="105"/>
      <c r="E93" s="113">
        <f>E92</f>
        <v>5.1685393258426966E-5</v>
      </c>
      <c r="F93" s="110"/>
      <c r="G93" s="113">
        <f>G92</f>
        <v>7.2727272727272728E-5</v>
      </c>
      <c r="H93" s="113"/>
      <c r="I93" s="113">
        <f>I92</f>
        <v>2.0583333333333334E-4</v>
      </c>
      <c r="J93" s="113"/>
      <c r="K93" s="113">
        <f>K92</f>
        <v>6.7857142857142861E-5</v>
      </c>
      <c r="L93" s="112"/>
      <c r="M93" s="114">
        <f>AVERAGE(E93,G93,I93,K93)</f>
        <v>9.9525785544043977E-5</v>
      </c>
    </row>
    <row r="94" spans="1:13" x14ac:dyDescent="0.2">
      <c r="A94" s="558" t="s">
        <v>159</v>
      </c>
      <c r="B94" s="559"/>
      <c r="C94" s="559"/>
      <c r="D94" s="559"/>
      <c r="E94" s="559"/>
      <c r="F94" s="559"/>
      <c r="G94" s="559"/>
      <c r="H94" s="559"/>
      <c r="I94" s="559"/>
      <c r="J94" s="559"/>
      <c r="K94" s="559"/>
      <c r="L94" s="559"/>
      <c r="M94" s="560"/>
    </row>
    <row r="95" spans="1:13" x14ac:dyDescent="0.2">
      <c r="A95" s="557" t="s">
        <v>142</v>
      </c>
      <c r="B95" s="557"/>
      <c r="C95" s="557"/>
      <c r="D95" s="105" t="s">
        <v>71</v>
      </c>
      <c r="E95" s="87">
        <v>179.32</v>
      </c>
      <c r="F95" s="105" t="s">
        <v>71</v>
      </c>
      <c r="G95" s="87">
        <v>399.32</v>
      </c>
      <c r="H95" s="87"/>
      <c r="I95" s="87">
        <v>329.32</v>
      </c>
      <c r="J95" s="87"/>
      <c r="K95" s="87">
        <v>169.32</v>
      </c>
      <c r="L95" s="87"/>
      <c r="M95" s="98">
        <v>269.32</v>
      </c>
    </row>
    <row r="96" spans="1:13" x14ac:dyDescent="0.2">
      <c r="A96" s="557" t="s">
        <v>147</v>
      </c>
      <c r="B96" s="557"/>
      <c r="C96" s="557"/>
      <c r="D96" s="105" t="s">
        <v>71</v>
      </c>
      <c r="E96" s="107">
        <v>2.048</v>
      </c>
      <c r="F96" s="105" t="s">
        <v>71</v>
      </c>
      <c r="G96" s="107">
        <v>6.0810000000000004</v>
      </c>
      <c r="H96" s="107"/>
      <c r="I96" s="107">
        <v>7.19</v>
      </c>
      <c r="J96" s="107"/>
      <c r="K96" s="107">
        <v>3.4350000000000001</v>
      </c>
      <c r="L96" s="87"/>
      <c r="M96" s="87">
        <v>4.6885000000000003</v>
      </c>
    </row>
    <row r="97" spans="1:13" x14ac:dyDescent="0.2">
      <c r="A97" s="557" t="s">
        <v>148</v>
      </c>
      <c r="B97" s="557"/>
      <c r="C97" s="557"/>
      <c r="D97" s="105" t="s">
        <v>71</v>
      </c>
      <c r="E97" s="107">
        <v>5</v>
      </c>
      <c r="F97" s="105" t="s">
        <v>71</v>
      </c>
      <c r="G97" s="107">
        <v>14.85</v>
      </c>
      <c r="H97" s="107"/>
      <c r="I97" s="107">
        <v>17.559999999999999</v>
      </c>
      <c r="J97" s="107"/>
      <c r="K97" s="107">
        <v>8.39</v>
      </c>
      <c r="L97" s="87"/>
      <c r="M97" s="87">
        <v>11.45</v>
      </c>
    </row>
    <row r="98" spans="1:13" x14ac:dyDescent="0.2">
      <c r="A98" s="557" t="s">
        <v>58</v>
      </c>
      <c r="B98" s="557"/>
      <c r="C98" s="557"/>
      <c r="D98" s="105" t="s">
        <v>71</v>
      </c>
      <c r="E98" s="109">
        <v>1.4E-3</v>
      </c>
      <c r="F98" s="110" t="s">
        <v>71</v>
      </c>
      <c r="G98" s="109">
        <v>3.2000000000000002E-3</v>
      </c>
      <c r="H98" s="107"/>
      <c r="I98" s="109">
        <v>5.8188900000000002E-3</v>
      </c>
      <c r="J98" s="109"/>
      <c r="K98" s="109">
        <v>2.7000000000000001E-3</v>
      </c>
      <c r="L98" s="87"/>
      <c r="M98" s="112">
        <v>3.2797225000000003E-3</v>
      </c>
    </row>
    <row r="99" spans="1:13" x14ac:dyDescent="0.2">
      <c r="A99" s="557" t="s">
        <v>149</v>
      </c>
      <c r="B99" s="557"/>
      <c r="C99" s="557"/>
      <c r="D99" s="105" t="s">
        <v>71</v>
      </c>
      <c r="E99" s="109">
        <v>1.5730337078651687E-5</v>
      </c>
      <c r="F99" s="110" t="s">
        <v>71</v>
      </c>
      <c r="G99" s="109">
        <v>2.6446280991735539E-5</v>
      </c>
      <c r="H99" s="107"/>
      <c r="I99" s="109">
        <v>4.8490750000000003E-5</v>
      </c>
      <c r="J99" s="109"/>
      <c r="K99" s="109">
        <v>1.9285714285714288E-5</v>
      </c>
      <c r="L99" s="87"/>
      <c r="M99" s="112">
        <v>2.748827058902538E-5</v>
      </c>
    </row>
    <row r="100" spans="1:13" ht="16" x14ac:dyDescent="0.2">
      <c r="A100" s="552" t="s">
        <v>150</v>
      </c>
      <c r="B100" s="552"/>
      <c r="C100" s="552"/>
      <c r="D100" s="105"/>
      <c r="E100" s="113">
        <f>E99</f>
        <v>1.5730337078651687E-5</v>
      </c>
      <c r="F100" s="110"/>
      <c r="G100" s="113">
        <f>G99</f>
        <v>2.6446280991735539E-5</v>
      </c>
      <c r="H100" s="113"/>
      <c r="I100" s="113">
        <f>I99</f>
        <v>4.8490750000000003E-5</v>
      </c>
      <c r="J100" s="113"/>
      <c r="K100" s="113">
        <f>K99</f>
        <v>1.9285714285714288E-5</v>
      </c>
      <c r="L100" s="112"/>
      <c r="M100" s="114">
        <f>AVERAGE(E100,G100,I100,K100)</f>
        <v>2.748827058902538E-5</v>
      </c>
    </row>
    <row r="101" spans="1:13" x14ac:dyDescent="0.2">
      <c r="A101" s="553" t="s">
        <v>160</v>
      </c>
      <c r="B101" s="554"/>
      <c r="C101" s="554"/>
      <c r="D101" s="554"/>
      <c r="E101" s="554"/>
      <c r="F101" s="554"/>
      <c r="G101" s="554"/>
      <c r="H101" s="554"/>
      <c r="I101" s="554"/>
      <c r="J101" s="554"/>
      <c r="K101" s="554"/>
      <c r="L101" s="554"/>
      <c r="M101" s="555"/>
    </row>
    <row r="102" spans="1:13" x14ac:dyDescent="0.2">
      <c r="A102" s="556" t="s">
        <v>142</v>
      </c>
      <c r="B102" s="556"/>
      <c r="C102" s="556"/>
      <c r="D102" s="116" t="s">
        <v>71</v>
      </c>
      <c r="E102" s="106">
        <v>54</v>
      </c>
      <c r="F102" s="116" t="s">
        <v>71</v>
      </c>
      <c r="G102" s="106">
        <v>111</v>
      </c>
      <c r="H102" s="116"/>
      <c r="I102" s="106">
        <v>152</v>
      </c>
      <c r="J102" s="116"/>
      <c r="K102" s="106">
        <v>65</v>
      </c>
      <c r="L102" s="106"/>
      <c r="M102" s="106">
        <v>95.5</v>
      </c>
    </row>
    <row r="103" spans="1:13" x14ac:dyDescent="0.2">
      <c r="A103" s="556" t="s">
        <v>147</v>
      </c>
      <c r="B103" s="556"/>
      <c r="C103" s="556"/>
      <c r="D103" s="116" t="s">
        <v>71</v>
      </c>
      <c r="E103" s="108">
        <v>1.169</v>
      </c>
      <c r="F103" s="116" t="s">
        <v>71</v>
      </c>
      <c r="G103" s="108">
        <v>3.2040000000000002</v>
      </c>
      <c r="H103" s="116"/>
      <c r="I103" s="108">
        <v>6.2910000000000004</v>
      </c>
      <c r="J103" s="116"/>
      <c r="K103" s="108">
        <v>2.5</v>
      </c>
      <c r="L103" s="106"/>
      <c r="M103" s="106">
        <v>3.2910000000000004</v>
      </c>
    </row>
    <row r="104" spans="1:13" x14ac:dyDescent="0.2">
      <c r="A104" s="556" t="s">
        <v>148</v>
      </c>
      <c r="B104" s="556"/>
      <c r="C104" s="556"/>
      <c r="D104" s="116" t="s">
        <v>71</v>
      </c>
      <c r="E104" s="108">
        <v>1.51</v>
      </c>
      <c r="F104" s="116" t="s">
        <v>71</v>
      </c>
      <c r="G104" s="108">
        <v>4.13</v>
      </c>
      <c r="H104" s="116"/>
      <c r="I104" s="108">
        <v>8.11</v>
      </c>
      <c r="J104" s="116"/>
      <c r="K104" s="108">
        <v>3.22</v>
      </c>
      <c r="L104" s="106"/>
      <c r="M104" s="106">
        <v>4.2424999999999997</v>
      </c>
    </row>
    <row r="105" spans="1:13" x14ac:dyDescent="0.2">
      <c r="A105" s="556" t="s">
        <v>58</v>
      </c>
      <c r="B105" s="556"/>
      <c r="C105" s="556"/>
      <c r="D105" s="116" t="s">
        <v>71</v>
      </c>
      <c r="E105" s="111">
        <v>4.0000000000000002E-4</v>
      </c>
      <c r="F105" s="117" t="s">
        <v>71</v>
      </c>
      <c r="G105" s="111">
        <v>8.9999999999999998E-4</v>
      </c>
      <c r="H105" s="116"/>
      <c r="I105" s="111">
        <v>2.7000000000000001E-3</v>
      </c>
      <c r="J105" s="117"/>
      <c r="K105" s="111">
        <v>1E-3</v>
      </c>
      <c r="L105" s="118"/>
      <c r="M105" s="118">
        <v>1.25E-3</v>
      </c>
    </row>
    <row r="106" spans="1:13" x14ac:dyDescent="0.2">
      <c r="A106" s="556" t="s">
        <v>149</v>
      </c>
      <c r="B106" s="556"/>
      <c r="C106" s="556"/>
      <c r="D106" s="116" t="s">
        <v>71</v>
      </c>
      <c r="E106" s="111">
        <v>4.4943820224719099E-6</v>
      </c>
      <c r="F106" s="117" t="s">
        <v>71</v>
      </c>
      <c r="G106" s="111">
        <v>7.4380165289256194E-6</v>
      </c>
      <c r="H106" s="116"/>
      <c r="I106" s="111">
        <v>2.2500000000000001E-5</v>
      </c>
      <c r="J106" s="117"/>
      <c r="K106" s="111">
        <v>7.1428571428571427E-6</v>
      </c>
      <c r="L106" s="118"/>
      <c r="M106" s="118">
        <v>1.0393813923563669E-5</v>
      </c>
    </row>
    <row r="107" spans="1:13" ht="16" x14ac:dyDescent="0.2">
      <c r="A107" s="552" t="s">
        <v>150</v>
      </c>
      <c r="B107" s="552"/>
      <c r="C107" s="552"/>
      <c r="D107" s="105"/>
      <c r="E107" s="113">
        <f>E106</f>
        <v>4.4943820224719099E-6</v>
      </c>
      <c r="F107" s="110"/>
      <c r="G107" s="113">
        <f>G106</f>
        <v>7.4380165289256194E-6</v>
      </c>
      <c r="H107" s="113"/>
      <c r="I107" s="113">
        <f>I106</f>
        <v>2.2500000000000001E-5</v>
      </c>
      <c r="J107" s="113"/>
      <c r="K107" s="113">
        <f>K106</f>
        <v>7.1428571428571427E-6</v>
      </c>
      <c r="L107" s="112"/>
      <c r="M107" s="114">
        <f>AVERAGE(E107,G107,I107,K107)</f>
        <v>1.0393813923563669E-5</v>
      </c>
    </row>
    <row r="108" spans="1:13" x14ac:dyDescent="0.2">
      <c r="A108" s="553" t="s">
        <v>161</v>
      </c>
      <c r="B108" s="554"/>
      <c r="C108" s="554"/>
      <c r="D108" s="554"/>
      <c r="E108" s="554"/>
      <c r="F108" s="554"/>
      <c r="G108" s="554"/>
      <c r="H108" s="554"/>
      <c r="I108" s="554"/>
      <c r="J108" s="554"/>
      <c r="K108" s="554"/>
      <c r="L108" s="554"/>
      <c r="M108" s="555"/>
    </row>
    <row r="109" spans="1:13" x14ac:dyDescent="0.2">
      <c r="A109" s="556" t="s">
        <v>142</v>
      </c>
      <c r="B109" s="556"/>
      <c r="C109" s="556"/>
      <c r="D109" s="116" t="s">
        <v>146</v>
      </c>
      <c r="E109" s="106">
        <v>9</v>
      </c>
      <c r="F109" s="116" t="s">
        <v>146</v>
      </c>
      <c r="G109" s="106">
        <v>9</v>
      </c>
      <c r="H109" s="116" t="s">
        <v>146</v>
      </c>
      <c r="I109" s="106">
        <v>9</v>
      </c>
      <c r="J109" s="116" t="s">
        <v>146</v>
      </c>
      <c r="K109" s="106">
        <v>9</v>
      </c>
      <c r="L109" s="106" t="s">
        <v>146</v>
      </c>
      <c r="M109" s="106">
        <v>9</v>
      </c>
    </row>
    <row r="110" spans="1:13" x14ac:dyDescent="0.2">
      <c r="A110" s="556" t="s">
        <v>147</v>
      </c>
      <c r="B110" s="556"/>
      <c r="C110" s="556"/>
      <c r="D110" s="116" t="s">
        <v>146</v>
      </c>
      <c r="E110" s="108">
        <v>7.5999999999999998E-2</v>
      </c>
      <c r="F110" s="116" t="s">
        <v>146</v>
      </c>
      <c r="G110" s="108">
        <v>0.10199999999999999</v>
      </c>
      <c r="H110" s="116" t="s">
        <v>146</v>
      </c>
      <c r="I110" s="108">
        <v>0.14599999999999999</v>
      </c>
      <c r="J110" s="116" t="s">
        <v>146</v>
      </c>
      <c r="K110" s="108">
        <v>0.13600000000000001</v>
      </c>
      <c r="L110" s="106" t="s">
        <v>146</v>
      </c>
      <c r="M110" s="106">
        <v>0.11499999999999999</v>
      </c>
    </row>
    <row r="111" spans="1:13" x14ac:dyDescent="0.2">
      <c r="A111" s="556" t="s">
        <v>148</v>
      </c>
      <c r="B111" s="556"/>
      <c r="C111" s="556"/>
      <c r="D111" s="116" t="s">
        <v>146</v>
      </c>
      <c r="E111" s="108">
        <v>0.25</v>
      </c>
      <c r="F111" s="116" t="s">
        <v>146</v>
      </c>
      <c r="G111" s="108">
        <v>0.33</v>
      </c>
      <c r="H111" s="116" t="s">
        <v>146</v>
      </c>
      <c r="I111" s="108">
        <v>0.48</v>
      </c>
      <c r="J111" s="116" t="s">
        <v>146</v>
      </c>
      <c r="K111" s="108">
        <v>0.45</v>
      </c>
      <c r="L111" s="106" t="s">
        <v>146</v>
      </c>
      <c r="M111" s="106">
        <v>0.3775</v>
      </c>
    </row>
    <row r="112" spans="1:13" x14ac:dyDescent="0.2">
      <c r="A112" s="556" t="s">
        <v>58</v>
      </c>
      <c r="B112" s="556"/>
      <c r="C112" s="556"/>
      <c r="D112" s="116" t="s">
        <v>146</v>
      </c>
      <c r="E112" s="111">
        <v>7.1920000000000003E-5</v>
      </c>
      <c r="F112" s="117" t="s">
        <v>146</v>
      </c>
      <c r="G112" s="111">
        <v>7.1920000000000003E-5</v>
      </c>
      <c r="H112" s="116" t="s">
        <v>146</v>
      </c>
      <c r="I112" s="111">
        <v>1.5902000000000001E-4</v>
      </c>
      <c r="J112" s="117" t="s">
        <v>146</v>
      </c>
      <c r="K112" s="111">
        <v>1.4436000000000001E-4</v>
      </c>
      <c r="L112" s="118" t="s">
        <v>146</v>
      </c>
      <c r="M112" s="118">
        <v>1.11805E-4</v>
      </c>
    </row>
    <row r="113" spans="1:13" x14ac:dyDescent="0.2">
      <c r="A113" s="556" t="s">
        <v>149</v>
      </c>
      <c r="B113" s="556"/>
      <c r="C113" s="556"/>
      <c r="D113" s="116" t="s">
        <v>146</v>
      </c>
      <c r="E113" s="111">
        <v>8.0808988764044944E-7</v>
      </c>
      <c r="F113" s="117" t="s">
        <v>146</v>
      </c>
      <c r="G113" s="111">
        <v>5.9438016528925627E-7</v>
      </c>
      <c r="H113" s="116" t="s">
        <v>146</v>
      </c>
      <c r="I113" s="111">
        <v>1.3251666666666666E-6</v>
      </c>
      <c r="J113" s="117" t="s">
        <v>146</v>
      </c>
      <c r="K113" s="111">
        <v>1.0311428571428573E-6</v>
      </c>
      <c r="L113" s="118" t="s">
        <v>146</v>
      </c>
      <c r="M113" s="118">
        <v>9.3969489418480743E-7</v>
      </c>
    </row>
    <row r="114" spans="1:13" ht="16" x14ac:dyDescent="0.2">
      <c r="A114" s="552" t="s">
        <v>150</v>
      </c>
      <c r="B114" s="552"/>
      <c r="C114" s="552"/>
      <c r="D114" s="105"/>
      <c r="E114" s="113">
        <v>0</v>
      </c>
      <c r="F114" s="110"/>
      <c r="G114" s="113">
        <v>0</v>
      </c>
      <c r="H114" s="113"/>
      <c r="I114" s="113">
        <v>0</v>
      </c>
      <c r="J114" s="113"/>
      <c r="K114" s="113">
        <v>0</v>
      </c>
      <c r="L114" s="112"/>
      <c r="M114" s="114">
        <f>AVERAGE(E114,G114,I114,K114)</f>
        <v>0</v>
      </c>
    </row>
    <row r="115" spans="1:13" x14ac:dyDescent="0.2">
      <c r="A115" s="553" t="s">
        <v>162</v>
      </c>
      <c r="B115" s="554"/>
      <c r="C115" s="554"/>
      <c r="D115" s="554"/>
      <c r="E115" s="554"/>
      <c r="F115" s="554"/>
      <c r="G115" s="554"/>
      <c r="H115" s="554"/>
      <c r="I115" s="554"/>
      <c r="J115" s="554"/>
      <c r="K115" s="554"/>
      <c r="L115" s="554"/>
      <c r="M115" s="555"/>
    </row>
    <row r="116" spans="1:13" x14ac:dyDescent="0.2">
      <c r="A116" s="556" t="s">
        <v>142</v>
      </c>
      <c r="B116" s="556"/>
      <c r="C116" s="556"/>
      <c r="D116" s="116" t="s">
        <v>71</v>
      </c>
      <c r="E116" s="106">
        <v>160</v>
      </c>
      <c r="F116" s="116" t="s">
        <v>71</v>
      </c>
      <c r="G116" s="106">
        <v>84</v>
      </c>
      <c r="H116" s="116"/>
      <c r="I116" s="106">
        <v>550</v>
      </c>
      <c r="J116" s="106"/>
      <c r="K116" s="106">
        <v>210</v>
      </c>
      <c r="L116" s="116"/>
      <c r="M116" s="106">
        <v>251</v>
      </c>
    </row>
    <row r="117" spans="1:13" x14ac:dyDescent="0.2">
      <c r="A117" s="556" t="s">
        <v>147</v>
      </c>
      <c r="B117" s="556"/>
      <c r="C117" s="556"/>
      <c r="D117" s="116" t="s">
        <v>71</v>
      </c>
      <c r="E117" s="108">
        <v>1.641</v>
      </c>
      <c r="F117" s="116"/>
      <c r="G117" s="108">
        <v>1.149</v>
      </c>
      <c r="H117" s="116"/>
      <c r="I117" s="108">
        <v>10.784000000000001</v>
      </c>
      <c r="J117" s="108"/>
      <c r="K117" s="108">
        <v>3.827</v>
      </c>
      <c r="L117" s="116"/>
      <c r="M117" s="106">
        <v>4.3502500000000008</v>
      </c>
    </row>
    <row r="118" spans="1:13" x14ac:dyDescent="0.2">
      <c r="A118" s="556" t="s">
        <v>148</v>
      </c>
      <c r="B118" s="556"/>
      <c r="C118" s="556"/>
      <c r="D118" s="116" t="s">
        <v>71</v>
      </c>
      <c r="E118" s="108">
        <v>4.46</v>
      </c>
      <c r="F118" s="116" t="s">
        <v>71</v>
      </c>
      <c r="G118" s="108">
        <v>3.12</v>
      </c>
      <c r="H118" s="116"/>
      <c r="I118" s="108">
        <v>29.33</v>
      </c>
      <c r="J118" s="108"/>
      <c r="K118" s="108">
        <v>10.41</v>
      </c>
      <c r="L118" s="116"/>
      <c r="M118" s="106">
        <v>11.829999999999998</v>
      </c>
    </row>
    <row r="119" spans="1:13" x14ac:dyDescent="0.2">
      <c r="A119" s="556" t="s">
        <v>58</v>
      </c>
      <c r="B119" s="556"/>
      <c r="C119" s="556"/>
      <c r="D119" s="116" t="s">
        <v>71</v>
      </c>
      <c r="E119" s="111">
        <v>1.2999999999999999E-3</v>
      </c>
      <c r="F119" s="117" t="s">
        <v>71</v>
      </c>
      <c r="G119" s="111">
        <v>6.9999999999999999E-4</v>
      </c>
      <c r="H119" s="116"/>
      <c r="I119" s="111">
        <v>9.7000000000000003E-3</v>
      </c>
      <c r="J119" s="111"/>
      <c r="K119" s="111">
        <v>3.3999999999999998E-3</v>
      </c>
      <c r="L119" s="116"/>
      <c r="M119" s="118">
        <v>3.7750000000000001E-3</v>
      </c>
    </row>
    <row r="120" spans="1:13" x14ac:dyDescent="0.2">
      <c r="A120" s="556" t="s">
        <v>149</v>
      </c>
      <c r="B120" s="556"/>
      <c r="C120" s="556"/>
      <c r="D120" s="116" t="s">
        <v>71</v>
      </c>
      <c r="E120" s="111">
        <v>1.4606741573033707E-5</v>
      </c>
      <c r="F120" s="117" t="s">
        <v>71</v>
      </c>
      <c r="G120" s="111">
        <v>5.7851239669421486E-6</v>
      </c>
      <c r="H120" s="116"/>
      <c r="I120" s="111">
        <v>8.0833333333333338E-5</v>
      </c>
      <c r="J120" s="111"/>
      <c r="K120" s="111">
        <v>2.4285714285714285E-5</v>
      </c>
      <c r="L120" s="116"/>
      <c r="M120" s="118">
        <v>3.1377728289755869E-5</v>
      </c>
    </row>
    <row r="121" spans="1:13" ht="16" x14ac:dyDescent="0.2">
      <c r="A121" s="552" t="s">
        <v>150</v>
      </c>
      <c r="B121" s="552"/>
      <c r="C121" s="552"/>
      <c r="D121" s="105"/>
      <c r="E121" s="113">
        <f>E120</f>
        <v>1.4606741573033707E-5</v>
      </c>
      <c r="F121" s="110"/>
      <c r="G121" s="113">
        <f>G120</f>
        <v>5.7851239669421486E-6</v>
      </c>
      <c r="H121" s="113"/>
      <c r="I121" s="113">
        <f>I120</f>
        <v>8.0833333333333338E-5</v>
      </c>
      <c r="J121" s="113"/>
      <c r="K121" s="113">
        <f>K120</f>
        <v>2.4285714285714285E-5</v>
      </c>
      <c r="L121" s="112"/>
      <c r="M121" s="114">
        <f>AVERAGE(E121,G121,I121,K121)</f>
        <v>3.1377728289755869E-5</v>
      </c>
    </row>
    <row r="122" spans="1:13" x14ac:dyDescent="0.2">
      <c r="A122" s="553" t="s">
        <v>163</v>
      </c>
      <c r="B122" s="554"/>
      <c r="C122" s="554"/>
      <c r="D122" s="554"/>
      <c r="E122" s="554"/>
      <c r="F122" s="554"/>
      <c r="G122" s="554"/>
      <c r="H122" s="554"/>
      <c r="I122" s="554"/>
      <c r="J122" s="554"/>
      <c r="K122" s="554"/>
      <c r="L122" s="554"/>
      <c r="M122" s="555"/>
    </row>
    <row r="123" spans="1:13" x14ac:dyDescent="0.2">
      <c r="A123" s="556" t="s">
        <v>142</v>
      </c>
      <c r="B123" s="556"/>
      <c r="C123" s="556"/>
      <c r="D123" s="116" t="s">
        <v>146</v>
      </c>
      <c r="E123" s="106">
        <v>0.9</v>
      </c>
      <c r="F123" s="116" t="s">
        <v>146</v>
      </c>
      <c r="G123" s="106">
        <v>0.9</v>
      </c>
      <c r="H123" s="116" t="s">
        <v>146</v>
      </c>
      <c r="I123" s="106">
        <v>0.9</v>
      </c>
      <c r="J123" s="116" t="s">
        <v>146</v>
      </c>
      <c r="K123" s="106">
        <v>0.9</v>
      </c>
      <c r="L123" s="106" t="s">
        <v>146</v>
      </c>
      <c r="M123" s="106">
        <v>0.9</v>
      </c>
    </row>
    <row r="124" spans="1:13" x14ac:dyDescent="0.2">
      <c r="A124" s="556" t="s">
        <v>147</v>
      </c>
      <c r="B124" s="556"/>
      <c r="C124" s="556"/>
      <c r="D124" s="116" t="s">
        <v>146</v>
      </c>
      <c r="E124" s="119">
        <v>5.0000000000000001E-3</v>
      </c>
      <c r="F124" s="116" t="s">
        <v>146</v>
      </c>
      <c r="G124" s="119">
        <v>7.0000000000000001E-3</v>
      </c>
      <c r="H124" s="116" t="s">
        <v>146</v>
      </c>
      <c r="I124" s="119">
        <v>0.01</v>
      </c>
      <c r="J124" s="116" t="s">
        <v>146</v>
      </c>
      <c r="K124" s="119">
        <v>0.01</v>
      </c>
      <c r="L124" s="106" t="s">
        <v>146</v>
      </c>
      <c r="M124" s="121">
        <v>8.0000000000000002E-3</v>
      </c>
    </row>
    <row r="125" spans="1:13" x14ac:dyDescent="0.2">
      <c r="A125" s="556" t="s">
        <v>148</v>
      </c>
      <c r="B125" s="556"/>
      <c r="C125" s="556"/>
      <c r="D125" s="116" t="s">
        <v>146</v>
      </c>
      <c r="E125" s="108">
        <v>0.03</v>
      </c>
      <c r="F125" s="116" t="s">
        <v>146</v>
      </c>
      <c r="G125" s="108">
        <v>0.03</v>
      </c>
      <c r="H125" s="116" t="s">
        <v>146</v>
      </c>
      <c r="I125" s="108">
        <v>0.05</v>
      </c>
      <c r="J125" s="116" t="s">
        <v>146</v>
      </c>
      <c r="K125" s="108">
        <v>0.04</v>
      </c>
      <c r="L125" s="106" t="s">
        <v>146</v>
      </c>
      <c r="M125" s="106">
        <v>3.7499999999999999E-2</v>
      </c>
    </row>
    <row r="126" spans="1:13" x14ac:dyDescent="0.2">
      <c r="A126" s="556" t="s">
        <v>58</v>
      </c>
      <c r="B126" s="556"/>
      <c r="C126" s="556"/>
      <c r="D126" s="116" t="s">
        <v>146</v>
      </c>
      <c r="E126" s="111">
        <v>7.1899999999999998E-6</v>
      </c>
      <c r="F126" s="117" t="s">
        <v>146</v>
      </c>
      <c r="G126" s="111">
        <v>1.057E-5</v>
      </c>
      <c r="H126" s="116" t="s">
        <v>146</v>
      </c>
      <c r="I126" s="111">
        <v>1.59E-5</v>
      </c>
      <c r="J126" s="116" t="s">
        <v>146</v>
      </c>
      <c r="K126" s="111">
        <v>1.4440000000000001E-5</v>
      </c>
      <c r="L126" s="106" t="s">
        <v>146</v>
      </c>
      <c r="M126" s="118">
        <v>1.2025000000000001E-5</v>
      </c>
    </row>
    <row r="127" spans="1:13" x14ac:dyDescent="0.2">
      <c r="A127" s="556" t="s">
        <v>149</v>
      </c>
      <c r="B127" s="556"/>
      <c r="C127" s="556"/>
      <c r="D127" s="116" t="s">
        <v>146</v>
      </c>
      <c r="E127" s="111">
        <v>8.0786516853932585E-8</v>
      </c>
      <c r="F127" s="117" t="s">
        <v>146</v>
      </c>
      <c r="G127" s="111">
        <v>8.7355371900826448E-8</v>
      </c>
      <c r="H127" s="116" t="s">
        <v>146</v>
      </c>
      <c r="I127" s="111">
        <v>1.325E-7</v>
      </c>
      <c r="J127" s="116" t="s">
        <v>146</v>
      </c>
      <c r="K127" s="111">
        <v>1.0314285714285715E-7</v>
      </c>
      <c r="L127" s="106" t="s">
        <v>146</v>
      </c>
      <c r="M127" s="118">
        <v>1.0094618647440404E-7</v>
      </c>
    </row>
    <row r="128" spans="1:13" ht="16" x14ac:dyDescent="0.2">
      <c r="A128" s="552" t="s">
        <v>150</v>
      </c>
      <c r="B128" s="552"/>
      <c r="C128" s="552"/>
      <c r="D128" s="229"/>
      <c r="E128" s="230">
        <v>0</v>
      </c>
      <c r="F128" s="231"/>
      <c r="G128" s="230">
        <v>0</v>
      </c>
      <c r="H128" s="230"/>
      <c r="I128" s="230">
        <v>0</v>
      </c>
      <c r="J128" s="230"/>
      <c r="K128" s="230">
        <v>0</v>
      </c>
      <c r="L128" s="232"/>
      <c r="M128" s="233">
        <f>AVERAGE(E128,G128,I128,K128)</f>
        <v>0</v>
      </c>
    </row>
    <row r="129" spans="1:13" x14ac:dyDescent="0.2">
      <c r="A129" s="553" t="s">
        <v>164</v>
      </c>
      <c r="B129" s="554"/>
      <c r="C129" s="554"/>
      <c r="D129" s="554"/>
      <c r="E129" s="554"/>
      <c r="F129" s="554"/>
      <c r="G129" s="554"/>
      <c r="H129" s="554"/>
      <c r="I129" s="554"/>
      <c r="J129" s="554"/>
      <c r="K129" s="554"/>
      <c r="L129" s="554"/>
      <c r="M129" s="555"/>
    </row>
    <row r="130" spans="1:13" x14ac:dyDescent="0.2">
      <c r="A130" s="556" t="s">
        <v>142</v>
      </c>
      <c r="B130" s="556"/>
      <c r="C130" s="556"/>
      <c r="D130" s="116" t="s">
        <v>71</v>
      </c>
      <c r="E130" s="106">
        <v>23</v>
      </c>
      <c r="F130" s="116" t="s">
        <v>71</v>
      </c>
      <c r="G130" s="106">
        <v>24</v>
      </c>
      <c r="H130" s="116"/>
      <c r="I130" s="106">
        <v>4.8</v>
      </c>
      <c r="J130" s="106"/>
      <c r="K130" s="106">
        <v>5.7</v>
      </c>
      <c r="L130" s="106"/>
      <c r="M130" s="106">
        <v>14.375</v>
      </c>
    </row>
    <row r="131" spans="1:13" x14ac:dyDescent="0.2">
      <c r="A131" s="556" t="s">
        <v>147</v>
      </c>
      <c r="B131" s="556"/>
      <c r="C131" s="556"/>
      <c r="D131" s="116" t="s">
        <v>71</v>
      </c>
      <c r="E131" s="108">
        <v>0.30299999999999999</v>
      </c>
      <c r="F131" s="116"/>
      <c r="G131" s="108">
        <v>0.42099999999999999</v>
      </c>
      <c r="H131" s="116"/>
      <c r="I131" s="108">
        <v>0.121</v>
      </c>
      <c r="J131" s="108"/>
      <c r="K131" s="108">
        <v>0.13300000000000001</v>
      </c>
      <c r="L131" s="106"/>
      <c r="M131" s="121">
        <v>0.2445</v>
      </c>
    </row>
    <row r="132" spans="1:13" x14ac:dyDescent="0.2">
      <c r="A132" s="556" t="s">
        <v>148</v>
      </c>
      <c r="B132" s="556"/>
      <c r="C132" s="556"/>
      <c r="D132" s="116" t="s">
        <v>71</v>
      </c>
      <c r="E132" s="108">
        <v>0.64</v>
      </c>
      <c r="F132" s="116" t="s">
        <v>71</v>
      </c>
      <c r="G132" s="108">
        <v>0.89</v>
      </c>
      <c r="H132" s="116"/>
      <c r="I132" s="108">
        <v>0.26</v>
      </c>
      <c r="J132" s="108"/>
      <c r="K132" s="108">
        <v>0.28000000000000003</v>
      </c>
      <c r="L132" s="106"/>
      <c r="M132" s="106">
        <v>0.51750000000000007</v>
      </c>
    </row>
    <row r="133" spans="1:13" x14ac:dyDescent="0.2">
      <c r="A133" s="556" t="s">
        <v>58</v>
      </c>
      <c r="B133" s="556"/>
      <c r="C133" s="556"/>
      <c r="D133" s="116" t="s">
        <v>71</v>
      </c>
      <c r="E133" s="111">
        <v>2.0000000000000001E-4</v>
      </c>
      <c r="F133" s="117" t="s">
        <v>71</v>
      </c>
      <c r="G133" s="111">
        <v>2.9999999999999997E-4</v>
      </c>
      <c r="H133" s="116"/>
      <c r="I133" s="111">
        <v>8.4809999999999996E-5</v>
      </c>
      <c r="J133" s="122"/>
      <c r="K133" s="111">
        <v>1E-4</v>
      </c>
      <c r="L133" s="106"/>
      <c r="M133" s="118">
        <v>1.7120250000000003E-4</v>
      </c>
    </row>
    <row r="134" spans="1:13" x14ac:dyDescent="0.2">
      <c r="A134" s="556" t="s">
        <v>149</v>
      </c>
      <c r="B134" s="556"/>
      <c r="C134" s="556"/>
      <c r="D134" s="116" t="s">
        <v>71</v>
      </c>
      <c r="E134" s="111">
        <v>2.247191011235955E-6</v>
      </c>
      <c r="F134" s="117" t="s">
        <v>71</v>
      </c>
      <c r="G134" s="111">
        <v>2.4793388429752062E-6</v>
      </c>
      <c r="H134" s="116"/>
      <c r="I134" s="111">
        <v>7.0674999999999995E-7</v>
      </c>
      <c r="J134" s="123"/>
      <c r="K134" s="111">
        <v>7.1428571428571431E-7</v>
      </c>
      <c r="L134" s="106"/>
      <c r="M134" s="118">
        <v>1.5368913921242186E-6</v>
      </c>
    </row>
    <row r="135" spans="1:13" ht="16" customHeight="1" x14ac:dyDescent="0.2">
      <c r="A135" s="552" t="s">
        <v>150</v>
      </c>
      <c r="B135" s="552"/>
      <c r="C135" s="552"/>
      <c r="D135" s="105"/>
      <c r="E135" s="113">
        <f>E134</f>
        <v>2.247191011235955E-6</v>
      </c>
      <c r="F135" s="110"/>
      <c r="G135" s="113">
        <f>G134</f>
        <v>2.4793388429752062E-6</v>
      </c>
      <c r="H135" s="113"/>
      <c r="I135" s="113">
        <f>I134</f>
        <v>7.0674999999999995E-7</v>
      </c>
      <c r="J135" s="113"/>
      <c r="K135" s="113">
        <f>K134</f>
        <v>7.1428571428571431E-7</v>
      </c>
      <c r="L135" s="112"/>
      <c r="M135" s="114">
        <f>AVERAGE(E135,G135,I135,K135)</f>
        <v>1.5368913921242186E-6</v>
      </c>
    </row>
  </sheetData>
  <sheetProtection algorithmName="SHA-512" hashValue="EmR5UzEb9R/dIGMJmWWZ5VwXxRP00BT6AvXW/9b5HLFaf7UVbwnOYTca/Q2gx+U5rUNWbW38yU2/pE7m47QInw==" saltValue="p11QZ3w5ft0u5tJb9asYhw==" spinCount="100000" sheet="1" objects="1" scenarios="1"/>
  <mergeCells count="134">
    <mergeCell ref="A8:C8"/>
    <mergeCell ref="A9:C9"/>
    <mergeCell ref="A10:C10"/>
    <mergeCell ref="A12:M12"/>
    <mergeCell ref="A13:C13"/>
    <mergeCell ref="A14:C14"/>
    <mergeCell ref="A1:M1"/>
    <mergeCell ref="B2:E2"/>
    <mergeCell ref="B3:E3"/>
    <mergeCell ref="B4:E4"/>
    <mergeCell ref="B5:E5"/>
    <mergeCell ref="A7:C7"/>
    <mergeCell ref="E7:M7"/>
    <mergeCell ref="A21:C21"/>
    <mergeCell ref="A22:C22"/>
    <mergeCell ref="A23:C23"/>
    <mergeCell ref="A24:C24"/>
    <mergeCell ref="A25:C25"/>
    <mergeCell ref="A26:M26"/>
    <mergeCell ref="A15:C15"/>
    <mergeCell ref="A16:C16"/>
    <mergeCell ref="A17:C17"/>
    <mergeCell ref="A18:C18"/>
    <mergeCell ref="A19:C19"/>
    <mergeCell ref="A20:C20"/>
    <mergeCell ref="A33:C33"/>
    <mergeCell ref="A34:C34"/>
    <mergeCell ref="A35:C35"/>
    <mergeCell ref="A36:C36"/>
    <mergeCell ref="A37:C37"/>
    <mergeCell ref="A38:M38"/>
    <mergeCell ref="A27:C27"/>
    <mergeCell ref="A28:C28"/>
    <mergeCell ref="A29:C29"/>
    <mergeCell ref="A30:C30"/>
    <mergeCell ref="A31:M31"/>
    <mergeCell ref="A32:C32"/>
    <mergeCell ref="A45:M45"/>
    <mergeCell ref="A46:C46"/>
    <mergeCell ref="A47:C47"/>
    <mergeCell ref="A48:C48"/>
    <mergeCell ref="A49:C49"/>
    <mergeCell ref="A50:C50"/>
    <mergeCell ref="A39:C39"/>
    <mergeCell ref="A40:C40"/>
    <mergeCell ref="A41:C41"/>
    <mergeCell ref="A42:C42"/>
    <mergeCell ref="A43:C43"/>
    <mergeCell ref="A44:C44"/>
    <mergeCell ref="A57:C57"/>
    <mergeCell ref="A58:C58"/>
    <mergeCell ref="A59:M59"/>
    <mergeCell ref="A60:C60"/>
    <mergeCell ref="A61:C61"/>
    <mergeCell ref="A62:C62"/>
    <mergeCell ref="A51:C51"/>
    <mergeCell ref="A52:M52"/>
    <mergeCell ref="A53:C53"/>
    <mergeCell ref="A54:C54"/>
    <mergeCell ref="A55:C55"/>
    <mergeCell ref="A56:C56"/>
    <mergeCell ref="A69:C69"/>
    <mergeCell ref="A70:C70"/>
    <mergeCell ref="A71:C71"/>
    <mergeCell ref="A72:C72"/>
    <mergeCell ref="A73:M73"/>
    <mergeCell ref="A74:C74"/>
    <mergeCell ref="A63:C63"/>
    <mergeCell ref="A64:C64"/>
    <mergeCell ref="A65:C65"/>
    <mergeCell ref="A66:M66"/>
    <mergeCell ref="A67:C67"/>
    <mergeCell ref="A68:C68"/>
    <mergeCell ref="A81:C81"/>
    <mergeCell ref="A82:C82"/>
    <mergeCell ref="A83:C83"/>
    <mergeCell ref="A84:C84"/>
    <mergeCell ref="A85:C85"/>
    <mergeCell ref="A86:C86"/>
    <mergeCell ref="A75:C75"/>
    <mergeCell ref="A76:C76"/>
    <mergeCell ref="A77:C77"/>
    <mergeCell ref="A78:C78"/>
    <mergeCell ref="A79:C79"/>
    <mergeCell ref="A80:M80"/>
    <mergeCell ref="A93:C93"/>
    <mergeCell ref="A94:M94"/>
    <mergeCell ref="A95:C95"/>
    <mergeCell ref="A96:C96"/>
    <mergeCell ref="A97:C97"/>
    <mergeCell ref="A98:C98"/>
    <mergeCell ref="A87:M87"/>
    <mergeCell ref="A88:C88"/>
    <mergeCell ref="A89:C89"/>
    <mergeCell ref="A90:C90"/>
    <mergeCell ref="A91:C91"/>
    <mergeCell ref="A92:C92"/>
    <mergeCell ref="A105:C105"/>
    <mergeCell ref="A106:C106"/>
    <mergeCell ref="A107:C107"/>
    <mergeCell ref="A108:M108"/>
    <mergeCell ref="A109:C109"/>
    <mergeCell ref="A110:C110"/>
    <mergeCell ref="A99:C99"/>
    <mergeCell ref="A100:C100"/>
    <mergeCell ref="A101:M101"/>
    <mergeCell ref="A102:C102"/>
    <mergeCell ref="A103:C103"/>
    <mergeCell ref="A104:C104"/>
    <mergeCell ref="A117:C117"/>
    <mergeCell ref="A118:C118"/>
    <mergeCell ref="A119:C119"/>
    <mergeCell ref="A120:C120"/>
    <mergeCell ref="A121:C121"/>
    <mergeCell ref="A122:M122"/>
    <mergeCell ref="A111:C111"/>
    <mergeCell ref="A112:C112"/>
    <mergeCell ref="A113:C113"/>
    <mergeCell ref="A114:C114"/>
    <mergeCell ref="A115:M115"/>
    <mergeCell ref="A116:C116"/>
    <mergeCell ref="A135:C135"/>
    <mergeCell ref="A129:M129"/>
    <mergeCell ref="A130:C130"/>
    <mergeCell ref="A131:C131"/>
    <mergeCell ref="A132:C132"/>
    <mergeCell ref="A133:C133"/>
    <mergeCell ref="A134:C134"/>
    <mergeCell ref="A123:C123"/>
    <mergeCell ref="A124:C124"/>
    <mergeCell ref="A125:C125"/>
    <mergeCell ref="A126:C126"/>
    <mergeCell ref="A127:C127"/>
    <mergeCell ref="A128:C128"/>
  </mergeCells>
  <conditionalFormatting sqref="A33:C35 A40:C42 A47:C49 A54:C56 A61:C63 E40:E42 G40:G42 E47:E49 G47:G49 E54:E56 G54:G56 E61:E63 G61:G63 E33:E36 G33:G36 J61:J63 A31:M31 A38:M38 A45:M45 A52:M52 A59:M59 H28:K29">
    <cfRule type="cellIs" dxfId="1355" priority="312" stopIfTrue="1" operator="equal">
      <formula>0</formula>
    </cfRule>
  </conditionalFormatting>
  <conditionalFormatting sqref="A60:C60">
    <cfRule type="cellIs" dxfId="1354" priority="311" stopIfTrue="1" operator="equal">
      <formula>0</formula>
    </cfRule>
  </conditionalFormatting>
  <conditionalFormatting sqref="A64:C64">
    <cfRule type="cellIs" dxfId="1353" priority="310" stopIfTrue="1" operator="equal">
      <formula>0</formula>
    </cfRule>
  </conditionalFormatting>
  <conditionalFormatting sqref="A53:C53">
    <cfRule type="cellIs" dxfId="1352" priority="309" stopIfTrue="1" operator="equal">
      <formula>0</formula>
    </cfRule>
  </conditionalFormatting>
  <conditionalFormatting sqref="A46:C46">
    <cfRule type="cellIs" dxfId="1351" priority="307" stopIfTrue="1" operator="equal">
      <formula>0</formula>
    </cfRule>
  </conditionalFormatting>
  <conditionalFormatting sqref="A50:C50">
    <cfRule type="cellIs" dxfId="1350" priority="308" stopIfTrue="1" operator="equal">
      <formula>0</formula>
    </cfRule>
  </conditionalFormatting>
  <conditionalFormatting sqref="A43:C43">
    <cfRule type="cellIs" dxfId="1349" priority="306" stopIfTrue="1" operator="equal">
      <formula>0</formula>
    </cfRule>
  </conditionalFormatting>
  <conditionalFormatting sqref="A39:C39">
    <cfRule type="cellIs" dxfId="1348" priority="305" stopIfTrue="1" operator="equal">
      <formula>0</formula>
    </cfRule>
  </conditionalFormatting>
  <conditionalFormatting sqref="A36:C36">
    <cfRule type="cellIs" dxfId="1347" priority="304" stopIfTrue="1" operator="equal">
      <formula>0</formula>
    </cfRule>
  </conditionalFormatting>
  <conditionalFormatting sqref="A32:C32">
    <cfRule type="cellIs" dxfId="1346" priority="303" stopIfTrue="1" operator="equal">
      <formula>0</formula>
    </cfRule>
  </conditionalFormatting>
  <conditionalFormatting sqref="D32">
    <cfRule type="cellIs" dxfId="1345" priority="302" stopIfTrue="1" operator="equal">
      <formula>0</formula>
    </cfRule>
  </conditionalFormatting>
  <conditionalFormatting sqref="D33:D36">
    <cfRule type="cellIs" dxfId="1344" priority="301" stopIfTrue="1" operator="equal">
      <formula>0</formula>
    </cfRule>
  </conditionalFormatting>
  <conditionalFormatting sqref="E43">
    <cfRule type="cellIs" dxfId="1343" priority="300" stopIfTrue="1" operator="equal">
      <formula>0</formula>
    </cfRule>
  </conditionalFormatting>
  <conditionalFormatting sqref="E64">
    <cfRule type="cellIs" dxfId="1342" priority="297" stopIfTrue="1" operator="equal">
      <formula>0</formula>
    </cfRule>
  </conditionalFormatting>
  <conditionalFormatting sqref="E50">
    <cfRule type="cellIs" dxfId="1341" priority="299" stopIfTrue="1" operator="equal">
      <formula>0</formula>
    </cfRule>
  </conditionalFormatting>
  <conditionalFormatting sqref="E57">
    <cfRule type="cellIs" dxfId="1340" priority="298" stopIfTrue="1" operator="equal">
      <formula>0</formula>
    </cfRule>
  </conditionalFormatting>
  <conditionalFormatting sqref="G57">
    <cfRule type="cellIs" dxfId="1339" priority="296" stopIfTrue="1" operator="equal">
      <formula>0</formula>
    </cfRule>
  </conditionalFormatting>
  <conditionalFormatting sqref="J64">
    <cfRule type="cellIs" dxfId="1338" priority="295" stopIfTrue="1" operator="equal">
      <formula>0</formula>
    </cfRule>
  </conditionalFormatting>
  <conditionalFormatting sqref="E28">
    <cfRule type="cellIs" dxfId="1337" priority="294" stopIfTrue="1" operator="equal">
      <formula>0</formula>
    </cfRule>
  </conditionalFormatting>
  <conditionalFormatting sqref="E29">
    <cfRule type="cellIs" dxfId="1336" priority="293" stopIfTrue="1" operator="equal">
      <formula>0</formula>
    </cfRule>
  </conditionalFormatting>
  <conditionalFormatting sqref="G28:G29">
    <cfRule type="cellIs" dxfId="1335" priority="292" stopIfTrue="1" operator="equal">
      <formula>0</formula>
    </cfRule>
  </conditionalFormatting>
  <conditionalFormatting sqref="D46">
    <cfRule type="cellIs" dxfId="1334" priority="285" stopIfTrue="1" operator="equal">
      <formula>0</formula>
    </cfRule>
  </conditionalFormatting>
  <conditionalFormatting sqref="F39">
    <cfRule type="cellIs" dxfId="1333" priority="287" stopIfTrue="1" operator="equal">
      <formula>0</formula>
    </cfRule>
  </conditionalFormatting>
  <conditionalFormatting sqref="D39">
    <cfRule type="cellIs" dxfId="1332" priority="289" stopIfTrue="1" operator="equal">
      <formula>0</formula>
    </cfRule>
  </conditionalFormatting>
  <conditionalFormatting sqref="F32">
    <cfRule type="cellIs" dxfId="1331" priority="291" stopIfTrue="1" operator="equal">
      <formula>0</formula>
    </cfRule>
  </conditionalFormatting>
  <conditionalFormatting sqref="F33:F36">
    <cfRule type="cellIs" dxfId="1330" priority="290" stopIfTrue="1" operator="equal">
      <formula>0</formula>
    </cfRule>
  </conditionalFormatting>
  <conditionalFormatting sqref="F40:F43">
    <cfRule type="cellIs" dxfId="1329" priority="286" stopIfTrue="1" operator="equal">
      <formula>0</formula>
    </cfRule>
  </conditionalFormatting>
  <conditionalFormatting sqref="D40:D43">
    <cfRule type="cellIs" dxfId="1328" priority="288" stopIfTrue="1" operator="equal">
      <formula>0</formula>
    </cfRule>
  </conditionalFormatting>
  <conditionalFormatting sqref="D47:D50">
    <cfRule type="cellIs" dxfId="1327" priority="284" stopIfTrue="1" operator="equal">
      <formula>0</formula>
    </cfRule>
  </conditionalFormatting>
  <conditionalFormatting sqref="F46">
    <cfRule type="cellIs" dxfId="1326" priority="283" stopIfTrue="1" operator="equal">
      <formula>0</formula>
    </cfRule>
  </conditionalFormatting>
  <conditionalFormatting sqref="F47:F50">
    <cfRule type="cellIs" dxfId="1325" priority="282" stopIfTrue="1" operator="equal">
      <formula>0</formula>
    </cfRule>
  </conditionalFormatting>
  <conditionalFormatting sqref="D53">
    <cfRule type="cellIs" dxfId="1324" priority="281" stopIfTrue="1" operator="equal">
      <formula>0</formula>
    </cfRule>
  </conditionalFormatting>
  <conditionalFormatting sqref="D54:D57">
    <cfRule type="cellIs" dxfId="1323" priority="280" stopIfTrue="1" operator="equal">
      <formula>0</formula>
    </cfRule>
  </conditionalFormatting>
  <conditionalFormatting sqref="F53">
    <cfRule type="cellIs" dxfId="1322" priority="279" stopIfTrue="1" operator="equal">
      <formula>0</formula>
    </cfRule>
  </conditionalFormatting>
  <conditionalFormatting sqref="F54:F57">
    <cfRule type="cellIs" dxfId="1321" priority="278" stopIfTrue="1" operator="equal">
      <formula>0</formula>
    </cfRule>
  </conditionalFormatting>
  <conditionalFormatting sqref="D60">
    <cfRule type="cellIs" dxfId="1320" priority="277" stopIfTrue="1" operator="equal">
      <formula>0</formula>
    </cfRule>
  </conditionalFormatting>
  <conditionalFormatting sqref="D61:D64">
    <cfRule type="cellIs" dxfId="1319" priority="276" stopIfTrue="1" operator="equal">
      <formula>0</formula>
    </cfRule>
  </conditionalFormatting>
  <conditionalFormatting sqref="F60">
    <cfRule type="cellIs" dxfId="1318" priority="275" stopIfTrue="1" operator="equal">
      <formula>0</formula>
    </cfRule>
  </conditionalFormatting>
  <conditionalFormatting sqref="F61:F64">
    <cfRule type="cellIs" dxfId="1317" priority="274" stopIfTrue="1" operator="equal">
      <formula>0</formula>
    </cfRule>
  </conditionalFormatting>
  <conditionalFormatting sqref="G43">
    <cfRule type="cellIs" dxfId="1316" priority="273" stopIfTrue="1" operator="equal">
      <formula>0</formula>
    </cfRule>
  </conditionalFormatting>
  <conditionalFormatting sqref="G50">
    <cfRule type="cellIs" dxfId="1315" priority="272" stopIfTrue="1" operator="equal">
      <formula>0</formula>
    </cfRule>
  </conditionalFormatting>
  <conditionalFormatting sqref="A57:C57">
    <cfRule type="cellIs" dxfId="1314" priority="271" stopIfTrue="1" operator="equal">
      <formula>0</formula>
    </cfRule>
  </conditionalFormatting>
  <conditionalFormatting sqref="G64">
    <cfRule type="cellIs" dxfId="1313" priority="270" stopIfTrue="1" operator="equal">
      <formula>0</formula>
    </cfRule>
  </conditionalFormatting>
  <conditionalFormatting sqref="I33:I36">
    <cfRule type="cellIs" dxfId="1312" priority="269" stopIfTrue="1" operator="equal">
      <formula>0</formula>
    </cfRule>
  </conditionalFormatting>
  <conditionalFormatting sqref="H32">
    <cfRule type="cellIs" dxfId="1311" priority="268" stopIfTrue="1" operator="equal">
      <formula>0</formula>
    </cfRule>
  </conditionalFormatting>
  <conditionalFormatting sqref="H33:H36">
    <cfRule type="cellIs" dxfId="1310" priority="267" stopIfTrue="1" operator="equal">
      <formula>0</formula>
    </cfRule>
  </conditionalFormatting>
  <conditionalFormatting sqref="K64">
    <cfRule type="cellIs" dxfId="1309" priority="235" stopIfTrue="1" operator="equal">
      <formula>0</formula>
    </cfRule>
  </conditionalFormatting>
  <conditionalFormatting sqref="L32">
    <cfRule type="cellIs" dxfId="1308" priority="266" stopIfTrue="1" operator="equal">
      <formula>0</formula>
    </cfRule>
  </conditionalFormatting>
  <conditionalFormatting sqref="L33:L36">
    <cfRule type="cellIs" dxfId="1307" priority="265" stopIfTrue="1" operator="equal">
      <formula>0</formula>
    </cfRule>
  </conditionalFormatting>
  <conditionalFormatting sqref="I40:I42">
    <cfRule type="cellIs" dxfId="1306" priority="264" stopIfTrue="1" operator="equal">
      <formula>0</formula>
    </cfRule>
  </conditionalFormatting>
  <conditionalFormatting sqref="I43">
    <cfRule type="cellIs" dxfId="1305" priority="263" stopIfTrue="1" operator="equal">
      <formula>0</formula>
    </cfRule>
  </conditionalFormatting>
  <conditionalFormatting sqref="H39">
    <cfRule type="cellIs" dxfId="1304" priority="262" stopIfTrue="1" operator="equal">
      <formula>0</formula>
    </cfRule>
  </conditionalFormatting>
  <conditionalFormatting sqref="H40:H43">
    <cfRule type="cellIs" dxfId="1303" priority="261" stopIfTrue="1" operator="equal">
      <formula>0</formula>
    </cfRule>
  </conditionalFormatting>
  <conditionalFormatting sqref="K40:K41">
    <cfRule type="cellIs" dxfId="1302" priority="260" stopIfTrue="1" operator="equal">
      <formula>0</formula>
    </cfRule>
  </conditionalFormatting>
  <conditionalFormatting sqref="K43">
    <cfRule type="cellIs" dxfId="1301" priority="256" stopIfTrue="1" operator="equal">
      <formula>0</formula>
    </cfRule>
  </conditionalFormatting>
  <conditionalFormatting sqref="J40:J43">
    <cfRule type="cellIs" dxfId="1300" priority="258" stopIfTrue="1" operator="equal">
      <formula>0</formula>
    </cfRule>
  </conditionalFormatting>
  <conditionalFormatting sqref="I50">
    <cfRule type="cellIs" dxfId="1299" priority="254" stopIfTrue="1" operator="equal">
      <formula>0</formula>
    </cfRule>
  </conditionalFormatting>
  <conditionalFormatting sqref="J39">
    <cfRule type="cellIs" dxfId="1298" priority="259" stopIfTrue="1" operator="equal">
      <formula>0</formula>
    </cfRule>
  </conditionalFormatting>
  <conditionalFormatting sqref="H47:H50">
    <cfRule type="cellIs" dxfId="1297" priority="252" stopIfTrue="1" operator="equal">
      <formula>0</formula>
    </cfRule>
  </conditionalFormatting>
  <conditionalFormatting sqref="K42">
    <cfRule type="cellIs" dxfId="1296" priority="257" stopIfTrue="1" operator="equal">
      <formula>0</formula>
    </cfRule>
  </conditionalFormatting>
  <conditionalFormatting sqref="I47:I49">
    <cfRule type="cellIs" dxfId="1295" priority="255" stopIfTrue="1" operator="equal">
      <formula>0</formula>
    </cfRule>
  </conditionalFormatting>
  <conditionalFormatting sqref="H46">
    <cfRule type="cellIs" dxfId="1294" priority="253" stopIfTrue="1" operator="equal">
      <formula>0</formula>
    </cfRule>
  </conditionalFormatting>
  <conditionalFormatting sqref="K47:K48">
    <cfRule type="cellIs" dxfId="1293" priority="251" stopIfTrue="1" operator="equal">
      <formula>0</formula>
    </cfRule>
  </conditionalFormatting>
  <conditionalFormatting sqref="J46">
    <cfRule type="cellIs" dxfId="1292" priority="250" stopIfTrue="1" operator="equal">
      <formula>0</formula>
    </cfRule>
  </conditionalFormatting>
  <conditionalFormatting sqref="J47:J50">
    <cfRule type="cellIs" dxfId="1291" priority="249" stopIfTrue="1" operator="equal">
      <formula>0</formula>
    </cfRule>
  </conditionalFormatting>
  <conditionalFormatting sqref="K49">
    <cfRule type="cellIs" dxfId="1290" priority="248" stopIfTrue="1" operator="equal">
      <formula>0</formula>
    </cfRule>
  </conditionalFormatting>
  <conditionalFormatting sqref="K50">
    <cfRule type="cellIs" dxfId="1289" priority="247" stopIfTrue="1" operator="equal">
      <formula>0</formula>
    </cfRule>
  </conditionalFormatting>
  <conditionalFormatting sqref="I54:I56">
    <cfRule type="cellIs" dxfId="1288" priority="246" stopIfTrue="1" operator="equal">
      <formula>0</formula>
    </cfRule>
  </conditionalFormatting>
  <conditionalFormatting sqref="I57">
    <cfRule type="cellIs" dxfId="1287" priority="245" stopIfTrue="1" operator="equal">
      <formula>0</formula>
    </cfRule>
  </conditionalFormatting>
  <conditionalFormatting sqref="H53">
    <cfRule type="cellIs" dxfId="1286" priority="244" stopIfTrue="1" operator="equal">
      <formula>0</formula>
    </cfRule>
  </conditionalFormatting>
  <conditionalFormatting sqref="H54:H57">
    <cfRule type="cellIs" dxfId="1285" priority="243" stopIfTrue="1" operator="equal">
      <formula>0</formula>
    </cfRule>
  </conditionalFormatting>
  <conditionalFormatting sqref="K54:K55">
    <cfRule type="cellIs" dxfId="1284" priority="242" stopIfTrue="1" operator="equal">
      <formula>0</formula>
    </cfRule>
  </conditionalFormatting>
  <conditionalFormatting sqref="J53">
    <cfRule type="cellIs" dxfId="1283" priority="241" stopIfTrue="1" operator="equal">
      <formula>0</formula>
    </cfRule>
  </conditionalFormatting>
  <conditionalFormatting sqref="J54:J57">
    <cfRule type="cellIs" dxfId="1282" priority="240" stopIfTrue="1" operator="equal">
      <formula>0</formula>
    </cfRule>
  </conditionalFormatting>
  <conditionalFormatting sqref="K56">
    <cfRule type="cellIs" dxfId="1281" priority="239" stopIfTrue="1" operator="equal">
      <formula>0</formula>
    </cfRule>
  </conditionalFormatting>
  <conditionalFormatting sqref="K57">
    <cfRule type="cellIs" dxfId="1280" priority="238" stopIfTrue="1" operator="equal">
      <formula>0</formula>
    </cfRule>
  </conditionalFormatting>
  <conditionalFormatting sqref="K61:K62">
    <cfRule type="cellIs" dxfId="1279" priority="237" stopIfTrue="1" operator="equal">
      <formula>0</formula>
    </cfRule>
  </conditionalFormatting>
  <conditionalFormatting sqref="K63">
    <cfRule type="cellIs" dxfId="1278" priority="236" stopIfTrue="1" operator="equal">
      <formula>0</formula>
    </cfRule>
  </conditionalFormatting>
  <conditionalFormatting sqref="I61:I63">
    <cfRule type="cellIs" dxfId="1277" priority="234" stopIfTrue="1" operator="equal">
      <formula>0</formula>
    </cfRule>
  </conditionalFormatting>
  <conditionalFormatting sqref="I64">
    <cfRule type="cellIs" dxfId="1276" priority="233" stopIfTrue="1" operator="equal">
      <formula>0</formula>
    </cfRule>
  </conditionalFormatting>
  <conditionalFormatting sqref="H60">
    <cfRule type="cellIs" dxfId="1275" priority="232" stopIfTrue="1" operator="equal">
      <formula>0</formula>
    </cfRule>
  </conditionalFormatting>
  <conditionalFormatting sqref="H61:H64">
    <cfRule type="cellIs" dxfId="1274" priority="231" stopIfTrue="1" operator="equal">
      <formula>0</formula>
    </cfRule>
  </conditionalFormatting>
  <conditionalFormatting sqref="K33:K36">
    <cfRule type="cellIs" dxfId="1273" priority="230" stopIfTrue="1" operator="equal">
      <formula>0</formula>
    </cfRule>
  </conditionalFormatting>
  <conditionalFormatting sqref="J32">
    <cfRule type="cellIs" dxfId="1272" priority="229" stopIfTrue="1" operator="equal">
      <formula>0</formula>
    </cfRule>
  </conditionalFormatting>
  <conditionalFormatting sqref="J33:J36">
    <cfRule type="cellIs" dxfId="1271" priority="228" stopIfTrue="1" operator="equal">
      <formula>0</formula>
    </cfRule>
  </conditionalFormatting>
  <conditionalFormatting sqref="L53">
    <cfRule type="cellIs" dxfId="1270" priority="227" stopIfTrue="1" operator="equal">
      <formula>0</formula>
    </cfRule>
  </conditionalFormatting>
  <conditionalFormatting sqref="L54:L57">
    <cfRule type="cellIs" dxfId="1269" priority="226" stopIfTrue="1" operator="equal">
      <formula>0</formula>
    </cfRule>
  </conditionalFormatting>
  <conditionalFormatting sqref="A68:C70 A75:C77 A82:C84 A89:C91 A96:C98 E76:E77 G76 E83:E84 G83:G84 E90:E91 G90:G91 E97:E98 G97 E68:E71 G68:G71 J68:J71 J76:J77 J83:J84 J90:J91 J97:J98 A66:M66 A73:M73 A80:M80 A87:M87 A94:M94 H96">
    <cfRule type="cellIs" dxfId="1268" priority="225" stopIfTrue="1" operator="equal">
      <formula>0</formula>
    </cfRule>
  </conditionalFormatting>
  <conditionalFormatting sqref="A95:C95">
    <cfRule type="cellIs" dxfId="1267" priority="224" stopIfTrue="1" operator="equal">
      <formula>0</formula>
    </cfRule>
  </conditionalFormatting>
  <conditionalFormatting sqref="A99:C99">
    <cfRule type="cellIs" dxfId="1266" priority="223" stopIfTrue="1" operator="equal">
      <formula>0</formula>
    </cfRule>
  </conditionalFormatting>
  <conditionalFormatting sqref="A88:C88">
    <cfRule type="cellIs" dxfId="1265" priority="222" stopIfTrue="1" operator="equal">
      <formula>0</formula>
    </cfRule>
  </conditionalFormatting>
  <conditionalFormatting sqref="A92:C92">
    <cfRule type="cellIs" dxfId="1264" priority="221" stopIfTrue="1" operator="equal">
      <formula>0</formula>
    </cfRule>
  </conditionalFormatting>
  <conditionalFormatting sqref="A85:C85">
    <cfRule type="cellIs" dxfId="1263" priority="220" stopIfTrue="1" operator="equal">
      <formula>0</formula>
    </cfRule>
  </conditionalFormatting>
  <conditionalFormatting sqref="A81:C81">
    <cfRule type="cellIs" dxfId="1262" priority="219" stopIfTrue="1" operator="equal">
      <formula>0</formula>
    </cfRule>
  </conditionalFormatting>
  <conditionalFormatting sqref="A78:C78">
    <cfRule type="cellIs" dxfId="1261" priority="218" stopIfTrue="1" operator="equal">
      <formula>0</formula>
    </cfRule>
  </conditionalFormatting>
  <conditionalFormatting sqref="A74:C74">
    <cfRule type="cellIs" dxfId="1260" priority="217" stopIfTrue="1" operator="equal">
      <formula>0</formula>
    </cfRule>
  </conditionalFormatting>
  <conditionalFormatting sqref="A71:C71">
    <cfRule type="cellIs" dxfId="1259" priority="216" stopIfTrue="1" operator="equal">
      <formula>0</formula>
    </cfRule>
  </conditionalFormatting>
  <conditionalFormatting sqref="A67:C67">
    <cfRule type="cellIs" dxfId="1258" priority="215" stopIfTrue="1" operator="equal">
      <formula>0</formula>
    </cfRule>
  </conditionalFormatting>
  <conditionalFormatting sqref="D67">
    <cfRule type="cellIs" dxfId="1257" priority="214" stopIfTrue="1" operator="equal">
      <formula>0</formula>
    </cfRule>
  </conditionalFormatting>
  <conditionalFormatting sqref="D68:D71">
    <cfRule type="cellIs" dxfId="1256" priority="213" stopIfTrue="1" operator="equal">
      <formula>0</formula>
    </cfRule>
  </conditionalFormatting>
  <conditionalFormatting sqref="E78">
    <cfRule type="cellIs" dxfId="1255" priority="212" stopIfTrue="1" operator="equal">
      <formula>0</formula>
    </cfRule>
  </conditionalFormatting>
  <conditionalFormatting sqref="E99">
    <cfRule type="cellIs" dxfId="1254" priority="208" stopIfTrue="1" operator="equal">
      <formula>0</formula>
    </cfRule>
  </conditionalFormatting>
  <conditionalFormatting sqref="J78">
    <cfRule type="cellIs" dxfId="1253" priority="211" stopIfTrue="1" operator="equal">
      <formula>0</formula>
    </cfRule>
  </conditionalFormatting>
  <conditionalFormatting sqref="E85">
    <cfRule type="cellIs" dxfId="1252" priority="210" stopIfTrue="1" operator="equal">
      <formula>0</formula>
    </cfRule>
  </conditionalFormatting>
  <conditionalFormatting sqref="E92">
    <cfRule type="cellIs" dxfId="1251" priority="209" stopIfTrue="1" operator="equal">
      <formula>0</formula>
    </cfRule>
  </conditionalFormatting>
  <conditionalFormatting sqref="G85">
    <cfRule type="cellIs" dxfId="1250" priority="207" stopIfTrue="1" operator="equal">
      <formula>0</formula>
    </cfRule>
  </conditionalFormatting>
  <conditionalFormatting sqref="G92">
    <cfRule type="cellIs" dxfId="1249" priority="206" stopIfTrue="1" operator="equal">
      <formula>0</formula>
    </cfRule>
  </conditionalFormatting>
  <conditionalFormatting sqref="J92">
    <cfRule type="cellIs" dxfId="1248" priority="204" stopIfTrue="1" operator="equal">
      <formula>0</formula>
    </cfRule>
  </conditionalFormatting>
  <conditionalFormatting sqref="J85">
    <cfRule type="cellIs" dxfId="1247" priority="205" stopIfTrue="1" operator="equal">
      <formula>0</formula>
    </cfRule>
  </conditionalFormatting>
  <conditionalFormatting sqref="J99">
    <cfRule type="cellIs" dxfId="1246" priority="203" stopIfTrue="1" operator="equal">
      <formula>0</formula>
    </cfRule>
  </conditionalFormatting>
  <conditionalFormatting sqref="F118:F120">
    <cfRule type="cellIs" dxfId="1245" priority="112" stopIfTrue="1" operator="equal">
      <formula>0</formula>
    </cfRule>
  </conditionalFormatting>
  <conditionalFormatting sqref="D123">
    <cfRule type="cellIs" dxfId="1244" priority="111" stopIfTrue="1" operator="equal">
      <formula>0</formula>
    </cfRule>
  </conditionalFormatting>
  <conditionalFormatting sqref="D124:D127">
    <cfRule type="cellIs" dxfId="1243" priority="110" stopIfTrue="1" operator="equal">
      <formula>0</formula>
    </cfRule>
  </conditionalFormatting>
  <conditionalFormatting sqref="F67">
    <cfRule type="cellIs" dxfId="1242" priority="202" stopIfTrue="1" operator="equal">
      <formula>0</formula>
    </cfRule>
  </conditionalFormatting>
  <conditionalFormatting sqref="F68:F71">
    <cfRule type="cellIs" dxfId="1241" priority="201" stopIfTrue="1" operator="equal">
      <formula>0</formula>
    </cfRule>
  </conditionalFormatting>
  <conditionalFormatting sqref="D74">
    <cfRule type="cellIs" dxfId="1240" priority="200" stopIfTrue="1" operator="equal">
      <formula>0</formula>
    </cfRule>
  </conditionalFormatting>
  <conditionalFormatting sqref="D75:D78">
    <cfRule type="cellIs" dxfId="1239" priority="199" stopIfTrue="1" operator="equal">
      <formula>0</formula>
    </cfRule>
  </conditionalFormatting>
  <conditionalFormatting sqref="F74">
    <cfRule type="cellIs" dxfId="1238" priority="198" stopIfTrue="1" operator="equal">
      <formula>0</formula>
    </cfRule>
  </conditionalFormatting>
  <conditionalFormatting sqref="F76:F78">
    <cfRule type="cellIs" dxfId="1237" priority="197" stopIfTrue="1" operator="equal">
      <formula>0</formula>
    </cfRule>
  </conditionalFormatting>
  <conditionalFormatting sqref="D81">
    <cfRule type="cellIs" dxfId="1236" priority="196" stopIfTrue="1" operator="equal">
      <formula>0</formula>
    </cfRule>
  </conditionalFormatting>
  <conditionalFormatting sqref="D82:D85">
    <cfRule type="cellIs" dxfId="1235" priority="195" stopIfTrue="1" operator="equal">
      <formula>0</formula>
    </cfRule>
  </conditionalFormatting>
  <conditionalFormatting sqref="F81">
    <cfRule type="cellIs" dxfId="1234" priority="194" stopIfTrue="1" operator="equal">
      <formula>0</formula>
    </cfRule>
  </conditionalFormatting>
  <conditionalFormatting sqref="F83:F85">
    <cfRule type="cellIs" dxfId="1233" priority="193" stopIfTrue="1" operator="equal">
      <formula>0</formula>
    </cfRule>
  </conditionalFormatting>
  <conditionalFormatting sqref="D88">
    <cfRule type="cellIs" dxfId="1232" priority="192" stopIfTrue="1" operator="equal">
      <formula>0</formula>
    </cfRule>
  </conditionalFormatting>
  <conditionalFormatting sqref="D89:D92">
    <cfRule type="cellIs" dxfId="1231" priority="191" stopIfTrue="1" operator="equal">
      <formula>0</formula>
    </cfRule>
  </conditionalFormatting>
  <conditionalFormatting sqref="F88">
    <cfRule type="cellIs" dxfId="1230" priority="190" stopIfTrue="1" operator="equal">
      <formula>0</formula>
    </cfRule>
  </conditionalFormatting>
  <conditionalFormatting sqref="F90:F92">
    <cfRule type="cellIs" dxfId="1229" priority="189" stopIfTrue="1" operator="equal">
      <formula>0</formula>
    </cfRule>
  </conditionalFormatting>
  <conditionalFormatting sqref="D95">
    <cfRule type="cellIs" dxfId="1228" priority="188" stopIfTrue="1" operator="equal">
      <formula>0</formula>
    </cfRule>
  </conditionalFormatting>
  <conditionalFormatting sqref="D96:D99">
    <cfRule type="cellIs" dxfId="1227" priority="187" stopIfTrue="1" operator="equal">
      <formula>0</formula>
    </cfRule>
  </conditionalFormatting>
  <conditionalFormatting sqref="F95">
    <cfRule type="cellIs" dxfId="1226" priority="186" stopIfTrue="1" operator="equal">
      <formula>0</formula>
    </cfRule>
  </conditionalFormatting>
  <conditionalFormatting sqref="F97:F99">
    <cfRule type="cellIs" dxfId="1225" priority="185" stopIfTrue="1" operator="equal">
      <formula>0</formula>
    </cfRule>
  </conditionalFormatting>
  <conditionalFormatting sqref="E75 G75 J75">
    <cfRule type="cellIs" dxfId="1224" priority="184" stopIfTrue="1" operator="equal">
      <formula>0</formula>
    </cfRule>
  </conditionalFormatting>
  <conditionalFormatting sqref="F75">
    <cfRule type="cellIs" dxfId="1223" priority="183" stopIfTrue="1" operator="equal">
      <formula>0</formula>
    </cfRule>
  </conditionalFormatting>
  <conditionalFormatting sqref="E82 G82 J82">
    <cfRule type="cellIs" dxfId="1222" priority="182" stopIfTrue="1" operator="equal">
      <formula>0</formula>
    </cfRule>
  </conditionalFormatting>
  <conditionalFormatting sqref="F82">
    <cfRule type="cellIs" dxfId="1221" priority="181" stopIfTrue="1" operator="equal">
      <formula>0</formula>
    </cfRule>
  </conditionalFormatting>
  <conditionalFormatting sqref="E89 G89 J89">
    <cfRule type="cellIs" dxfId="1220" priority="180" stopIfTrue="1" operator="equal">
      <formula>0</formula>
    </cfRule>
  </conditionalFormatting>
  <conditionalFormatting sqref="F89">
    <cfRule type="cellIs" dxfId="1219" priority="179" stopIfTrue="1" operator="equal">
      <formula>0</formula>
    </cfRule>
  </conditionalFormatting>
  <conditionalFormatting sqref="E96 G96 J96 H97:H99">
    <cfRule type="cellIs" dxfId="1218" priority="178" stopIfTrue="1" operator="equal">
      <formula>0</formula>
    </cfRule>
  </conditionalFormatting>
  <conditionalFormatting sqref="F96">
    <cfRule type="cellIs" dxfId="1217" priority="177" stopIfTrue="1" operator="equal">
      <formula>0</formula>
    </cfRule>
  </conditionalFormatting>
  <conditionalFormatting sqref="G77">
    <cfRule type="cellIs" dxfId="1216" priority="176" stopIfTrue="1" operator="equal">
      <formula>0</formula>
    </cfRule>
  </conditionalFormatting>
  <conditionalFormatting sqref="G78">
    <cfRule type="cellIs" dxfId="1215" priority="175" stopIfTrue="1" operator="equal">
      <formula>0</formula>
    </cfRule>
  </conditionalFormatting>
  <conditionalFormatting sqref="G99">
    <cfRule type="cellIs" dxfId="1214" priority="173" stopIfTrue="1" operator="equal">
      <formula>0</formula>
    </cfRule>
  </conditionalFormatting>
  <conditionalFormatting sqref="K99">
    <cfRule type="cellIs" dxfId="1213" priority="152" stopIfTrue="1" operator="equal">
      <formula>0</formula>
    </cfRule>
  </conditionalFormatting>
  <conditionalFormatting sqref="G98">
    <cfRule type="cellIs" dxfId="1212" priority="174" stopIfTrue="1" operator="equal">
      <formula>0</formula>
    </cfRule>
  </conditionalFormatting>
  <conditionalFormatting sqref="K68:K71">
    <cfRule type="cellIs" dxfId="1211" priority="172" stopIfTrue="1" operator="equal">
      <formula>0</formula>
    </cfRule>
  </conditionalFormatting>
  <conditionalFormatting sqref="K76:K77">
    <cfRule type="cellIs" dxfId="1210" priority="171" stopIfTrue="1" operator="equal">
      <formula>0</formula>
    </cfRule>
  </conditionalFormatting>
  <conditionalFormatting sqref="K75">
    <cfRule type="cellIs" dxfId="1209" priority="170" stopIfTrue="1" operator="equal">
      <formula>0</formula>
    </cfRule>
  </conditionalFormatting>
  <conditionalFormatting sqref="K78">
    <cfRule type="cellIs" dxfId="1208" priority="169" stopIfTrue="1" operator="equal">
      <formula>0</formula>
    </cfRule>
  </conditionalFormatting>
  <conditionalFormatting sqref="I83:I84">
    <cfRule type="cellIs" dxfId="1207" priority="168" stopIfTrue="1" operator="equal">
      <formula>0</formula>
    </cfRule>
  </conditionalFormatting>
  <conditionalFormatting sqref="I85">
    <cfRule type="cellIs" dxfId="1206" priority="167" stopIfTrue="1" operator="equal">
      <formula>0</formula>
    </cfRule>
  </conditionalFormatting>
  <conditionalFormatting sqref="H81">
    <cfRule type="cellIs" dxfId="1205" priority="166" stopIfTrue="1" operator="equal">
      <formula>0</formula>
    </cfRule>
  </conditionalFormatting>
  <conditionalFormatting sqref="H82:H85">
    <cfRule type="cellIs" dxfId="1204" priority="165" stopIfTrue="1" operator="equal">
      <formula>0</formula>
    </cfRule>
  </conditionalFormatting>
  <conditionalFormatting sqref="I82">
    <cfRule type="cellIs" dxfId="1203" priority="164" stopIfTrue="1" operator="equal">
      <formula>0</formula>
    </cfRule>
  </conditionalFormatting>
  <conditionalFormatting sqref="K83:K84">
    <cfRule type="cellIs" dxfId="1202" priority="163" stopIfTrue="1" operator="equal">
      <formula>0</formula>
    </cfRule>
  </conditionalFormatting>
  <conditionalFormatting sqref="K85">
    <cfRule type="cellIs" dxfId="1201" priority="162" stopIfTrue="1" operator="equal">
      <formula>0</formula>
    </cfRule>
  </conditionalFormatting>
  <conditionalFormatting sqref="K82">
    <cfRule type="cellIs" dxfId="1200" priority="161" stopIfTrue="1" operator="equal">
      <formula>0</formula>
    </cfRule>
  </conditionalFormatting>
  <conditionalFormatting sqref="K90:K91">
    <cfRule type="cellIs" dxfId="1199" priority="160" stopIfTrue="1" operator="equal">
      <formula>0</formula>
    </cfRule>
  </conditionalFormatting>
  <conditionalFormatting sqref="K89">
    <cfRule type="cellIs" dxfId="1198" priority="159" stopIfTrue="1" operator="equal">
      <formula>0</formula>
    </cfRule>
  </conditionalFormatting>
  <conditionalFormatting sqref="K92">
    <cfRule type="cellIs" dxfId="1197" priority="158" stopIfTrue="1" operator="equal">
      <formula>0</formula>
    </cfRule>
  </conditionalFormatting>
  <conditionalFormatting sqref="I97:I98">
    <cfRule type="cellIs" dxfId="1196" priority="157" stopIfTrue="1" operator="equal">
      <formula>0</formula>
    </cfRule>
  </conditionalFormatting>
  <conditionalFormatting sqref="I99">
    <cfRule type="cellIs" dxfId="1195" priority="156" stopIfTrue="1" operator="equal">
      <formula>0</formula>
    </cfRule>
  </conditionalFormatting>
  <conditionalFormatting sqref="I96">
    <cfRule type="cellIs" dxfId="1194" priority="155" stopIfTrue="1" operator="equal">
      <formula>0</formula>
    </cfRule>
  </conditionalFormatting>
  <conditionalFormatting sqref="K97:K98">
    <cfRule type="cellIs" dxfId="1193" priority="154" stopIfTrue="1" operator="equal">
      <formula>0</formula>
    </cfRule>
  </conditionalFormatting>
  <conditionalFormatting sqref="K96">
    <cfRule type="cellIs" dxfId="1192" priority="153" stopIfTrue="1" operator="equal">
      <formula>0</formula>
    </cfRule>
  </conditionalFormatting>
  <conditionalFormatting sqref="I68:I71">
    <cfRule type="cellIs" dxfId="1191" priority="151" stopIfTrue="1" operator="equal">
      <formula>0</formula>
    </cfRule>
  </conditionalFormatting>
  <conditionalFormatting sqref="H67">
    <cfRule type="cellIs" dxfId="1190" priority="150" stopIfTrue="1" operator="equal">
      <formula>0</formula>
    </cfRule>
  </conditionalFormatting>
  <conditionalFormatting sqref="H68:H71">
    <cfRule type="cellIs" dxfId="1189" priority="149" stopIfTrue="1" operator="equal">
      <formula>0</formula>
    </cfRule>
  </conditionalFormatting>
  <conditionalFormatting sqref="I76:I77">
    <cfRule type="cellIs" dxfId="1188" priority="148" stopIfTrue="1" operator="equal">
      <formula>0</formula>
    </cfRule>
  </conditionalFormatting>
  <conditionalFormatting sqref="I78">
    <cfRule type="cellIs" dxfId="1187" priority="147" stopIfTrue="1" operator="equal">
      <formula>0</formula>
    </cfRule>
  </conditionalFormatting>
  <conditionalFormatting sqref="H74">
    <cfRule type="cellIs" dxfId="1186" priority="146" stopIfTrue="1" operator="equal">
      <formula>0</formula>
    </cfRule>
  </conditionalFormatting>
  <conditionalFormatting sqref="H75:H78">
    <cfRule type="cellIs" dxfId="1185" priority="145" stopIfTrue="1" operator="equal">
      <formula>0</formula>
    </cfRule>
  </conditionalFormatting>
  <conditionalFormatting sqref="I75">
    <cfRule type="cellIs" dxfId="1184" priority="144" stopIfTrue="1" operator="equal">
      <formula>0</formula>
    </cfRule>
  </conditionalFormatting>
  <conditionalFormatting sqref="I90:I91">
    <cfRule type="cellIs" dxfId="1183" priority="143" stopIfTrue="1" operator="equal">
      <formula>0</formula>
    </cfRule>
  </conditionalFormatting>
  <conditionalFormatting sqref="I92">
    <cfRule type="cellIs" dxfId="1182" priority="142" stopIfTrue="1" operator="equal">
      <formula>0</formula>
    </cfRule>
  </conditionalFormatting>
  <conditionalFormatting sqref="H88">
    <cfRule type="cellIs" dxfId="1181" priority="141" stopIfTrue="1" operator="equal">
      <formula>0</formula>
    </cfRule>
  </conditionalFormatting>
  <conditionalFormatting sqref="H89:H92">
    <cfRule type="cellIs" dxfId="1180" priority="140" stopIfTrue="1" operator="equal">
      <formula>0</formula>
    </cfRule>
  </conditionalFormatting>
  <conditionalFormatting sqref="I89">
    <cfRule type="cellIs" dxfId="1179" priority="139" stopIfTrue="1" operator="equal">
      <formula>0</formula>
    </cfRule>
  </conditionalFormatting>
  <conditionalFormatting sqref="A103:C105 A110:C112 A117:C119 A124:C126 A131:C133 E111:E112 G111 E118:E119 G118 E125:E126 G125:G126 E132:E133 G132:G133 E103:E106 G103:G106 J118:J119 J132:J133 A101:M101 A108:M108 A115:M115 A122:M122 A129:M129">
    <cfRule type="cellIs" dxfId="1178" priority="138" stopIfTrue="1" operator="equal">
      <formula>0</formula>
    </cfRule>
  </conditionalFormatting>
  <conditionalFormatting sqref="A130:C130">
    <cfRule type="cellIs" dxfId="1177" priority="137" stopIfTrue="1" operator="equal">
      <formula>0</formula>
    </cfRule>
  </conditionalFormatting>
  <conditionalFormatting sqref="A134:C134">
    <cfRule type="cellIs" dxfId="1176" priority="136" stopIfTrue="1" operator="equal">
      <formula>0</formula>
    </cfRule>
  </conditionalFormatting>
  <conditionalFormatting sqref="A123:C123">
    <cfRule type="cellIs" dxfId="1175" priority="135" stopIfTrue="1" operator="equal">
      <formula>0</formula>
    </cfRule>
  </conditionalFormatting>
  <conditionalFormatting sqref="A127:C127">
    <cfRule type="cellIs" dxfId="1174" priority="134" stopIfTrue="1" operator="equal">
      <formula>0</formula>
    </cfRule>
  </conditionalFormatting>
  <conditionalFormatting sqref="A120:C120">
    <cfRule type="cellIs" dxfId="1173" priority="133" stopIfTrue="1" operator="equal">
      <formula>0</formula>
    </cfRule>
  </conditionalFormatting>
  <conditionalFormatting sqref="A116:C116">
    <cfRule type="cellIs" dxfId="1172" priority="132" stopIfTrue="1" operator="equal">
      <formula>0</formula>
    </cfRule>
  </conditionalFormatting>
  <conditionalFormatting sqref="A113:C113">
    <cfRule type="cellIs" dxfId="1171" priority="131" stopIfTrue="1" operator="equal">
      <formula>0</formula>
    </cfRule>
  </conditionalFormatting>
  <conditionalFormatting sqref="A109:C109">
    <cfRule type="cellIs" dxfId="1170" priority="130" stopIfTrue="1" operator="equal">
      <formula>0</formula>
    </cfRule>
  </conditionalFormatting>
  <conditionalFormatting sqref="A106:C106">
    <cfRule type="cellIs" dxfId="1169" priority="129" stopIfTrue="1" operator="equal">
      <formula>0</formula>
    </cfRule>
  </conditionalFormatting>
  <conditionalFormatting sqref="A102:C102">
    <cfRule type="cellIs" dxfId="1168" priority="128" stopIfTrue="1" operator="equal">
      <formula>0</formula>
    </cfRule>
  </conditionalFormatting>
  <conditionalFormatting sqref="E113">
    <cfRule type="cellIs" dxfId="1167" priority="127" stopIfTrue="1" operator="equal">
      <formula>0</formula>
    </cfRule>
  </conditionalFormatting>
  <conditionalFormatting sqref="E120">
    <cfRule type="cellIs" dxfId="1166" priority="126" stopIfTrue="1" operator="equal">
      <formula>0</formula>
    </cfRule>
  </conditionalFormatting>
  <conditionalFormatting sqref="J120">
    <cfRule type="cellIs" dxfId="1165" priority="125" stopIfTrue="1" operator="equal">
      <formula>0</formula>
    </cfRule>
  </conditionalFormatting>
  <conditionalFormatting sqref="J134">
    <cfRule type="cellIs" dxfId="1164" priority="124" stopIfTrue="1" operator="equal">
      <formula>0</formula>
    </cfRule>
  </conditionalFormatting>
  <conditionalFormatting sqref="D102">
    <cfRule type="cellIs" dxfId="1163" priority="123" stopIfTrue="1" operator="equal">
      <formula>0</formula>
    </cfRule>
  </conditionalFormatting>
  <conditionalFormatting sqref="D103:D106">
    <cfRule type="cellIs" dxfId="1162" priority="122" stopIfTrue="1" operator="equal">
      <formula>0</formula>
    </cfRule>
  </conditionalFormatting>
  <conditionalFormatting sqref="F102">
    <cfRule type="cellIs" dxfId="1161" priority="121" stopIfTrue="1" operator="equal">
      <formula>0</formula>
    </cfRule>
  </conditionalFormatting>
  <conditionalFormatting sqref="F103:F106">
    <cfRule type="cellIs" dxfId="1160" priority="120" stopIfTrue="1" operator="equal">
      <formula>0</formula>
    </cfRule>
  </conditionalFormatting>
  <conditionalFormatting sqref="D109">
    <cfRule type="cellIs" dxfId="1159" priority="119" stopIfTrue="1" operator="equal">
      <formula>0</formula>
    </cfRule>
  </conditionalFormatting>
  <conditionalFormatting sqref="D110:D113">
    <cfRule type="cellIs" dxfId="1158" priority="118" stopIfTrue="1" operator="equal">
      <formula>0</formula>
    </cfRule>
  </conditionalFormatting>
  <conditionalFormatting sqref="F109">
    <cfRule type="cellIs" dxfId="1157" priority="117" stopIfTrue="1" operator="equal">
      <formula>0</formula>
    </cfRule>
  </conditionalFormatting>
  <conditionalFormatting sqref="F111:F113">
    <cfRule type="cellIs" dxfId="1156" priority="116" stopIfTrue="1" operator="equal">
      <formula>0</formula>
    </cfRule>
  </conditionalFormatting>
  <conditionalFormatting sqref="D116">
    <cfRule type="cellIs" dxfId="1155" priority="115" stopIfTrue="1" operator="equal">
      <formula>0</formula>
    </cfRule>
  </conditionalFormatting>
  <conditionalFormatting sqref="D117:D120">
    <cfRule type="cellIs" dxfId="1154" priority="114" stopIfTrue="1" operator="equal">
      <formula>0</formula>
    </cfRule>
  </conditionalFormatting>
  <conditionalFormatting sqref="F116">
    <cfRule type="cellIs" dxfId="1153" priority="113" stopIfTrue="1" operator="equal">
      <formula>0</formula>
    </cfRule>
  </conditionalFormatting>
  <conditionalFormatting sqref="F123">
    <cfRule type="cellIs" dxfId="1152" priority="109" stopIfTrue="1" operator="equal">
      <formula>0</formula>
    </cfRule>
  </conditionalFormatting>
  <conditionalFormatting sqref="F125:F127">
    <cfRule type="cellIs" dxfId="1151" priority="108" stopIfTrue="1" operator="equal">
      <formula>0</formula>
    </cfRule>
  </conditionalFormatting>
  <conditionalFormatting sqref="D130">
    <cfRule type="cellIs" dxfId="1150" priority="107" stopIfTrue="1" operator="equal">
      <formula>0</formula>
    </cfRule>
  </conditionalFormatting>
  <conditionalFormatting sqref="D131:D134">
    <cfRule type="cellIs" dxfId="1149" priority="106" stopIfTrue="1" operator="equal">
      <formula>0</formula>
    </cfRule>
  </conditionalFormatting>
  <conditionalFormatting sqref="F130">
    <cfRule type="cellIs" dxfId="1148" priority="105" stopIfTrue="1" operator="equal">
      <formula>0</formula>
    </cfRule>
  </conditionalFormatting>
  <conditionalFormatting sqref="F132:F134">
    <cfRule type="cellIs" dxfId="1147" priority="104" stopIfTrue="1" operator="equal">
      <formula>0</formula>
    </cfRule>
  </conditionalFormatting>
  <conditionalFormatting sqref="E131 G131 E124 G124 E117 G117 E110 G110 J117 J131">
    <cfRule type="cellIs" dxfId="1146" priority="103" stopIfTrue="1" operator="equal">
      <formula>0</formula>
    </cfRule>
  </conditionalFormatting>
  <conditionalFormatting sqref="F131 F117">
    <cfRule type="cellIs" dxfId="1145" priority="102" stopIfTrue="1" operator="equal">
      <formula>0</formula>
    </cfRule>
  </conditionalFormatting>
  <conditionalFormatting sqref="G112">
    <cfRule type="cellIs" dxfId="1144" priority="101" stopIfTrue="1" operator="equal">
      <formula>0</formula>
    </cfRule>
  </conditionalFormatting>
  <conditionalFormatting sqref="G113">
    <cfRule type="cellIs" dxfId="1143" priority="100" stopIfTrue="1" operator="equal">
      <formula>0</formula>
    </cfRule>
  </conditionalFormatting>
  <conditionalFormatting sqref="G119">
    <cfRule type="cellIs" dxfId="1142" priority="99" stopIfTrue="1" operator="equal">
      <formula>0</formula>
    </cfRule>
  </conditionalFormatting>
  <conditionalFormatting sqref="G120">
    <cfRule type="cellIs" dxfId="1141" priority="98" stopIfTrue="1" operator="equal">
      <formula>0</formula>
    </cfRule>
  </conditionalFormatting>
  <conditionalFormatting sqref="I103:I106">
    <cfRule type="cellIs" dxfId="1140" priority="97" stopIfTrue="1" operator="equal">
      <formula>0</formula>
    </cfRule>
  </conditionalFormatting>
  <conditionalFormatting sqref="H102">
    <cfRule type="cellIs" dxfId="1139" priority="96" stopIfTrue="1" operator="equal">
      <formula>0</formula>
    </cfRule>
  </conditionalFormatting>
  <conditionalFormatting sqref="H103:H106">
    <cfRule type="cellIs" dxfId="1138" priority="95" stopIfTrue="1" operator="equal">
      <formula>0</formula>
    </cfRule>
  </conditionalFormatting>
  <conditionalFormatting sqref="K103:K106">
    <cfRule type="cellIs" dxfId="1137" priority="94" stopIfTrue="1" operator="equal">
      <formula>0</formula>
    </cfRule>
  </conditionalFormatting>
  <conditionalFormatting sqref="J102">
    <cfRule type="cellIs" dxfId="1136" priority="93" stopIfTrue="1" operator="equal">
      <formula>0</formula>
    </cfRule>
  </conditionalFormatting>
  <conditionalFormatting sqref="J103:J106">
    <cfRule type="cellIs" dxfId="1135" priority="92" stopIfTrue="1" operator="equal">
      <formula>0</formula>
    </cfRule>
  </conditionalFormatting>
  <conditionalFormatting sqref="I111:I112">
    <cfRule type="cellIs" dxfId="1134" priority="91" stopIfTrue="1" operator="equal">
      <formula>0</formula>
    </cfRule>
  </conditionalFormatting>
  <conditionalFormatting sqref="I113">
    <cfRule type="cellIs" dxfId="1133" priority="90" stopIfTrue="1" operator="equal">
      <formula>0</formula>
    </cfRule>
  </conditionalFormatting>
  <conditionalFormatting sqref="H109">
    <cfRule type="cellIs" dxfId="1132" priority="89" stopIfTrue="1" operator="equal">
      <formula>0</formula>
    </cfRule>
  </conditionalFormatting>
  <conditionalFormatting sqref="H110:H113">
    <cfRule type="cellIs" dxfId="1131" priority="88" stopIfTrue="1" operator="equal">
      <formula>0</formula>
    </cfRule>
  </conditionalFormatting>
  <conditionalFormatting sqref="I110">
    <cfRule type="cellIs" dxfId="1130" priority="87" stopIfTrue="1" operator="equal">
      <formula>0</formula>
    </cfRule>
  </conditionalFormatting>
  <conditionalFormatting sqref="K111:K112">
    <cfRule type="cellIs" dxfId="1129" priority="86" stopIfTrue="1" operator="equal">
      <formula>0</formula>
    </cfRule>
  </conditionalFormatting>
  <conditionalFormatting sqref="K113">
    <cfRule type="cellIs" dxfId="1128" priority="85" stopIfTrue="1" operator="equal">
      <formula>0</formula>
    </cfRule>
  </conditionalFormatting>
  <conditionalFormatting sqref="J109">
    <cfRule type="cellIs" dxfId="1127" priority="84" stopIfTrue="1" operator="equal">
      <formula>0</formula>
    </cfRule>
  </conditionalFormatting>
  <conditionalFormatting sqref="J111:J113">
    <cfRule type="cellIs" dxfId="1126" priority="83" stopIfTrue="1" operator="equal">
      <formula>0</formula>
    </cfRule>
  </conditionalFormatting>
  <conditionalFormatting sqref="K110">
    <cfRule type="cellIs" dxfId="1125" priority="82" stopIfTrue="1" operator="equal">
      <formula>0</formula>
    </cfRule>
  </conditionalFormatting>
  <conditionalFormatting sqref="J110">
    <cfRule type="cellIs" dxfId="1124" priority="81" stopIfTrue="1" operator="equal">
      <formula>0</formula>
    </cfRule>
  </conditionalFormatting>
  <conditionalFormatting sqref="I118:I119">
    <cfRule type="cellIs" dxfId="1123" priority="80" stopIfTrue="1" operator="equal">
      <formula>0</formula>
    </cfRule>
  </conditionalFormatting>
  <conditionalFormatting sqref="I120">
    <cfRule type="cellIs" dxfId="1122" priority="79" stopIfTrue="1" operator="equal">
      <formula>0</formula>
    </cfRule>
  </conditionalFormatting>
  <conditionalFormatting sqref="H116">
    <cfRule type="cellIs" dxfId="1121" priority="78" stopIfTrue="1" operator="equal">
      <formula>0</formula>
    </cfRule>
  </conditionalFormatting>
  <conditionalFormatting sqref="H117:H120">
    <cfRule type="cellIs" dxfId="1120" priority="77" stopIfTrue="1" operator="equal">
      <formula>0</formula>
    </cfRule>
  </conditionalFormatting>
  <conditionalFormatting sqref="I117">
    <cfRule type="cellIs" dxfId="1119" priority="76" stopIfTrue="1" operator="equal">
      <formula>0</formula>
    </cfRule>
  </conditionalFormatting>
  <conditionalFormatting sqref="L116">
    <cfRule type="cellIs" dxfId="1118" priority="75" stopIfTrue="1" operator="equal">
      <formula>0</formula>
    </cfRule>
  </conditionalFormatting>
  <conditionalFormatting sqref="L117:L120">
    <cfRule type="cellIs" dxfId="1117" priority="74" stopIfTrue="1" operator="equal">
      <formula>0</formula>
    </cfRule>
  </conditionalFormatting>
  <conditionalFormatting sqref="K118:K119">
    <cfRule type="cellIs" dxfId="1116" priority="73" stopIfTrue="1" operator="equal">
      <formula>0</formula>
    </cfRule>
  </conditionalFormatting>
  <conditionalFormatting sqref="K117">
    <cfRule type="cellIs" dxfId="1115" priority="72" stopIfTrue="1" operator="equal">
      <formula>0</formula>
    </cfRule>
  </conditionalFormatting>
  <conditionalFormatting sqref="K120">
    <cfRule type="cellIs" dxfId="1114" priority="71" stopIfTrue="1" operator="equal">
      <formula>0</formula>
    </cfRule>
  </conditionalFormatting>
  <conditionalFormatting sqref="E127">
    <cfRule type="cellIs" dxfId="1113" priority="70" stopIfTrue="1" operator="equal">
      <formula>0</formula>
    </cfRule>
  </conditionalFormatting>
  <conditionalFormatting sqref="G127">
    <cfRule type="cellIs" dxfId="1112" priority="69" stopIfTrue="1" operator="equal">
      <formula>0</formula>
    </cfRule>
  </conditionalFormatting>
  <conditionalFormatting sqref="E134">
    <cfRule type="cellIs" dxfId="1111" priority="68" stopIfTrue="1" operator="equal">
      <formula>0</formula>
    </cfRule>
  </conditionalFormatting>
  <conditionalFormatting sqref="G134">
    <cfRule type="cellIs" dxfId="1110" priority="67" stopIfTrue="1" operator="equal">
      <formula>0</formula>
    </cfRule>
  </conditionalFormatting>
  <conditionalFormatting sqref="I125:I126">
    <cfRule type="cellIs" dxfId="1109" priority="66" stopIfTrue="1" operator="equal">
      <formula>0</formula>
    </cfRule>
  </conditionalFormatting>
  <conditionalFormatting sqref="H123">
    <cfRule type="cellIs" dxfId="1108" priority="65" stopIfTrue="1" operator="equal">
      <formula>0</formula>
    </cfRule>
  </conditionalFormatting>
  <conditionalFormatting sqref="H124:H127">
    <cfRule type="cellIs" dxfId="1107" priority="64" stopIfTrue="1" operator="equal">
      <formula>0</formula>
    </cfRule>
  </conditionalFormatting>
  <conditionalFormatting sqref="I124">
    <cfRule type="cellIs" dxfId="1106" priority="63" stopIfTrue="1" operator="equal">
      <formula>0</formula>
    </cfRule>
  </conditionalFormatting>
  <conditionalFormatting sqref="I127">
    <cfRule type="cellIs" dxfId="1105" priority="62" stopIfTrue="1" operator="equal">
      <formula>0</formula>
    </cfRule>
  </conditionalFormatting>
  <conditionalFormatting sqref="K125:K126">
    <cfRule type="cellIs" dxfId="1104" priority="61" stopIfTrue="1" operator="equal">
      <formula>0</formula>
    </cfRule>
  </conditionalFormatting>
  <conditionalFormatting sqref="K127">
    <cfRule type="cellIs" dxfId="1103" priority="60" stopIfTrue="1" operator="equal">
      <formula>0</formula>
    </cfRule>
  </conditionalFormatting>
  <conditionalFormatting sqref="J123">
    <cfRule type="cellIs" dxfId="1102" priority="59" stopIfTrue="1" operator="equal">
      <formula>0</formula>
    </cfRule>
  </conditionalFormatting>
  <conditionalFormatting sqref="J125:J127">
    <cfRule type="cellIs" dxfId="1101" priority="58" stopIfTrue="1" operator="equal">
      <formula>0</formula>
    </cfRule>
  </conditionalFormatting>
  <conditionalFormatting sqref="K124">
    <cfRule type="cellIs" dxfId="1100" priority="57" stopIfTrue="1" operator="equal">
      <formula>0</formula>
    </cfRule>
  </conditionalFormatting>
  <conditionalFormatting sqref="J124">
    <cfRule type="cellIs" dxfId="1099" priority="56" stopIfTrue="1" operator="equal">
      <formula>0</formula>
    </cfRule>
  </conditionalFormatting>
  <conditionalFormatting sqref="I132:I133">
    <cfRule type="cellIs" dxfId="1098" priority="55" stopIfTrue="1" operator="equal">
      <formula>0</formula>
    </cfRule>
  </conditionalFormatting>
  <conditionalFormatting sqref="I134">
    <cfRule type="cellIs" dxfId="1097" priority="54" stopIfTrue="1" operator="equal">
      <formula>0</formula>
    </cfRule>
  </conditionalFormatting>
  <conditionalFormatting sqref="H130">
    <cfRule type="cellIs" dxfId="1096" priority="53" stopIfTrue="1" operator="equal">
      <formula>0</formula>
    </cfRule>
  </conditionalFormatting>
  <conditionalFormatting sqref="H131:H134">
    <cfRule type="cellIs" dxfId="1095" priority="52" stopIfTrue="1" operator="equal">
      <formula>0</formula>
    </cfRule>
  </conditionalFormatting>
  <conditionalFormatting sqref="I131">
    <cfRule type="cellIs" dxfId="1094" priority="51" stopIfTrue="1" operator="equal">
      <formula>0</formula>
    </cfRule>
  </conditionalFormatting>
  <conditionalFormatting sqref="K132:K133">
    <cfRule type="cellIs" dxfId="1093" priority="50" stopIfTrue="1" operator="equal">
      <formula>0</formula>
    </cfRule>
  </conditionalFormatting>
  <conditionalFormatting sqref="K134">
    <cfRule type="cellIs" dxfId="1092" priority="49" stopIfTrue="1" operator="equal">
      <formula>0</formula>
    </cfRule>
  </conditionalFormatting>
  <conditionalFormatting sqref="K131">
    <cfRule type="cellIs" dxfId="1091" priority="48" stopIfTrue="1" operator="equal">
      <formula>0</formula>
    </cfRule>
  </conditionalFormatting>
  <conditionalFormatting sqref="F110">
    <cfRule type="cellIs" dxfId="1090" priority="47" stopIfTrue="1" operator="equal">
      <formula>0</formula>
    </cfRule>
  </conditionalFormatting>
  <conditionalFormatting sqref="F124">
    <cfRule type="cellIs" dxfId="1089" priority="46" stopIfTrue="1" operator="equal">
      <formula>0</formula>
    </cfRule>
  </conditionalFormatting>
  <conditionalFormatting sqref="M37">
    <cfRule type="cellIs" dxfId="1088" priority="45" stopIfTrue="1" operator="equal">
      <formula>0</formula>
    </cfRule>
  </conditionalFormatting>
  <conditionalFormatting sqref="D37">
    <cfRule type="cellIs" dxfId="1087" priority="44" stopIfTrue="1" operator="equal">
      <formula>0</formula>
    </cfRule>
  </conditionalFormatting>
  <conditionalFormatting sqref="F37">
    <cfRule type="cellIs" dxfId="1086" priority="43" stopIfTrue="1" operator="equal">
      <formula>0</formula>
    </cfRule>
  </conditionalFormatting>
  <conditionalFormatting sqref="M44">
    <cfRule type="cellIs" dxfId="1085" priority="42" stopIfTrue="1" operator="equal">
      <formula>0</formula>
    </cfRule>
  </conditionalFormatting>
  <conditionalFormatting sqref="D44">
    <cfRule type="cellIs" dxfId="1084" priority="41" stopIfTrue="1" operator="equal">
      <formula>0</formula>
    </cfRule>
  </conditionalFormatting>
  <conditionalFormatting sqref="F44">
    <cfRule type="cellIs" dxfId="1083" priority="40" stopIfTrue="1" operator="equal">
      <formula>0</formula>
    </cfRule>
  </conditionalFormatting>
  <conditionalFormatting sqref="M51">
    <cfRule type="cellIs" dxfId="1082" priority="39" stopIfTrue="1" operator="equal">
      <formula>0</formula>
    </cfRule>
  </conditionalFormatting>
  <conditionalFormatting sqref="D51">
    <cfRule type="cellIs" dxfId="1081" priority="38" stopIfTrue="1" operator="equal">
      <formula>0</formula>
    </cfRule>
  </conditionalFormatting>
  <conditionalFormatting sqref="F51">
    <cfRule type="cellIs" dxfId="1080" priority="37" stopIfTrue="1" operator="equal">
      <formula>0</formula>
    </cfRule>
  </conditionalFormatting>
  <conditionalFormatting sqref="M58">
    <cfRule type="cellIs" dxfId="1079" priority="36" stopIfTrue="1" operator="equal">
      <formula>0</formula>
    </cfRule>
  </conditionalFormatting>
  <conditionalFormatting sqref="D58">
    <cfRule type="cellIs" dxfId="1078" priority="35" stopIfTrue="1" operator="equal">
      <formula>0</formula>
    </cfRule>
  </conditionalFormatting>
  <conditionalFormatting sqref="F58">
    <cfRule type="cellIs" dxfId="1077" priority="34" stopIfTrue="1" operator="equal">
      <formula>0</formula>
    </cfRule>
  </conditionalFormatting>
  <conditionalFormatting sqref="M65">
    <cfRule type="cellIs" dxfId="1076" priority="33" stopIfTrue="1" operator="equal">
      <formula>0</formula>
    </cfRule>
  </conditionalFormatting>
  <conditionalFormatting sqref="D65">
    <cfRule type="cellIs" dxfId="1075" priority="32" stopIfTrue="1" operator="equal">
      <formula>0</formula>
    </cfRule>
  </conditionalFormatting>
  <conditionalFormatting sqref="F65">
    <cfRule type="cellIs" dxfId="1074" priority="31" stopIfTrue="1" operator="equal">
      <formula>0</formula>
    </cfRule>
  </conditionalFormatting>
  <conditionalFormatting sqref="M72">
    <cfRule type="cellIs" dxfId="1073" priority="30" stopIfTrue="1" operator="equal">
      <formula>0</formula>
    </cfRule>
  </conditionalFormatting>
  <conditionalFormatting sqref="D72">
    <cfRule type="cellIs" dxfId="1072" priority="29" stopIfTrue="1" operator="equal">
      <formula>0</formula>
    </cfRule>
  </conditionalFormatting>
  <conditionalFormatting sqref="F72">
    <cfRule type="cellIs" dxfId="1071" priority="28" stopIfTrue="1" operator="equal">
      <formula>0</formula>
    </cfRule>
  </conditionalFormatting>
  <conditionalFormatting sqref="M79">
    <cfRule type="cellIs" dxfId="1070" priority="27" stopIfTrue="1" operator="equal">
      <formula>0</formula>
    </cfRule>
  </conditionalFormatting>
  <conditionalFormatting sqref="D79">
    <cfRule type="cellIs" dxfId="1069" priority="26" stopIfTrue="1" operator="equal">
      <formula>0</formula>
    </cfRule>
  </conditionalFormatting>
  <conditionalFormatting sqref="F79">
    <cfRule type="cellIs" dxfId="1068" priority="25" stopIfTrue="1" operator="equal">
      <formula>0</formula>
    </cfRule>
  </conditionalFormatting>
  <conditionalFormatting sqref="M86">
    <cfRule type="cellIs" dxfId="1067" priority="24" stopIfTrue="1" operator="equal">
      <formula>0</formula>
    </cfRule>
  </conditionalFormatting>
  <conditionalFormatting sqref="D86">
    <cfRule type="cellIs" dxfId="1066" priority="23" stopIfTrue="1" operator="equal">
      <formula>0</formula>
    </cfRule>
  </conditionalFormatting>
  <conditionalFormatting sqref="F86">
    <cfRule type="cellIs" dxfId="1065" priority="22" stopIfTrue="1" operator="equal">
      <formula>0</formula>
    </cfRule>
  </conditionalFormatting>
  <conditionalFormatting sqref="M93">
    <cfRule type="cellIs" dxfId="1064" priority="21" stopIfTrue="1" operator="equal">
      <formula>0</formula>
    </cfRule>
  </conditionalFormatting>
  <conditionalFormatting sqref="D93">
    <cfRule type="cellIs" dxfId="1063" priority="20" stopIfTrue="1" operator="equal">
      <formula>0</formula>
    </cfRule>
  </conditionalFormatting>
  <conditionalFormatting sqref="F93">
    <cfRule type="cellIs" dxfId="1062" priority="19" stopIfTrue="1" operator="equal">
      <formula>0</formula>
    </cfRule>
  </conditionalFormatting>
  <conditionalFormatting sqref="M100">
    <cfRule type="cellIs" dxfId="1061" priority="18" stopIfTrue="1" operator="equal">
      <formula>0</formula>
    </cfRule>
  </conditionalFormatting>
  <conditionalFormatting sqref="D100">
    <cfRule type="cellIs" dxfId="1060" priority="17" stopIfTrue="1" operator="equal">
      <formula>0</formula>
    </cfRule>
  </conditionalFormatting>
  <conditionalFormatting sqref="F100">
    <cfRule type="cellIs" dxfId="1059" priority="16" stopIfTrue="1" operator="equal">
      <formula>0</formula>
    </cfRule>
  </conditionalFormatting>
  <conditionalFormatting sqref="M107">
    <cfRule type="cellIs" dxfId="1058" priority="15" stopIfTrue="1" operator="equal">
      <formula>0</formula>
    </cfRule>
  </conditionalFormatting>
  <conditionalFormatting sqref="D107">
    <cfRule type="cellIs" dxfId="1057" priority="14" stopIfTrue="1" operator="equal">
      <formula>0</formula>
    </cfRule>
  </conditionalFormatting>
  <conditionalFormatting sqref="F107">
    <cfRule type="cellIs" dxfId="1056" priority="13" stopIfTrue="1" operator="equal">
      <formula>0</formula>
    </cfRule>
  </conditionalFormatting>
  <conditionalFormatting sqref="M114">
    <cfRule type="cellIs" dxfId="1055" priority="12" stopIfTrue="1" operator="equal">
      <formula>0</formula>
    </cfRule>
  </conditionalFormatting>
  <conditionalFormatting sqref="D114">
    <cfRule type="cellIs" dxfId="1054" priority="11" stopIfTrue="1" operator="equal">
      <formula>0</formula>
    </cfRule>
  </conditionalFormatting>
  <conditionalFormatting sqref="F114">
    <cfRule type="cellIs" dxfId="1053" priority="10" stopIfTrue="1" operator="equal">
      <formula>0</formula>
    </cfRule>
  </conditionalFormatting>
  <conditionalFormatting sqref="M121">
    <cfRule type="cellIs" dxfId="1052" priority="9" stopIfTrue="1" operator="equal">
      <formula>0</formula>
    </cfRule>
  </conditionalFormatting>
  <conditionalFormatting sqref="D121">
    <cfRule type="cellIs" dxfId="1051" priority="8" stopIfTrue="1" operator="equal">
      <formula>0</formula>
    </cfRule>
  </conditionalFormatting>
  <conditionalFormatting sqref="F121">
    <cfRule type="cellIs" dxfId="1050" priority="7" stopIfTrue="1" operator="equal">
      <formula>0</formula>
    </cfRule>
  </conditionalFormatting>
  <conditionalFormatting sqref="M128">
    <cfRule type="cellIs" dxfId="1049" priority="6" stopIfTrue="1" operator="equal">
      <formula>0</formula>
    </cfRule>
  </conditionalFormatting>
  <conditionalFormatting sqref="D128">
    <cfRule type="cellIs" dxfId="1048" priority="5" stopIfTrue="1" operator="equal">
      <formula>0</formula>
    </cfRule>
  </conditionalFormatting>
  <conditionalFormatting sqref="F128">
    <cfRule type="cellIs" dxfId="1047" priority="4" stopIfTrue="1" operator="equal">
      <formula>0</formula>
    </cfRule>
  </conditionalFormatting>
  <conditionalFormatting sqref="F135">
    <cfRule type="cellIs" dxfId="1046" priority="1" stopIfTrue="1" operator="equal">
      <formula>0</formula>
    </cfRule>
  </conditionalFormatting>
  <conditionalFormatting sqref="M135">
    <cfRule type="cellIs" dxfId="1045" priority="3" stopIfTrue="1" operator="equal">
      <formula>0</formula>
    </cfRule>
  </conditionalFormatting>
  <conditionalFormatting sqref="D135">
    <cfRule type="cellIs" dxfId="1044" priority="2" stopIfTrue="1" operator="equal">
      <formula>0</formula>
    </cfRule>
  </conditionalFormatting>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07779-B057-3B47-A794-7B42C2E9FE15}">
  <dimension ref="A1:C72"/>
  <sheetViews>
    <sheetView zoomScaleNormal="100" workbookViewId="0">
      <selection activeCell="B5" sqref="B5"/>
    </sheetView>
  </sheetViews>
  <sheetFormatPr baseColWidth="10" defaultColWidth="8.83203125" defaultRowHeight="15" x14ac:dyDescent="0.2"/>
  <cols>
    <col min="1" max="1" width="8.83203125" style="487"/>
    <col min="2" max="2" width="134.5" style="487" customWidth="1"/>
    <col min="3" max="3" width="76.5" style="487" customWidth="1"/>
    <col min="4" max="16384" width="8.83203125" style="487"/>
  </cols>
  <sheetData>
    <row r="1" spans="1:3" x14ac:dyDescent="0.2">
      <c r="B1" s="488"/>
    </row>
    <row r="2" spans="1:3" x14ac:dyDescent="0.2">
      <c r="B2" s="488" t="s">
        <v>1817</v>
      </c>
    </row>
    <row r="3" spans="1:3" x14ac:dyDescent="0.2">
      <c r="B3" s="488" t="s">
        <v>1886</v>
      </c>
    </row>
    <row r="5" spans="1:3" ht="16" thickBot="1" x14ac:dyDescent="0.25">
      <c r="A5" s="489" t="s">
        <v>1818</v>
      </c>
      <c r="B5" s="489" t="s">
        <v>1887</v>
      </c>
      <c r="C5" s="489" t="s">
        <v>1888</v>
      </c>
    </row>
    <row r="6" spans="1:3" ht="33" thickTop="1" x14ac:dyDescent="0.2">
      <c r="A6" s="490">
        <v>1</v>
      </c>
      <c r="B6" s="491" t="s">
        <v>1819</v>
      </c>
      <c r="C6" s="494" t="s">
        <v>1889</v>
      </c>
    </row>
    <row r="7" spans="1:3" ht="51" x14ac:dyDescent="0.2">
      <c r="A7" s="490">
        <v>2</v>
      </c>
      <c r="B7" s="492" t="s">
        <v>1820</v>
      </c>
      <c r="C7" s="494" t="s">
        <v>1892</v>
      </c>
    </row>
    <row r="8" spans="1:3" ht="51" customHeight="1" x14ac:dyDescent="0.2">
      <c r="A8" s="490">
        <v>3</v>
      </c>
      <c r="B8" s="493" t="s">
        <v>1821</v>
      </c>
      <c r="C8" s="505" t="s">
        <v>1905</v>
      </c>
    </row>
    <row r="9" spans="1:3" ht="19" customHeight="1" x14ac:dyDescent="0.2">
      <c r="A9" s="544">
        <v>4</v>
      </c>
      <c r="B9" s="495" t="s">
        <v>1822</v>
      </c>
      <c r="C9" s="545" t="s">
        <v>1893</v>
      </c>
    </row>
    <row r="10" spans="1:3" ht="19" customHeight="1" x14ac:dyDescent="0.2">
      <c r="A10" s="544"/>
      <c r="B10" s="497" t="s">
        <v>1823</v>
      </c>
      <c r="C10" s="545"/>
    </row>
    <row r="11" spans="1:3" ht="19" customHeight="1" x14ac:dyDescent="0.2">
      <c r="A11" s="544"/>
      <c r="B11" s="497" t="s">
        <v>1824</v>
      </c>
      <c r="C11" s="545"/>
    </row>
    <row r="12" spans="1:3" ht="19" customHeight="1" x14ac:dyDescent="0.2">
      <c r="A12" s="544"/>
      <c r="B12" s="498" t="s">
        <v>1825</v>
      </c>
      <c r="C12" s="545"/>
    </row>
    <row r="13" spans="1:3" ht="19" customHeight="1" x14ac:dyDescent="0.2">
      <c r="A13" s="544"/>
      <c r="B13" s="498" t="s">
        <v>1826</v>
      </c>
      <c r="C13" s="545"/>
    </row>
    <row r="14" spans="1:3" ht="19" customHeight="1" x14ac:dyDescent="0.2">
      <c r="A14" s="544"/>
      <c r="B14" s="498" t="s">
        <v>1827</v>
      </c>
      <c r="C14" s="545"/>
    </row>
    <row r="15" spans="1:3" ht="19" customHeight="1" x14ac:dyDescent="0.2">
      <c r="A15" s="544"/>
      <c r="B15" s="498" t="s">
        <v>1828</v>
      </c>
      <c r="C15" s="545"/>
    </row>
    <row r="16" spans="1:3" ht="19" customHeight="1" x14ac:dyDescent="0.2">
      <c r="A16" s="544"/>
      <c r="B16" s="498" t="s">
        <v>1829</v>
      </c>
      <c r="C16" s="545"/>
    </row>
    <row r="17" spans="1:3" ht="19" customHeight="1" x14ac:dyDescent="0.2">
      <c r="A17" s="544"/>
      <c r="B17" s="498" t="s">
        <v>1830</v>
      </c>
      <c r="C17" s="545"/>
    </row>
    <row r="18" spans="1:3" ht="19" customHeight="1" x14ac:dyDescent="0.2">
      <c r="A18" s="544"/>
      <c r="B18" s="498" t="s">
        <v>1831</v>
      </c>
      <c r="C18" s="545"/>
    </row>
    <row r="19" spans="1:3" ht="19" customHeight="1" x14ac:dyDescent="0.2">
      <c r="A19" s="544">
        <v>5</v>
      </c>
      <c r="B19" s="495" t="s">
        <v>1832</v>
      </c>
      <c r="C19" s="545" t="s">
        <v>1894</v>
      </c>
    </row>
    <row r="20" spans="1:3" ht="19" customHeight="1" x14ac:dyDescent="0.2">
      <c r="A20" s="544"/>
      <c r="B20" s="499" t="s">
        <v>1833</v>
      </c>
      <c r="C20" s="545"/>
    </row>
    <row r="21" spans="1:3" ht="19" customHeight="1" x14ac:dyDescent="0.2">
      <c r="A21" s="544"/>
      <c r="B21" s="499" t="s">
        <v>1834</v>
      </c>
      <c r="C21" s="545"/>
    </row>
    <row r="22" spans="1:3" ht="19" customHeight="1" x14ac:dyDescent="0.2">
      <c r="A22" s="544">
        <v>6</v>
      </c>
      <c r="B22" s="495" t="s">
        <v>1835</v>
      </c>
      <c r="C22" s="545" t="s">
        <v>1836</v>
      </c>
    </row>
    <row r="23" spans="1:3" ht="19" customHeight="1" x14ac:dyDescent="0.2">
      <c r="A23" s="544"/>
      <c r="B23" s="497" t="s">
        <v>1837</v>
      </c>
      <c r="C23" s="545"/>
    </row>
    <row r="24" spans="1:3" ht="32" x14ac:dyDescent="0.2">
      <c r="A24" s="544"/>
      <c r="B24" s="500" t="s">
        <v>1838</v>
      </c>
      <c r="C24" s="545"/>
    </row>
    <row r="25" spans="1:3" ht="19" customHeight="1" x14ac:dyDescent="0.2">
      <c r="A25" s="544"/>
      <c r="B25" s="500" t="s">
        <v>1839</v>
      </c>
      <c r="C25" s="545"/>
    </row>
    <row r="26" spans="1:3" ht="19" customHeight="1" x14ac:dyDescent="0.2">
      <c r="A26" s="544">
        <v>7</v>
      </c>
      <c r="B26" s="497" t="s">
        <v>1840</v>
      </c>
      <c r="C26" s="545" t="s">
        <v>1841</v>
      </c>
    </row>
    <row r="27" spans="1:3" ht="32" x14ac:dyDescent="0.2">
      <c r="A27" s="544"/>
      <c r="B27" s="500" t="s">
        <v>1842</v>
      </c>
      <c r="C27" s="545"/>
    </row>
    <row r="28" spans="1:3" ht="16" x14ac:dyDescent="0.2">
      <c r="A28" s="544"/>
      <c r="B28" s="500" t="s">
        <v>1843</v>
      </c>
      <c r="C28" s="545"/>
    </row>
    <row r="29" spans="1:3" ht="48" x14ac:dyDescent="0.2">
      <c r="A29" s="544"/>
      <c r="B29" s="500" t="s">
        <v>1844</v>
      </c>
      <c r="C29" s="545"/>
    </row>
    <row r="30" spans="1:3" ht="32" x14ac:dyDescent="0.2">
      <c r="A30" s="490">
        <v>8</v>
      </c>
      <c r="B30" s="497" t="s">
        <v>1845</v>
      </c>
      <c r="C30" s="496" t="s">
        <v>1846</v>
      </c>
    </row>
    <row r="31" spans="1:3" ht="56" customHeight="1" x14ac:dyDescent="0.2">
      <c r="A31" s="544">
        <v>9</v>
      </c>
      <c r="B31" s="492" t="s">
        <v>1847</v>
      </c>
      <c r="C31" s="545" t="s">
        <v>1899</v>
      </c>
    </row>
    <row r="32" spans="1:3" ht="72.75" customHeight="1" x14ac:dyDescent="0.2">
      <c r="A32" s="544"/>
      <c r="B32" s="497" t="s">
        <v>1848</v>
      </c>
      <c r="C32" s="545"/>
    </row>
    <row r="33" spans="1:3" ht="52" customHeight="1" x14ac:dyDescent="0.2">
      <c r="A33" s="490">
        <v>10</v>
      </c>
      <c r="B33" s="497" t="s">
        <v>1849</v>
      </c>
      <c r="C33" s="496" t="s">
        <v>1900</v>
      </c>
    </row>
    <row r="34" spans="1:3" ht="65" customHeight="1" x14ac:dyDescent="0.2">
      <c r="A34" s="490">
        <v>11</v>
      </c>
      <c r="B34" s="497" t="s">
        <v>1850</v>
      </c>
      <c r="C34" s="514" t="s">
        <v>1929</v>
      </c>
    </row>
    <row r="35" spans="1:3" ht="19" customHeight="1" x14ac:dyDescent="0.2">
      <c r="A35" s="544">
        <v>12</v>
      </c>
      <c r="B35" s="495" t="s">
        <v>1851</v>
      </c>
      <c r="C35" s="545" t="s">
        <v>1852</v>
      </c>
    </row>
    <row r="36" spans="1:3" ht="19" customHeight="1" x14ac:dyDescent="0.2">
      <c r="A36" s="544"/>
      <c r="B36" s="497" t="s">
        <v>1853</v>
      </c>
      <c r="C36" s="545"/>
    </row>
    <row r="37" spans="1:3" ht="83" customHeight="1" x14ac:dyDescent="0.2">
      <c r="A37" s="490">
        <v>13</v>
      </c>
      <c r="B37" s="497" t="s">
        <v>1854</v>
      </c>
      <c r="C37" s="496" t="s">
        <v>1901</v>
      </c>
    </row>
    <row r="38" spans="1:3" ht="19" customHeight="1" x14ac:dyDescent="0.2">
      <c r="A38" s="544">
        <v>14</v>
      </c>
      <c r="B38" s="495" t="s">
        <v>1855</v>
      </c>
      <c r="C38" s="545" t="s">
        <v>1856</v>
      </c>
    </row>
    <row r="39" spans="1:3" ht="32" x14ac:dyDescent="0.2">
      <c r="A39" s="544"/>
      <c r="B39" s="497" t="s">
        <v>1857</v>
      </c>
      <c r="C39" s="545"/>
    </row>
    <row r="40" spans="1:3" ht="32" x14ac:dyDescent="0.2">
      <c r="A40" s="490">
        <v>15</v>
      </c>
      <c r="B40" s="497" t="s">
        <v>1858</v>
      </c>
      <c r="C40" s="491" t="s">
        <v>1902</v>
      </c>
    </row>
    <row r="41" spans="1:3" ht="19" customHeight="1" x14ac:dyDescent="0.2">
      <c r="A41" s="544">
        <v>16</v>
      </c>
      <c r="B41" s="497" t="s">
        <v>1859</v>
      </c>
      <c r="C41" s="545" t="s">
        <v>1860</v>
      </c>
    </row>
    <row r="42" spans="1:3" ht="19" customHeight="1" x14ac:dyDescent="0.2">
      <c r="A42" s="544"/>
      <c r="B42" s="500" t="s">
        <v>1861</v>
      </c>
      <c r="C42" s="545"/>
    </row>
    <row r="43" spans="1:3" ht="19" customHeight="1" x14ac:dyDescent="0.2">
      <c r="A43" s="544"/>
      <c r="B43" s="500" t="s">
        <v>1862</v>
      </c>
      <c r="C43" s="545"/>
    </row>
    <row r="44" spans="1:3" ht="19" customHeight="1" x14ac:dyDescent="0.2">
      <c r="A44" s="544">
        <v>17</v>
      </c>
      <c r="B44" s="495" t="s">
        <v>1863</v>
      </c>
      <c r="C44" s="545" t="s">
        <v>1903</v>
      </c>
    </row>
    <row r="45" spans="1:3" ht="19" customHeight="1" x14ac:dyDescent="0.2">
      <c r="A45" s="544"/>
      <c r="B45" s="497" t="s">
        <v>1864</v>
      </c>
      <c r="C45" s="545"/>
    </row>
    <row r="46" spans="1:3" ht="48" x14ac:dyDescent="0.2">
      <c r="A46" s="544"/>
      <c r="B46" s="497" t="s">
        <v>1865</v>
      </c>
      <c r="C46" s="545"/>
    </row>
    <row r="47" spans="1:3" ht="32" x14ac:dyDescent="0.2">
      <c r="A47" s="544"/>
      <c r="B47" s="497" t="s">
        <v>1866</v>
      </c>
      <c r="C47" s="545"/>
    </row>
    <row r="48" spans="1:3" ht="19" customHeight="1" x14ac:dyDescent="0.2">
      <c r="A48" s="544">
        <v>18</v>
      </c>
      <c r="B48" s="492" t="s">
        <v>1867</v>
      </c>
      <c r="C48" s="545" t="s">
        <v>1904</v>
      </c>
    </row>
    <row r="49" spans="1:3" ht="19" customHeight="1" x14ac:dyDescent="0.2">
      <c r="A49" s="544"/>
      <c r="B49" s="497" t="s">
        <v>1868</v>
      </c>
      <c r="C49" s="545"/>
    </row>
    <row r="50" spans="1:3" ht="19" customHeight="1" x14ac:dyDescent="0.2">
      <c r="A50" s="544"/>
      <c r="B50" s="501" t="s">
        <v>1869</v>
      </c>
      <c r="C50" s="545"/>
    </row>
    <row r="51" spans="1:3" ht="23" customHeight="1" x14ac:dyDescent="0.2">
      <c r="A51" s="544">
        <v>19</v>
      </c>
      <c r="B51" s="501" t="s">
        <v>1870</v>
      </c>
      <c r="C51" s="545"/>
    </row>
    <row r="52" spans="1:3" ht="33" customHeight="1" x14ac:dyDescent="0.2">
      <c r="A52" s="544"/>
      <c r="B52" s="497" t="s">
        <v>1871</v>
      </c>
      <c r="C52" s="545"/>
    </row>
    <row r="53" spans="1:3" ht="138" customHeight="1" x14ac:dyDescent="0.2">
      <c r="A53" s="490">
        <v>20</v>
      </c>
      <c r="B53" s="493" t="s">
        <v>1872</v>
      </c>
      <c r="C53" s="496" t="s">
        <v>1906</v>
      </c>
    </row>
    <row r="54" spans="1:3" ht="19" customHeight="1" x14ac:dyDescent="0.2">
      <c r="A54" s="544">
        <v>21</v>
      </c>
      <c r="B54" s="492" t="s">
        <v>1873</v>
      </c>
      <c r="C54" s="545" t="s">
        <v>1907</v>
      </c>
    </row>
    <row r="55" spans="1:3" ht="32" x14ac:dyDescent="0.2">
      <c r="A55" s="544"/>
      <c r="B55" s="497" t="s">
        <v>1874</v>
      </c>
      <c r="C55" s="545"/>
    </row>
    <row r="56" spans="1:3" ht="32" x14ac:dyDescent="0.2">
      <c r="A56" s="544"/>
      <c r="B56" s="497" t="s">
        <v>1875</v>
      </c>
      <c r="C56" s="545"/>
    </row>
    <row r="57" spans="1:3" ht="19" customHeight="1" x14ac:dyDescent="0.2">
      <c r="A57" s="544">
        <v>22</v>
      </c>
      <c r="B57" s="491" t="s">
        <v>1876</v>
      </c>
      <c r="C57" s="545" t="s">
        <v>1908</v>
      </c>
    </row>
    <row r="58" spans="1:3" ht="19" customHeight="1" x14ac:dyDescent="0.2">
      <c r="A58" s="544"/>
      <c r="B58" s="502" t="s">
        <v>1877</v>
      </c>
      <c r="C58" s="545"/>
    </row>
    <row r="59" spans="1:3" ht="19" customHeight="1" x14ac:dyDescent="0.2">
      <c r="A59" s="544"/>
      <c r="B59" s="500" t="s">
        <v>1878</v>
      </c>
      <c r="C59" s="545"/>
    </row>
    <row r="60" spans="1:3" ht="19" customHeight="1" x14ac:dyDescent="0.2">
      <c r="A60" s="544"/>
      <c r="B60" s="500" t="s">
        <v>1879</v>
      </c>
      <c r="C60" s="545"/>
    </row>
    <row r="61" spans="1:3" ht="48" x14ac:dyDescent="0.2">
      <c r="A61" s="490">
        <v>23</v>
      </c>
      <c r="B61" s="502" t="s">
        <v>1880</v>
      </c>
      <c r="C61" s="496" t="s">
        <v>1909</v>
      </c>
    </row>
    <row r="62" spans="1:3" ht="35.25" customHeight="1" x14ac:dyDescent="0.2">
      <c r="A62" s="490">
        <v>24</v>
      </c>
      <c r="B62" s="502" t="s">
        <v>1881</v>
      </c>
      <c r="C62" s="491" t="s">
        <v>1910</v>
      </c>
    </row>
    <row r="63" spans="1:3" ht="19" customHeight="1" x14ac:dyDescent="0.2">
      <c r="A63" s="544">
        <v>25</v>
      </c>
      <c r="B63" s="502" t="s">
        <v>1882</v>
      </c>
      <c r="C63" s="545" t="s">
        <v>1914</v>
      </c>
    </row>
    <row r="64" spans="1:3" ht="19" customHeight="1" x14ac:dyDescent="0.2">
      <c r="A64" s="544"/>
      <c r="B64" s="500" t="s">
        <v>1911</v>
      </c>
      <c r="C64" s="545"/>
    </row>
    <row r="65" spans="1:3" ht="19" customHeight="1" x14ac:dyDescent="0.2">
      <c r="A65" s="544"/>
      <c r="B65" s="500" t="s">
        <v>1883</v>
      </c>
      <c r="C65" s="545"/>
    </row>
    <row r="66" spans="1:3" ht="19" customHeight="1" x14ac:dyDescent="0.2">
      <c r="A66" s="544"/>
      <c r="B66" s="500" t="s">
        <v>1912</v>
      </c>
      <c r="C66" s="545"/>
    </row>
    <row r="67" spans="1:3" ht="30.75" customHeight="1" x14ac:dyDescent="0.2">
      <c r="A67" s="544"/>
      <c r="B67" s="500" t="s">
        <v>1913</v>
      </c>
      <c r="C67" s="545"/>
    </row>
    <row r="68" spans="1:3" ht="32" x14ac:dyDescent="0.2">
      <c r="A68" s="544"/>
      <c r="B68" s="541" t="s">
        <v>1949</v>
      </c>
      <c r="C68" s="545"/>
    </row>
    <row r="69" spans="1:3" ht="34.5" customHeight="1" x14ac:dyDescent="0.2">
      <c r="A69" s="490">
        <v>26</v>
      </c>
      <c r="B69" s="502" t="s">
        <v>1884</v>
      </c>
      <c r="C69" s="496" t="s">
        <v>1885</v>
      </c>
    </row>
    <row r="72" spans="1:3" x14ac:dyDescent="0.2">
      <c r="B72" s="488"/>
    </row>
  </sheetData>
  <mergeCells count="27">
    <mergeCell ref="A9:A18"/>
    <mergeCell ref="C9:C18"/>
    <mergeCell ref="A19:A21"/>
    <mergeCell ref="C19:C21"/>
    <mergeCell ref="A31:A32"/>
    <mergeCell ref="C31:C32"/>
    <mergeCell ref="A35:A36"/>
    <mergeCell ref="C35:C36"/>
    <mergeCell ref="A22:A25"/>
    <mergeCell ref="C22:C25"/>
    <mergeCell ref="A26:A29"/>
    <mergeCell ref="C26:C29"/>
    <mergeCell ref="A44:A47"/>
    <mergeCell ref="C44:C47"/>
    <mergeCell ref="A48:A50"/>
    <mergeCell ref="A38:A39"/>
    <mergeCell ref="C38:C39"/>
    <mergeCell ref="A41:A43"/>
    <mergeCell ref="C41:C43"/>
    <mergeCell ref="C48:C52"/>
    <mergeCell ref="A57:A60"/>
    <mergeCell ref="C57:C60"/>
    <mergeCell ref="A63:A68"/>
    <mergeCell ref="C63:C68"/>
    <mergeCell ref="A51:A52"/>
    <mergeCell ref="A54:A56"/>
    <mergeCell ref="C54:C5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CFE4-1D44-E442-8C9E-0B43A2133C1F}">
  <sheetPr>
    <tabColor rgb="FF00B0F0"/>
  </sheetPr>
  <dimension ref="A1:P135"/>
  <sheetViews>
    <sheetView workbookViewId="0">
      <selection sqref="A1:M1"/>
    </sheetView>
  </sheetViews>
  <sheetFormatPr baseColWidth="10" defaultColWidth="8.83203125" defaultRowHeight="15" x14ac:dyDescent="0.2"/>
  <cols>
    <col min="1" max="3" width="14.5" style="177" customWidth="1"/>
    <col min="4" max="4" width="3.33203125" style="177" customWidth="1"/>
    <col min="5" max="5" width="8.83203125" style="177"/>
    <col min="6" max="6" width="3.33203125" style="177" customWidth="1"/>
    <col min="7" max="7" width="8.83203125" style="177"/>
    <col min="8" max="8" width="3.33203125" style="177" customWidth="1"/>
    <col min="9" max="9" width="8.83203125" style="177"/>
    <col min="10" max="10" width="3.33203125" style="177" customWidth="1"/>
    <col min="11" max="11" width="8.83203125" style="177"/>
    <col min="12" max="12" width="3.33203125" style="177" customWidth="1"/>
    <col min="13" max="16384" width="8.83203125" style="177"/>
  </cols>
  <sheetData>
    <row r="1" spans="1:16" ht="19" x14ac:dyDescent="0.25">
      <c r="A1" s="587" t="s">
        <v>318</v>
      </c>
      <c r="B1" s="587"/>
      <c r="C1" s="587"/>
      <c r="D1" s="587"/>
      <c r="E1" s="587"/>
      <c r="F1" s="587"/>
      <c r="G1" s="587"/>
      <c r="H1" s="587"/>
      <c r="I1" s="587"/>
      <c r="J1" s="587"/>
      <c r="K1" s="587"/>
      <c r="L1" s="587"/>
      <c r="M1" s="587"/>
      <c r="P1" s="50" t="s">
        <v>314</v>
      </c>
    </row>
    <row r="2" spans="1:16" x14ac:dyDescent="0.2">
      <c r="A2" s="178" t="s">
        <v>112</v>
      </c>
      <c r="B2" s="588" t="s">
        <v>0</v>
      </c>
      <c r="C2" s="588"/>
      <c r="D2" s="588"/>
      <c r="E2" s="588"/>
      <c r="F2" s="179"/>
      <c r="G2" s="180"/>
      <c r="H2" s="180"/>
      <c r="I2" s="180"/>
      <c r="J2" s="180"/>
      <c r="K2" s="180"/>
      <c r="L2" s="180"/>
      <c r="M2" s="180"/>
      <c r="P2" s="150" t="s">
        <v>319</v>
      </c>
    </row>
    <row r="3" spans="1:16" x14ac:dyDescent="0.2">
      <c r="A3" s="178" t="s">
        <v>113</v>
      </c>
      <c r="B3" s="588" t="s">
        <v>114</v>
      </c>
      <c r="C3" s="588"/>
      <c r="D3" s="588"/>
      <c r="E3" s="588"/>
      <c r="F3" s="179"/>
      <c r="G3" s="180"/>
      <c r="H3" s="180"/>
      <c r="I3" s="180"/>
      <c r="J3" s="180"/>
      <c r="K3" s="180"/>
      <c r="L3" s="180"/>
      <c r="M3" s="180"/>
    </row>
    <row r="4" spans="1:16" x14ac:dyDescent="0.2">
      <c r="A4" s="178" t="s">
        <v>115</v>
      </c>
      <c r="B4" s="588" t="s">
        <v>4</v>
      </c>
      <c r="C4" s="588"/>
      <c r="D4" s="588"/>
      <c r="E4" s="588"/>
      <c r="F4" s="179"/>
      <c r="G4" s="180"/>
      <c r="H4" s="180"/>
      <c r="I4" s="180"/>
      <c r="J4" s="180"/>
      <c r="K4" s="180"/>
      <c r="L4" s="180"/>
      <c r="M4" s="180"/>
    </row>
    <row r="5" spans="1:16" x14ac:dyDescent="0.2">
      <c r="A5" s="181" t="s">
        <v>116</v>
      </c>
      <c r="B5" s="589" t="s">
        <v>117</v>
      </c>
      <c r="C5" s="589"/>
      <c r="D5" s="589"/>
      <c r="E5" s="589"/>
      <c r="F5" s="182"/>
      <c r="G5" s="180"/>
      <c r="H5" s="180"/>
      <c r="I5" s="180"/>
      <c r="J5" s="180"/>
      <c r="K5" s="180"/>
      <c r="L5" s="180"/>
      <c r="M5" s="180"/>
    </row>
    <row r="6" spans="1:16" x14ac:dyDescent="0.2">
      <c r="A6" s="183"/>
      <c r="B6" s="184"/>
      <c r="C6" s="183"/>
      <c r="D6" s="183"/>
      <c r="E6" s="183"/>
      <c r="F6" s="183"/>
      <c r="G6" s="180"/>
      <c r="H6" s="180"/>
      <c r="I6" s="180"/>
      <c r="J6" s="180"/>
      <c r="K6" s="180"/>
      <c r="L6" s="180"/>
      <c r="M6" s="180"/>
    </row>
    <row r="7" spans="1:16" x14ac:dyDescent="0.2">
      <c r="A7" s="590" t="s">
        <v>118</v>
      </c>
      <c r="B7" s="590"/>
      <c r="C7" s="590"/>
      <c r="D7" s="185"/>
      <c r="E7" s="591" t="s">
        <v>458</v>
      </c>
      <c r="F7" s="591"/>
      <c r="G7" s="591"/>
      <c r="H7" s="591"/>
      <c r="I7" s="591"/>
      <c r="J7" s="591"/>
      <c r="K7" s="591"/>
      <c r="L7" s="591"/>
      <c r="M7" s="591"/>
    </row>
    <row r="8" spans="1:16" x14ac:dyDescent="0.2">
      <c r="A8" s="582" t="s">
        <v>39</v>
      </c>
      <c r="B8" s="582"/>
      <c r="C8" s="582"/>
      <c r="D8" s="186"/>
      <c r="E8" s="187">
        <v>43684</v>
      </c>
      <c r="F8" s="187"/>
      <c r="G8" s="187">
        <v>43684</v>
      </c>
      <c r="H8" s="187"/>
      <c r="I8" s="187">
        <v>43684</v>
      </c>
      <c r="J8" s="187"/>
      <c r="K8" s="187">
        <v>43685</v>
      </c>
      <c r="L8" s="187"/>
      <c r="M8" s="180"/>
    </row>
    <row r="9" spans="1:16" x14ac:dyDescent="0.2">
      <c r="A9" s="582" t="s">
        <v>120</v>
      </c>
      <c r="B9" s="582"/>
      <c r="C9" s="582"/>
      <c r="D9" s="186"/>
      <c r="E9" s="188">
        <v>0.42152777777777778</v>
      </c>
      <c r="F9" s="188"/>
      <c r="G9" s="188">
        <v>0.51874999999999993</v>
      </c>
      <c r="H9" s="188"/>
      <c r="I9" s="188">
        <v>0.62847222222222221</v>
      </c>
      <c r="J9" s="188"/>
      <c r="K9" s="188">
        <v>0.37152777777777773</v>
      </c>
      <c r="L9" s="188"/>
      <c r="M9" s="180"/>
    </row>
    <row r="10" spans="1:16" x14ac:dyDescent="0.2">
      <c r="A10" s="582" t="s">
        <v>121</v>
      </c>
      <c r="B10" s="582"/>
      <c r="C10" s="582"/>
      <c r="D10" s="186"/>
      <c r="E10" s="188">
        <v>0.46319444444444402</v>
      </c>
      <c r="F10" s="188"/>
      <c r="G10" s="188">
        <v>0.54652777777777795</v>
      </c>
      <c r="H10" s="188"/>
      <c r="I10" s="188">
        <v>0.67013888888888895</v>
      </c>
      <c r="J10" s="188"/>
      <c r="K10" s="188">
        <v>0.41319444444444497</v>
      </c>
      <c r="L10" s="188"/>
      <c r="M10" s="180"/>
    </row>
    <row r="11" spans="1:16" x14ac:dyDescent="0.2">
      <c r="A11" s="186"/>
      <c r="B11" s="186"/>
      <c r="C11" s="186"/>
      <c r="D11" s="186"/>
      <c r="E11" s="189" t="s">
        <v>122</v>
      </c>
      <c r="F11" s="189"/>
      <c r="G11" s="189" t="s">
        <v>123</v>
      </c>
      <c r="H11" s="189"/>
      <c r="I11" s="189" t="s">
        <v>124</v>
      </c>
      <c r="J11" s="189"/>
      <c r="K11" s="189" t="s">
        <v>125</v>
      </c>
      <c r="L11" s="189"/>
      <c r="M11" s="189" t="s">
        <v>72</v>
      </c>
    </row>
    <row r="12" spans="1:16" x14ac:dyDescent="0.2">
      <c r="A12" s="584" t="s">
        <v>126</v>
      </c>
      <c r="B12" s="585"/>
      <c r="C12" s="585"/>
      <c r="D12" s="585"/>
      <c r="E12" s="585"/>
      <c r="F12" s="585"/>
      <c r="G12" s="585"/>
      <c r="H12" s="585"/>
      <c r="I12" s="585"/>
      <c r="J12" s="585"/>
      <c r="K12" s="585"/>
      <c r="L12" s="585"/>
      <c r="M12" s="586"/>
    </row>
    <row r="13" spans="1:16" x14ac:dyDescent="0.2">
      <c r="A13" s="582" t="s">
        <v>127</v>
      </c>
      <c r="B13" s="582"/>
      <c r="C13" s="582"/>
      <c r="D13" s="186"/>
      <c r="E13" s="190">
        <v>114</v>
      </c>
      <c r="F13" s="190"/>
      <c r="G13" s="190">
        <v>117</v>
      </c>
      <c r="H13" s="190"/>
      <c r="I13" s="190">
        <v>136</v>
      </c>
      <c r="J13" s="190"/>
      <c r="K13" s="190">
        <v>140</v>
      </c>
      <c r="L13" s="190"/>
      <c r="M13" s="191">
        <v>126.75</v>
      </c>
    </row>
    <row r="14" spans="1:16" x14ac:dyDescent="0.2">
      <c r="A14" s="582" t="s">
        <v>128</v>
      </c>
      <c r="B14" s="582"/>
      <c r="C14" s="582"/>
      <c r="D14" s="186"/>
      <c r="E14" s="83">
        <v>1.4E-2</v>
      </c>
      <c r="F14" s="84"/>
      <c r="G14" s="83">
        <v>1.4E-2</v>
      </c>
      <c r="H14" s="83"/>
      <c r="I14" s="83">
        <v>1.4E-2</v>
      </c>
      <c r="J14" s="83"/>
      <c r="K14" s="83">
        <v>1.4E-2</v>
      </c>
      <c r="L14" s="84"/>
      <c r="M14" s="192">
        <v>1.4E-2</v>
      </c>
    </row>
    <row r="15" spans="1:16" x14ac:dyDescent="0.2">
      <c r="A15" s="582" t="s">
        <v>129</v>
      </c>
      <c r="B15" s="582"/>
      <c r="C15" s="582"/>
      <c r="D15" s="186"/>
      <c r="E15" s="193">
        <v>29.83</v>
      </c>
      <c r="F15" s="193"/>
      <c r="G15" s="193">
        <v>29.83</v>
      </c>
      <c r="H15" s="193"/>
      <c r="I15" s="193">
        <v>29.83</v>
      </c>
      <c r="J15" s="193"/>
      <c r="K15" s="193">
        <v>29.83</v>
      </c>
      <c r="L15" s="193"/>
      <c r="M15" s="194">
        <v>29.83</v>
      </c>
    </row>
    <row r="16" spans="1:16" x14ac:dyDescent="0.2">
      <c r="A16" s="582" t="s">
        <v>130</v>
      </c>
      <c r="B16" s="582"/>
      <c r="C16" s="582"/>
      <c r="D16" s="186"/>
      <c r="E16" s="195">
        <v>1265.7639999999999</v>
      </c>
      <c r="F16" s="195"/>
      <c r="G16" s="195">
        <v>949.32399999999996</v>
      </c>
      <c r="H16" s="195"/>
      <c r="I16" s="195">
        <v>662.19399999999996</v>
      </c>
      <c r="J16" s="195"/>
      <c r="K16" s="195">
        <v>712.54100000000005</v>
      </c>
      <c r="L16" s="195"/>
      <c r="M16" s="196">
        <v>897.45574999999997</v>
      </c>
    </row>
    <row r="17" spans="1:13" x14ac:dyDescent="0.2">
      <c r="A17" s="582" t="s">
        <v>131</v>
      </c>
      <c r="B17" s="582"/>
      <c r="C17" s="582"/>
      <c r="D17" s="186"/>
      <c r="E17" s="197">
        <v>9.3949999999999996</v>
      </c>
      <c r="F17" s="197"/>
      <c r="G17" s="197">
        <v>10.413</v>
      </c>
      <c r="H17" s="197"/>
      <c r="I17" s="197">
        <v>11.281000000000001</v>
      </c>
      <c r="J17" s="197"/>
      <c r="K17" s="197">
        <v>11.09</v>
      </c>
      <c r="L17" s="197"/>
      <c r="M17" s="196">
        <v>10.544750000000001</v>
      </c>
    </row>
    <row r="18" spans="1:13" x14ac:dyDescent="0.2">
      <c r="A18" s="582" t="s">
        <v>132</v>
      </c>
      <c r="B18" s="582"/>
      <c r="C18" s="582"/>
      <c r="D18" s="186"/>
      <c r="E18" s="198">
        <v>84587</v>
      </c>
      <c r="F18" s="198"/>
      <c r="G18" s="198">
        <v>93757</v>
      </c>
      <c r="H18" s="198"/>
      <c r="I18" s="198">
        <v>101574</v>
      </c>
      <c r="J18" s="198"/>
      <c r="K18" s="198">
        <v>99849</v>
      </c>
      <c r="L18" s="198"/>
      <c r="M18" s="199">
        <v>94941.75</v>
      </c>
    </row>
    <row r="19" spans="1:13" x14ac:dyDescent="0.2">
      <c r="A19" s="582" t="s">
        <v>133</v>
      </c>
      <c r="B19" s="582"/>
      <c r="C19" s="582"/>
      <c r="D19" s="186"/>
      <c r="E19" s="198">
        <v>76464</v>
      </c>
      <c r="F19" s="198"/>
      <c r="G19" s="198">
        <v>84323</v>
      </c>
      <c r="H19" s="198"/>
      <c r="I19" s="198">
        <v>88456</v>
      </c>
      <c r="J19" s="198"/>
      <c r="K19" s="198">
        <v>86403</v>
      </c>
      <c r="L19" s="198"/>
      <c r="M19" s="199">
        <v>83911.5</v>
      </c>
    </row>
    <row r="20" spans="1:13" x14ac:dyDescent="0.2">
      <c r="A20" s="582" t="s">
        <v>134</v>
      </c>
      <c r="B20" s="582"/>
      <c r="C20" s="582"/>
      <c r="D20" s="186"/>
      <c r="E20" s="198">
        <v>77574</v>
      </c>
      <c r="F20" s="198"/>
      <c r="G20" s="198">
        <v>85536</v>
      </c>
      <c r="H20" s="198"/>
      <c r="I20" s="198">
        <v>89714</v>
      </c>
      <c r="J20" s="198"/>
      <c r="K20" s="198">
        <v>87602</v>
      </c>
      <c r="L20" s="198"/>
      <c r="M20" s="199">
        <v>85106.5</v>
      </c>
    </row>
    <row r="21" spans="1:13" x14ac:dyDescent="0.2">
      <c r="A21" s="582" t="s">
        <v>135</v>
      </c>
      <c r="B21" s="582"/>
      <c r="C21" s="582"/>
      <c r="D21" s="186"/>
      <c r="E21" s="190">
        <v>0</v>
      </c>
      <c r="F21" s="190"/>
      <c r="G21" s="190">
        <v>0</v>
      </c>
      <c r="H21" s="190"/>
      <c r="I21" s="190">
        <v>0</v>
      </c>
      <c r="J21" s="190"/>
      <c r="K21" s="190">
        <v>0</v>
      </c>
      <c r="L21" s="190"/>
      <c r="M21" s="191">
        <v>0</v>
      </c>
    </row>
    <row r="22" spans="1:13" x14ac:dyDescent="0.2">
      <c r="A22" s="582" t="s">
        <v>136</v>
      </c>
      <c r="B22" s="582"/>
      <c r="C22" s="582"/>
      <c r="D22" s="186"/>
      <c r="E22" s="190">
        <v>20.9</v>
      </c>
      <c r="F22" s="190"/>
      <c r="G22" s="190">
        <v>20.9</v>
      </c>
      <c r="H22" s="190"/>
      <c r="I22" s="190">
        <v>20.9</v>
      </c>
      <c r="J22" s="190"/>
      <c r="K22" s="190">
        <v>20.9</v>
      </c>
      <c r="L22" s="190"/>
      <c r="M22" s="191">
        <v>20.9</v>
      </c>
    </row>
    <row r="23" spans="1:13" x14ac:dyDescent="0.2">
      <c r="A23" s="582" t="s">
        <v>137</v>
      </c>
      <c r="B23" s="582"/>
      <c r="C23" s="582"/>
      <c r="D23" s="186"/>
      <c r="E23" s="190">
        <v>89.8</v>
      </c>
      <c r="F23" s="190"/>
      <c r="G23" s="190">
        <v>91.6</v>
      </c>
      <c r="H23" s="190"/>
      <c r="I23" s="190">
        <v>85.9</v>
      </c>
      <c r="J23" s="190"/>
      <c r="K23" s="190">
        <v>94.6</v>
      </c>
      <c r="L23" s="190"/>
      <c r="M23" s="191">
        <v>90.474999999999994</v>
      </c>
    </row>
    <row r="24" spans="1:13" x14ac:dyDescent="0.2">
      <c r="A24" s="582" t="s">
        <v>138</v>
      </c>
      <c r="B24" s="582"/>
      <c r="C24" s="582"/>
      <c r="D24" s="186"/>
      <c r="E24" s="200">
        <v>89</v>
      </c>
      <c r="F24" s="200"/>
      <c r="G24" s="200">
        <v>121</v>
      </c>
      <c r="H24" s="200"/>
      <c r="I24" s="200">
        <v>120</v>
      </c>
      <c r="J24" s="200"/>
      <c r="K24" s="200">
        <v>140</v>
      </c>
      <c r="L24" s="200"/>
      <c r="M24" s="191">
        <v>117.5</v>
      </c>
    </row>
    <row r="25" spans="1:13" hidden="1" x14ac:dyDescent="0.2">
      <c r="A25" s="583" t="s">
        <v>139</v>
      </c>
      <c r="B25" s="583" t="s">
        <v>140</v>
      </c>
      <c r="C25" s="583" t="s">
        <v>140</v>
      </c>
      <c r="D25" s="186"/>
      <c r="E25" s="201" t="s">
        <v>71</v>
      </c>
      <c r="F25" s="190"/>
      <c r="G25" s="201" t="s">
        <v>71</v>
      </c>
      <c r="H25" s="201"/>
      <c r="I25" s="201"/>
      <c r="J25" s="201"/>
      <c r="K25" s="201"/>
      <c r="L25" s="190"/>
      <c r="M25" s="202" t="e">
        <v>#REF!</v>
      </c>
    </row>
    <row r="26" spans="1:13" hidden="1" x14ac:dyDescent="0.2">
      <c r="A26" s="584" t="s">
        <v>141</v>
      </c>
      <c r="B26" s="585"/>
      <c r="C26" s="585"/>
      <c r="D26" s="585"/>
      <c r="E26" s="585"/>
      <c r="F26" s="585"/>
      <c r="G26" s="585"/>
      <c r="H26" s="585"/>
      <c r="I26" s="585"/>
      <c r="J26" s="585"/>
      <c r="K26" s="585"/>
      <c r="L26" s="585"/>
      <c r="M26" s="586"/>
    </row>
    <row r="27" spans="1:13" hidden="1" x14ac:dyDescent="0.2">
      <c r="A27" s="581" t="s">
        <v>142</v>
      </c>
      <c r="B27" s="581"/>
      <c r="C27" s="581"/>
      <c r="D27" s="203"/>
      <c r="E27" s="204">
        <v>2184.7999999999997</v>
      </c>
      <c r="F27" s="203"/>
      <c r="G27" s="205">
        <v>4327.5999999999995</v>
      </c>
      <c r="H27" s="194"/>
      <c r="I27" s="194"/>
      <c r="J27" s="194"/>
      <c r="K27" s="194"/>
      <c r="L27" s="203"/>
      <c r="M27" s="204" t="e">
        <v>#REF!</v>
      </c>
    </row>
    <row r="28" spans="1:13" hidden="1" x14ac:dyDescent="0.2">
      <c r="A28" s="582" t="s">
        <v>58</v>
      </c>
      <c r="B28" s="582"/>
      <c r="C28" s="582"/>
      <c r="D28" s="203"/>
      <c r="E28" s="206">
        <v>1.7500000000000002E-2</v>
      </c>
      <c r="F28" s="203"/>
      <c r="G28" s="206">
        <v>5.0799999999999998E-2</v>
      </c>
      <c r="H28" s="206"/>
      <c r="I28" s="206"/>
      <c r="J28" s="206"/>
      <c r="K28" s="206"/>
      <c r="L28" s="203"/>
      <c r="M28" s="207" t="e">
        <v>#REF!</v>
      </c>
    </row>
    <row r="29" spans="1:13" hidden="1" x14ac:dyDescent="0.2">
      <c r="A29" s="582" t="s">
        <v>143</v>
      </c>
      <c r="B29" s="582"/>
      <c r="C29" s="582"/>
      <c r="D29" s="208"/>
      <c r="E29" s="209">
        <v>0.19616</v>
      </c>
      <c r="F29" s="190"/>
      <c r="G29" s="209">
        <v>0.42021999999999998</v>
      </c>
      <c r="H29" s="209"/>
      <c r="I29" s="209"/>
      <c r="J29" s="209"/>
      <c r="K29" s="209"/>
      <c r="L29" s="200"/>
      <c r="M29" s="210" t="e">
        <v>#REF!</v>
      </c>
    </row>
    <row r="30" spans="1:13" hidden="1" x14ac:dyDescent="0.2">
      <c r="A30" s="582" t="s">
        <v>144</v>
      </c>
      <c r="B30" s="582"/>
      <c r="C30" s="582"/>
      <c r="D30" s="208"/>
      <c r="E30" s="211" t="e">
        <v>#DIV/0!</v>
      </c>
      <c r="F30" s="190"/>
      <c r="G30" s="211" t="e">
        <v>#VALUE!</v>
      </c>
      <c r="H30" s="211"/>
      <c r="I30" s="211"/>
      <c r="J30" s="211"/>
      <c r="K30" s="211"/>
      <c r="L30" s="200"/>
      <c r="M30" s="207" t="e">
        <v>#DIV/0!</v>
      </c>
    </row>
    <row r="31" spans="1:13" x14ac:dyDescent="0.2">
      <c r="A31" s="577" t="s">
        <v>145</v>
      </c>
      <c r="B31" s="578"/>
      <c r="C31" s="578"/>
      <c r="D31" s="578"/>
      <c r="E31" s="578"/>
      <c r="F31" s="578"/>
      <c r="G31" s="578"/>
      <c r="H31" s="578"/>
      <c r="I31" s="578"/>
      <c r="J31" s="578"/>
      <c r="K31" s="578"/>
      <c r="L31" s="578"/>
      <c r="M31" s="579"/>
    </row>
    <row r="32" spans="1:13" x14ac:dyDescent="0.2">
      <c r="A32" s="580" t="s">
        <v>142</v>
      </c>
      <c r="B32" s="580"/>
      <c r="C32" s="580"/>
      <c r="D32" s="212" t="s">
        <v>71</v>
      </c>
      <c r="E32" s="194">
        <v>230</v>
      </c>
      <c r="F32" s="212" t="s">
        <v>71</v>
      </c>
      <c r="G32" s="194">
        <v>220</v>
      </c>
      <c r="H32" s="212"/>
      <c r="I32" s="194">
        <v>340</v>
      </c>
      <c r="J32" s="213" t="s">
        <v>146</v>
      </c>
      <c r="K32" s="214">
        <v>180</v>
      </c>
      <c r="L32" s="212" t="s">
        <v>146</v>
      </c>
      <c r="M32" s="194">
        <v>242.5</v>
      </c>
    </row>
    <row r="33" spans="1:13" x14ac:dyDescent="0.2">
      <c r="A33" s="580" t="s">
        <v>147</v>
      </c>
      <c r="B33" s="580"/>
      <c r="C33" s="580"/>
      <c r="D33" s="212" t="s">
        <v>71</v>
      </c>
      <c r="E33" s="215">
        <v>5.7160000000000002</v>
      </c>
      <c r="F33" s="212" t="s">
        <v>71</v>
      </c>
      <c r="G33" s="215">
        <v>7.29</v>
      </c>
      <c r="H33" s="212"/>
      <c r="I33" s="215">
        <v>16.152999999999999</v>
      </c>
      <c r="J33" s="213" t="s">
        <v>146</v>
      </c>
      <c r="K33" s="216">
        <v>7.9470000000000001</v>
      </c>
      <c r="L33" s="212" t="s">
        <v>146</v>
      </c>
      <c r="M33" s="194">
        <v>9.2765000000000004</v>
      </c>
    </row>
    <row r="34" spans="1:13" x14ac:dyDescent="0.2">
      <c r="A34" s="580" t="s">
        <v>148</v>
      </c>
      <c r="B34" s="580"/>
      <c r="C34" s="580"/>
      <c r="D34" s="212" t="s">
        <v>71</v>
      </c>
      <c r="E34" s="215">
        <v>6.42</v>
      </c>
      <c r="F34" s="212" t="s">
        <v>71</v>
      </c>
      <c r="G34" s="215">
        <v>8.18</v>
      </c>
      <c r="H34" s="212"/>
      <c r="I34" s="215">
        <v>18.13</v>
      </c>
      <c r="J34" s="213" t="s">
        <v>146</v>
      </c>
      <c r="K34" s="216">
        <v>8.92</v>
      </c>
      <c r="L34" s="212" t="s">
        <v>146</v>
      </c>
      <c r="M34" s="194">
        <v>10.4125</v>
      </c>
    </row>
    <row r="35" spans="1:13" x14ac:dyDescent="0.2">
      <c r="A35" s="580" t="s">
        <v>58</v>
      </c>
      <c r="B35" s="580"/>
      <c r="C35" s="580"/>
      <c r="D35" s="212" t="s">
        <v>71</v>
      </c>
      <c r="E35" s="217">
        <v>1.838E-3</v>
      </c>
      <c r="F35" s="218" t="s">
        <v>71</v>
      </c>
      <c r="G35" s="217">
        <v>1.758E-3</v>
      </c>
      <c r="H35" s="212"/>
      <c r="I35" s="217">
        <v>6.0080000000000003E-3</v>
      </c>
      <c r="J35" s="219" t="s">
        <v>146</v>
      </c>
      <c r="K35" s="220">
        <v>2.8869999999999998E-3</v>
      </c>
      <c r="L35" s="218" t="s">
        <v>146</v>
      </c>
      <c r="M35" s="221">
        <v>3.1227500000000005E-3</v>
      </c>
    </row>
    <row r="36" spans="1:13" x14ac:dyDescent="0.2">
      <c r="A36" s="580" t="s">
        <v>149</v>
      </c>
      <c r="B36" s="580"/>
      <c r="C36" s="580"/>
      <c r="D36" s="212" t="s">
        <v>71</v>
      </c>
      <c r="E36" s="217">
        <v>2.0651685393258427E-5</v>
      </c>
      <c r="F36" s="218" t="s">
        <v>71</v>
      </c>
      <c r="G36" s="217">
        <v>1.452892561983471E-5</v>
      </c>
      <c r="H36" s="212"/>
      <c r="I36" s="217">
        <v>5.0066666666666666E-5</v>
      </c>
      <c r="J36" s="219" t="s">
        <v>146</v>
      </c>
      <c r="K36" s="220">
        <v>2.0621428571428571E-5</v>
      </c>
      <c r="L36" s="218" t="s">
        <v>146</v>
      </c>
      <c r="M36" s="221">
        <v>2.646717656279709E-5</v>
      </c>
    </row>
    <row r="37" spans="1:13" ht="15" customHeight="1" x14ac:dyDescent="0.2">
      <c r="A37" s="552" t="s">
        <v>150</v>
      </c>
      <c r="B37" s="552"/>
      <c r="C37" s="552"/>
      <c r="D37" s="212" t="s">
        <v>71</v>
      </c>
      <c r="E37" s="228">
        <f>E36</f>
        <v>2.0651685393258427E-5</v>
      </c>
      <c r="F37" s="228" t="str">
        <f t="shared" ref="F37:I37" si="0">F36</f>
        <v/>
      </c>
      <c r="G37" s="228">
        <f t="shared" si="0"/>
        <v>1.452892561983471E-5</v>
      </c>
      <c r="H37" s="228"/>
      <c r="I37" s="228">
        <f t="shared" si="0"/>
        <v>5.0066666666666666E-5</v>
      </c>
      <c r="J37" s="228"/>
      <c r="K37" s="228">
        <f>K36*0.5</f>
        <v>1.0310714285714285E-5</v>
      </c>
      <c r="L37" s="221"/>
      <c r="M37" s="114">
        <f>AVERAGE(E37,G37,I37,K37)</f>
        <v>2.3889497991368521E-5</v>
      </c>
    </row>
    <row r="38" spans="1:13" x14ac:dyDescent="0.2">
      <c r="A38" s="577" t="s">
        <v>151</v>
      </c>
      <c r="B38" s="578"/>
      <c r="C38" s="578"/>
      <c r="D38" s="578"/>
      <c r="E38" s="578"/>
      <c r="F38" s="578"/>
      <c r="G38" s="578"/>
      <c r="H38" s="578"/>
      <c r="I38" s="578"/>
      <c r="J38" s="578"/>
      <c r="K38" s="578"/>
      <c r="L38" s="578"/>
      <c r="M38" s="579"/>
    </row>
    <row r="39" spans="1:13" x14ac:dyDescent="0.2">
      <c r="A39" s="580" t="s">
        <v>142</v>
      </c>
      <c r="B39" s="580"/>
      <c r="C39" s="580"/>
      <c r="D39" s="212" t="s">
        <v>71</v>
      </c>
      <c r="E39" s="194">
        <v>8.1</v>
      </c>
      <c r="F39" s="212" t="s">
        <v>71</v>
      </c>
      <c r="G39" s="194">
        <v>23</v>
      </c>
      <c r="H39" s="212"/>
      <c r="I39" s="194">
        <v>31</v>
      </c>
      <c r="J39" s="212"/>
      <c r="K39" s="194">
        <v>13</v>
      </c>
      <c r="L39" s="212"/>
      <c r="M39" s="194">
        <v>18.774999999999999</v>
      </c>
    </row>
    <row r="40" spans="1:13" x14ac:dyDescent="0.2">
      <c r="A40" s="580" t="s">
        <v>147</v>
      </c>
      <c r="B40" s="580"/>
      <c r="C40" s="580"/>
      <c r="D40" s="212" t="s">
        <v>71</v>
      </c>
      <c r="E40" s="215">
        <v>4.4999999999999998E-2</v>
      </c>
      <c r="F40" s="212" t="s">
        <v>71</v>
      </c>
      <c r="G40" s="215">
        <v>0.16900000000000001</v>
      </c>
      <c r="H40" s="212"/>
      <c r="I40" s="215">
        <v>0.32600000000000001</v>
      </c>
      <c r="J40" s="212"/>
      <c r="K40" s="215">
        <v>0.127</v>
      </c>
      <c r="L40" s="212"/>
      <c r="M40" s="194">
        <v>0.16675000000000001</v>
      </c>
    </row>
    <row r="41" spans="1:13" x14ac:dyDescent="0.2">
      <c r="A41" s="580" t="s">
        <v>148</v>
      </c>
      <c r="B41" s="580"/>
      <c r="C41" s="580"/>
      <c r="D41" s="212" t="s">
        <v>71</v>
      </c>
      <c r="E41" s="215">
        <v>0.23</v>
      </c>
      <c r="F41" s="212" t="s">
        <v>71</v>
      </c>
      <c r="G41" s="215">
        <v>0.86</v>
      </c>
      <c r="H41" s="212"/>
      <c r="I41" s="215">
        <v>1.65</v>
      </c>
      <c r="J41" s="212"/>
      <c r="K41" s="215">
        <v>0.64</v>
      </c>
      <c r="L41" s="212"/>
      <c r="M41" s="194">
        <v>0.84500000000000008</v>
      </c>
    </row>
    <row r="42" spans="1:13" x14ac:dyDescent="0.2">
      <c r="A42" s="580" t="s">
        <v>58</v>
      </c>
      <c r="B42" s="580"/>
      <c r="C42" s="580"/>
      <c r="D42" s="212" t="s">
        <v>71</v>
      </c>
      <c r="E42" s="217">
        <v>6.4999999999999994E-5</v>
      </c>
      <c r="F42" s="218" t="s">
        <v>71</v>
      </c>
      <c r="G42" s="217">
        <v>1.84E-4</v>
      </c>
      <c r="H42" s="212"/>
      <c r="I42" s="217">
        <v>5.4799999999999998E-4</v>
      </c>
      <c r="J42" s="218"/>
      <c r="K42" s="217">
        <v>2.0900000000000001E-4</v>
      </c>
      <c r="L42" s="218"/>
      <c r="M42" s="221">
        <v>2.5149999999999999E-4</v>
      </c>
    </row>
    <row r="43" spans="1:13" x14ac:dyDescent="0.2">
      <c r="A43" s="580" t="s">
        <v>149</v>
      </c>
      <c r="B43" s="580"/>
      <c r="C43" s="580"/>
      <c r="D43" s="212" t="s">
        <v>71</v>
      </c>
      <c r="E43" s="217">
        <v>7.3033707865168529E-7</v>
      </c>
      <c r="F43" s="218" t="s">
        <v>71</v>
      </c>
      <c r="G43" s="217">
        <v>1.5206611570247934E-6</v>
      </c>
      <c r="H43" s="212"/>
      <c r="I43" s="217">
        <v>4.5666666666666664E-6</v>
      </c>
      <c r="J43" s="218"/>
      <c r="K43" s="217">
        <v>1.492857142857143E-6</v>
      </c>
      <c r="L43" s="218"/>
      <c r="M43" s="221">
        <v>2.0776305113000721E-6</v>
      </c>
    </row>
    <row r="44" spans="1:13" ht="16" x14ac:dyDescent="0.2">
      <c r="A44" s="552" t="s">
        <v>150</v>
      </c>
      <c r="B44" s="552"/>
      <c r="C44" s="552"/>
      <c r="D44" s="105"/>
      <c r="E44" s="113">
        <f>E43</f>
        <v>7.3033707865168529E-7</v>
      </c>
      <c r="F44" s="110"/>
      <c r="G44" s="113">
        <f>G43</f>
        <v>1.5206611570247934E-6</v>
      </c>
      <c r="H44" s="113"/>
      <c r="I44" s="113">
        <f>I43</f>
        <v>4.5666666666666664E-6</v>
      </c>
      <c r="J44" s="113"/>
      <c r="K44" s="113">
        <f>K43</f>
        <v>1.492857142857143E-6</v>
      </c>
      <c r="L44" s="112"/>
      <c r="M44" s="114">
        <f>AVERAGE(E44,G44,I44,K44)</f>
        <v>2.0776305113000721E-6</v>
      </c>
    </row>
    <row r="45" spans="1:13" x14ac:dyDescent="0.2">
      <c r="A45" s="577" t="s">
        <v>152</v>
      </c>
      <c r="B45" s="578"/>
      <c r="C45" s="578"/>
      <c r="D45" s="578"/>
      <c r="E45" s="578"/>
      <c r="F45" s="578"/>
      <c r="G45" s="578"/>
      <c r="H45" s="578"/>
      <c r="I45" s="578"/>
      <c r="J45" s="578"/>
      <c r="K45" s="578"/>
      <c r="L45" s="578"/>
      <c r="M45" s="579"/>
    </row>
    <row r="46" spans="1:13" x14ac:dyDescent="0.2">
      <c r="A46" s="580" t="s">
        <v>142</v>
      </c>
      <c r="B46" s="580"/>
      <c r="C46" s="580"/>
      <c r="D46" s="212" t="s">
        <v>71</v>
      </c>
      <c r="E46" s="194">
        <v>52</v>
      </c>
      <c r="F46" s="212" t="s">
        <v>71</v>
      </c>
      <c r="G46" s="194">
        <v>84</v>
      </c>
      <c r="H46" s="212"/>
      <c r="I46" s="194">
        <v>70</v>
      </c>
      <c r="J46" s="212"/>
      <c r="K46" s="194">
        <v>33</v>
      </c>
      <c r="L46" s="212"/>
      <c r="M46" s="194">
        <v>59.75</v>
      </c>
    </row>
    <row r="47" spans="1:13" x14ac:dyDescent="0.2">
      <c r="A47" s="580" t="s">
        <v>147</v>
      </c>
      <c r="B47" s="580"/>
      <c r="C47" s="580"/>
      <c r="D47" s="212" t="s">
        <v>71</v>
      </c>
      <c r="E47" s="215">
        <v>0.46500000000000002</v>
      </c>
      <c r="F47" s="212" t="s">
        <v>71</v>
      </c>
      <c r="G47" s="215">
        <v>1.002</v>
      </c>
      <c r="H47" s="212"/>
      <c r="I47" s="215">
        <v>1.198</v>
      </c>
      <c r="J47" s="212"/>
      <c r="K47" s="215">
        <v>0.52500000000000002</v>
      </c>
      <c r="L47" s="212"/>
      <c r="M47" s="194">
        <v>0.79749999999999999</v>
      </c>
    </row>
    <row r="48" spans="1:13" x14ac:dyDescent="0.2">
      <c r="A48" s="580" t="s">
        <v>148</v>
      </c>
      <c r="B48" s="580"/>
      <c r="C48" s="580"/>
      <c r="D48" s="212" t="s">
        <v>71</v>
      </c>
      <c r="E48" s="215">
        <v>1.45</v>
      </c>
      <c r="F48" s="212" t="s">
        <v>71</v>
      </c>
      <c r="G48" s="215">
        <v>3.12</v>
      </c>
      <c r="H48" s="212"/>
      <c r="I48" s="215">
        <v>3.73</v>
      </c>
      <c r="J48" s="212"/>
      <c r="K48" s="215">
        <v>1.64</v>
      </c>
      <c r="L48" s="212"/>
      <c r="M48" s="194">
        <v>2.4850000000000003</v>
      </c>
    </row>
    <row r="49" spans="1:13" x14ac:dyDescent="0.2">
      <c r="A49" s="580" t="s">
        <v>58</v>
      </c>
      <c r="B49" s="580"/>
      <c r="C49" s="580"/>
      <c r="D49" s="212" t="s">
        <v>71</v>
      </c>
      <c r="E49" s="217">
        <v>4.1599999999999997E-4</v>
      </c>
      <c r="F49" s="218" t="s">
        <v>71</v>
      </c>
      <c r="G49" s="217">
        <v>6.7100000000000005E-4</v>
      </c>
      <c r="H49" s="212"/>
      <c r="I49" s="217">
        <v>1.237E-3</v>
      </c>
      <c r="J49" s="218"/>
      <c r="K49" s="217">
        <v>5.2899999999999996E-4</v>
      </c>
      <c r="L49" s="218"/>
      <c r="M49" s="221">
        <v>7.1325000000000002E-4</v>
      </c>
    </row>
    <row r="50" spans="1:13" x14ac:dyDescent="0.2">
      <c r="A50" s="580" t="s">
        <v>149</v>
      </c>
      <c r="B50" s="580"/>
      <c r="C50" s="580"/>
      <c r="D50" s="212" t="s">
        <v>71</v>
      </c>
      <c r="E50" s="217">
        <v>4.674157303370786E-6</v>
      </c>
      <c r="F50" s="218" t="s">
        <v>71</v>
      </c>
      <c r="G50" s="217">
        <v>5.5454545454545461E-6</v>
      </c>
      <c r="H50" s="212"/>
      <c r="I50" s="217">
        <v>1.0308333333333334E-5</v>
      </c>
      <c r="J50" s="218"/>
      <c r="K50" s="217">
        <v>3.7785714285714282E-6</v>
      </c>
      <c r="L50" s="218"/>
      <c r="M50" s="221">
        <v>6.0766291526825242E-6</v>
      </c>
    </row>
    <row r="51" spans="1:13" ht="16" x14ac:dyDescent="0.2">
      <c r="A51" s="552" t="s">
        <v>150</v>
      </c>
      <c r="B51" s="552"/>
      <c r="C51" s="552"/>
      <c r="D51" s="105"/>
      <c r="E51" s="113">
        <f>E50</f>
        <v>4.674157303370786E-6</v>
      </c>
      <c r="F51" s="110"/>
      <c r="G51" s="113">
        <f>G50</f>
        <v>5.5454545454545461E-6</v>
      </c>
      <c r="H51" s="113"/>
      <c r="I51" s="113">
        <f>I50</f>
        <v>1.0308333333333334E-5</v>
      </c>
      <c r="J51" s="113"/>
      <c r="K51" s="113">
        <f>K50</f>
        <v>3.7785714285714282E-6</v>
      </c>
      <c r="L51" s="112"/>
      <c r="M51" s="114">
        <f>AVERAGE(E51,G51,I51,K51)</f>
        <v>6.0766291526825242E-6</v>
      </c>
    </row>
    <row r="52" spans="1:13" x14ac:dyDescent="0.2">
      <c r="A52" s="577" t="s">
        <v>153</v>
      </c>
      <c r="B52" s="578"/>
      <c r="C52" s="578"/>
      <c r="D52" s="578"/>
      <c r="E52" s="578"/>
      <c r="F52" s="578"/>
      <c r="G52" s="578"/>
      <c r="H52" s="578"/>
      <c r="I52" s="578"/>
      <c r="J52" s="578"/>
      <c r="K52" s="578"/>
      <c r="L52" s="578"/>
      <c r="M52" s="579"/>
    </row>
    <row r="53" spans="1:13" x14ac:dyDescent="0.2">
      <c r="A53" s="580" t="s">
        <v>142</v>
      </c>
      <c r="B53" s="580"/>
      <c r="C53" s="580"/>
      <c r="D53" s="212" t="s">
        <v>146</v>
      </c>
      <c r="E53" s="194">
        <v>2.7</v>
      </c>
      <c r="F53" s="212" t="s">
        <v>146</v>
      </c>
      <c r="G53" s="194">
        <v>2.7</v>
      </c>
      <c r="H53" s="212" t="s">
        <v>146</v>
      </c>
      <c r="I53" s="194">
        <v>2.7</v>
      </c>
      <c r="J53" s="212" t="s">
        <v>146</v>
      </c>
      <c r="K53" s="194">
        <v>2.7</v>
      </c>
      <c r="L53" s="212" t="s">
        <v>146</v>
      </c>
      <c r="M53" s="194">
        <v>2.7</v>
      </c>
    </row>
    <row r="54" spans="1:13" x14ac:dyDescent="0.2">
      <c r="A54" s="580" t="s">
        <v>147</v>
      </c>
      <c r="B54" s="580"/>
      <c r="C54" s="580"/>
      <c r="D54" s="212" t="s">
        <v>146</v>
      </c>
      <c r="E54" s="215">
        <v>0.20100000000000001</v>
      </c>
      <c r="F54" s="212" t="s">
        <v>146</v>
      </c>
      <c r="G54" s="215">
        <v>0.26800000000000002</v>
      </c>
      <c r="H54" s="212" t="s">
        <v>146</v>
      </c>
      <c r="I54" s="215">
        <v>0.38400000000000001</v>
      </c>
      <c r="J54" s="212" t="s">
        <v>146</v>
      </c>
      <c r="K54" s="215">
        <v>0.35699999999999998</v>
      </c>
      <c r="L54" s="212" t="s">
        <v>146</v>
      </c>
      <c r="M54" s="194">
        <v>0.30249999999999999</v>
      </c>
    </row>
    <row r="55" spans="1:13" x14ac:dyDescent="0.2">
      <c r="A55" s="580" t="s">
        <v>148</v>
      </c>
      <c r="B55" s="580"/>
      <c r="C55" s="580"/>
      <c r="D55" s="212" t="s">
        <v>146</v>
      </c>
      <c r="E55" s="215">
        <v>0.08</v>
      </c>
      <c r="F55" s="212" t="s">
        <v>146</v>
      </c>
      <c r="G55" s="215">
        <v>0.1</v>
      </c>
      <c r="H55" s="212" t="s">
        <v>146</v>
      </c>
      <c r="I55" s="215">
        <v>0.14000000000000001</v>
      </c>
      <c r="J55" s="212" t="s">
        <v>146</v>
      </c>
      <c r="K55" s="215">
        <v>0.13</v>
      </c>
      <c r="L55" s="212" t="s">
        <v>146</v>
      </c>
      <c r="M55" s="194">
        <v>0.1125</v>
      </c>
    </row>
    <row r="56" spans="1:13" x14ac:dyDescent="0.2">
      <c r="A56" s="580" t="s">
        <v>58</v>
      </c>
      <c r="B56" s="580"/>
      <c r="C56" s="580"/>
      <c r="D56" s="212" t="s">
        <v>146</v>
      </c>
      <c r="E56" s="217">
        <v>2.1999999999999999E-5</v>
      </c>
      <c r="F56" s="218" t="s">
        <v>146</v>
      </c>
      <c r="G56" s="217">
        <v>2.1999999999999999E-5</v>
      </c>
      <c r="H56" s="212" t="s">
        <v>146</v>
      </c>
      <c r="I56" s="217">
        <v>4.8000000000000001E-5</v>
      </c>
      <c r="J56" s="218" t="s">
        <v>146</v>
      </c>
      <c r="K56" s="217">
        <v>4.3000000000000002E-5</v>
      </c>
      <c r="L56" s="218" t="s">
        <v>146</v>
      </c>
      <c r="M56" s="221">
        <v>3.375E-5</v>
      </c>
    </row>
    <row r="57" spans="1:13" x14ac:dyDescent="0.2">
      <c r="A57" s="580" t="s">
        <v>149</v>
      </c>
      <c r="B57" s="580"/>
      <c r="C57" s="580"/>
      <c r="D57" s="212" t="s">
        <v>146</v>
      </c>
      <c r="E57" s="217">
        <v>2.4719101123595505E-7</v>
      </c>
      <c r="F57" s="218" t="s">
        <v>146</v>
      </c>
      <c r="G57" s="217">
        <v>1.818181818181818E-7</v>
      </c>
      <c r="H57" s="212" t="s">
        <v>146</v>
      </c>
      <c r="I57" s="217">
        <v>4.0000000000000003E-7</v>
      </c>
      <c r="J57" s="218" t="s">
        <v>146</v>
      </c>
      <c r="K57" s="217">
        <v>3.0714285714285716E-7</v>
      </c>
      <c r="L57" s="218" t="s">
        <v>146</v>
      </c>
      <c r="M57" s="221">
        <v>2.8403801254924849E-7</v>
      </c>
    </row>
    <row r="58" spans="1:13" ht="16" x14ac:dyDescent="0.2">
      <c r="A58" s="552" t="s">
        <v>150</v>
      </c>
      <c r="B58" s="552"/>
      <c r="C58" s="552"/>
      <c r="D58" s="105"/>
      <c r="E58" s="113">
        <v>0</v>
      </c>
      <c r="F58" s="110"/>
      <c r="G58" s="113">
        <v>0</v>
      </c>
      <c r="H58" s="113"/>
      <c r="I58" s="113">
        <v>0</v>
      </c>
      <c r="J58" s="113"/>
      <c r="K58" s="113">
        <v>0</v>
      </c>
      <c r="L58" s="112"/>
      <c r="M58" s="114">
        <f>AVERAGE(E58,G58,I58,K58)</f>
        <v>0</v>
      </c>
    </row>
    <row r="59" spans="1:13" x14ac:dyDescent="0.2">
      <c r="A59" s="577" t="s">
        <v>154</v>
      </c>
      <c r="B59" s="578"/>
      <c r="C59" s="578"/>
      <c r="D59" s="578"/>
      <c r="E59" s="578"/>
      <c r="F59" s="578"/>
      <c r="G59" s="578"/>
      <c r="H59" s="578"/>
      <c r="I59" s="578"/>
      <c r="J59" s="578"/>
      <c r="K59" s="578"/>
      <c r="L59" s="578"/>
      <c r="M59" s="579"/>
    </row>
    <row r="60" spans="1:13" x14ac:dyDescent="0.2">
      <c r="A60" s="580" t="s">
        <v>142</v>
      </c>
      <c r="B60" s="580"/>
      <c r="C60" s="580"/>
      <c r="D60" s="212" t="s">
        <v>71</v>
      </c>
      <c r="E60" s="194">
        <v>54</v>
      </c>
      <c r="F60" s="212" t="s">
        <v>71</v>
      </c>
      <c r="G60" s="194">
        <v>120</v>
      </c>
      <c r="H60" s="213"/>
      <c r="I60" s="214">
        <v>110</v>
      </c>
      <c r="J60" s="194"/>
      <c r="K60" s="194">
        <v>59</v>
      </c>
      <c r="L60" s="212"/>
      <c r="M60" s="194">
        <v>85.75</v>
      </c>
    </row>
    <row r="61" spans="1:13" x14ac:dyDescent="0.2">
      <c r="A61" s="580" t="s">
        <v>147</v>
      </c>
      <c r="B61" s="580"/>
      <c r="C61" s="580"/>
      <c r="D61" s="212" t="s">
        <v>71</v>
      </c>
      <c r="E61" s="215">
        <v>0.69599999999999995</v>
      </c>
      <c r="F61" s="212" t="s">
        <v>71</v>
      </c>
      <c r="G61" s="215">
        <v>2.0640000000000001</v>
      </c>
      <c r="H61" s="213"/>
      <c r="I61" s="216">
        <v>2.7120000000000002</v>
      </c>
      <c r="J61" s="215"/>
      <c r="K61" s="215">
        <v>1.3520000000000001</v>
      </c>
      <c r="L61" s="212"/>
      <c r="M61" s="194">
        <v>1.706</v>
      </c>
    </row>
    <row r="62" spans="1:13" x14ac:dyDescent="0.2">
      <c r="A62" s="580" t="s">
        <v>148</v>
      </c>
      <c r="B62" s="580"/>
      <c r="C62" s="580"/>
      <c r="D62" s="212" t="s">
        <v>71</v>
      </c>
      <c r="E62" s="215">
        <v>1.51</v>
      </c>
      <c r="F62" s="212" t="s">
        <v>71</v>
      </c>
      <c r="G62" s="215">
        <v>4.46</v>
      </c>
      <c r="H62" s="213"/>
      <c r="I62" s="216">
        <v>5.87</v>
      </c>
      <c r="J62" s="215"/>
      <c r="K62" s="215">
        <v>2.92</v>
      </c>
      <c r="L62" s="212"/>
      <c r="M62" s="194">
        <v>3.69</v>
      </c>
    </row>
    <row r="63" spans="1:13" x14ac:dyDescent="0.2">
      <c r="A63" s="580" t="s">
        <v>58</v>
      </c>
      <c r="B63" s="580"/>
      <c r="C63" s="580"/>
      <c r="D63" s="212" t="s">
        <v>71</v>
      </c>
      <c r="E63" s="217">
        <v>4.3199999999999998E-4</v>
      </c>
      <c r="F63" s="218" t="s">
        <v>71</v>
      </c>
      <c r="G63" s="217">
        <v>9.59E-4</v>
      </c>
      <c r="H63" s="213"/>
      <c r="I63" s="220">
        <v>1.944E-3</v>
      </c>
      <c r="J63" s="217"/>
      <c r="K63" s="217">
        <v>9.4600000000000001E-4</v>
      </c>
      <c r="L63" s="218"/>
      <c r="M63" s="221">
        <v>1.07025E-3</v>
      </c>
    </row>
    <row r="64" spans="1:13" x14ac:dyDescent="0.2">
      <c r="A64" s="580" t="s">
        <v>149</v>
      </c>
      <c r="B64" s="580"/>
      <c r="C64" s="580"/>
      <c r="D64" s="212" t="s">
        <v>71</v>
      </c>
      <c r="E64" s="217">
        <v>4.8539325842696629E-6</v>
      </c>
      <c r="F64" s="218" t="s">
        <v>71</v>
      </c>
      <c r="G64" s="217">
        <v>7.9256198347107434E-6</v>
      </c>
      <c r="H64" s="213"/>
      <c r="I64" s="220">
        <v>1.6200000000000001E-5</v>
      </c>
      <c r="J64" s="217"/>
      <c r="K64" s="217">
        <v>6.7571428571428572E-6</v>
      </c>
      <c r="L64" s="218"/>
      <c r="M64" s="221">
        <v>8.9341738190308167E-6</v>
      </c>
    </row>
    <row r="65" spans="1:13" ht="16" customHeight="1" x14ac:dyDescent="0.2">
      <c r="A65" s="552" t="s">
        <v>150</v>
      </c>
      <c r="B65" s="552"/>
      <c r="C65" s="552"/>
      <c r="D65" s="105"/>
      <c r="E65" s="113">
        <f>E64</f>
        <v>4.8539325842696629E-6</v>
      </c>
      <c r="F65" s="110"/>
      <c r="G65" s="113">
        <f>G64</f>
        <v>7.9256198347107434E-6</v>
      </c>
      <c r="H65" s="113"/>
      <c r="I65" s="113">
        <f>I64</f>
        <v>1.6200000000000001E-5</v>
      </c>
      <c r="J65" s="113"/>
      <c r="K65" s="113">
        <f>K64</f>
        <v>6.7571428571428572E-6</v>
      </c>
      <c r="L65" s="112"/>
      <c r="M65" s="114">
        <f>AVERAGE(E65,G65,I65,K65)</f>
        <v>8.9341738190308167E-6</v>
      </c>
    </row>
    <row r="66" spans="1:13" x14ac:dyDescent="0.2">
      <c r="A66" s="577" t="s">
        <v>155</v>
      </c>
      <c r="B66" s="578"/>
      <c r="C66" s="578"/>
      <c r="D66" s="578"/>
      <c r="E66" s="578"/>
      <c r="F66" s="578"/>
      <c r="G66" s="578"/>
      <c r="H66" s="578"/>
      <c r="I66" s="578"/>
      <c r="J66" s="578"/>
      <c r="K66" s="578"/>
      <c r="L66" s="578"/>
      <c r="M66" s="579"/>
    </row>
    <row r="67" spans="1:13" x14ac:dyDescent="0.2">
      <c r="A67" s="580" t="s">
        <v>142</v>
      </c>
      <c r="B67" s="580"/>
      <c r="C67" s="580"/>
      <c r="D67" s="212" t="s">
        <v>71</v>
      </c>
      <c r="E67" s="194">
        <v>23</v>
      </c>
      <c r="F67" s="212" t="s">
        <v>71</v>
      </c>
      <c r="G67" s="194">
        <v>39</v>
      </c>
      <c r="H67" s="213"/>
      <c r="I67" s="214">
        <v>29</v>
      </c>
      <c r="J67" s="194"/>
      <c r="K67" s="194">
        <v>13</v>
      </c>
      <c r="L67" s="212"/>
      <c r="M67" s="194">
        <v>26</v>
      </c>
    </row>
    <row r="68" spans="1:13" x14ac:dyDescent="0.2">
      <c r="A68" s="580" t="s">
        <v>147</v>
      </c>
      <c r="B68" s="580"/>
      <c r="C68" s="580"/>
      <c r="D68" s="212" t="s">
        <v>71</v>
      </c>
      <c r="E68" s="215">
        <v>0.26200000000000001</v>
      </c>
      <c r="F68" s="212" t="s">
        <v>71</v>
      </c>
      <c r="G68" s="215">
        <v>0.59199999999999997</v>
      </c>
      <c r="H68" s="213"/>
      <c r="I68" s="216">
        <v>0.63100000000000001</v>
      </c>
      <c r="J68" s="215"/>
      <c r="K68" s="215">
        <v>0.26300000000000001</v>
      </c>
      <c r="L68" s="212"/>
      <c r="M68" s="194">
        <v>0.43699999999999994</v>
      </c>
    </row>
    <row r="69" spans="1:13" x14ac:dyDescent="0.2">
      <c r="A69" s="580" t="s">
        <v>148</v>
      </c>
      <c r="B69" s="580"/>
      <c r="C69" s="580"/>
      <c r="D69" s="212" t="s">
        <v>71</v>
      </c>
      <c r="E69" s="215">
        <v>0.64</v>
      </c>
      <c r="F69" s="212" t="s">
        <v>71</v>
      </c>
      <c r="G69" s="215">
        <v>1.45</v>
      </c>
      <c r="H69" s="213"/>
      <c r="I69" s="216">
        <v>1.55</v>
      </c>
      <c r="J69" s="215"/>
      <c r="K69" s="215">
        <v>0.64</v>
      </c>
      <c r="L69" s="212"/>
      <c r="M69" s="194">
        <v>1.0699999999999998</v>
      </c>
    </row>
    <row r="70" spans="1:13" x14ac:dyDescent="0.2">
      <c r="A70" s="580" t="s">
        <v>58</v>
      </c>
      <c r="B70" s="580"/>
      <c r="C70" s="580"/>
      <c r="D70" s="212" t="s">
        <v>71</v>
      </c>
      <c r="E70" s="217">
        <v>1.8379E-4</v>
      </c>
      <c r="F70" s="218" t="s">
        <v>71</v>
      </c>
      <c r="G70" s="217">
        <v>3.1164000000000002E-4</v>
      </c>
      <c r="H70" s="213"/>
      <c r="I70" s="220">
        <v>5.1241000000000004E-4</v>
      </c>
      <c r="J70" s="217"/>
      <c r="K70" s="217">
        <v>2.0000000000000001E-4</v>
      </c>
      <c r="L70" s="218"/>
      <c r="M70" s="221">
        <v>3.0196000000000004E-4</v>
      </c>
    </row>
    <row r="71" spans="1:13" x14ac:dyDescent="0.2">
      <c r="A71" s="580" t="s">
        <v>149</v>
      </c>
      <c r="B71" s="580"/>
      <c r="C71" s="580"/>
      <c r="D71" s="212" t="s">
        <v>71</v>
      </c>
      <c r="E71" s="217">
        <v>2.0650561797752811E-6</v>
      </c>
      <c r="F71" s="218" t="s">
        <v>71</v>
      </c>
      <c r="G71" s="217">
        <v>2.5755371900826448E-6</v>
      </c>
      <c r="H71" s="213"/>
      <c r="I71" s="220">
        <v>4.2700833333333333E-6</v>
      </c>
      <c r="J71" s="217"/>
      <c r="K71" s="217">
        <v>1.4285714285714286E-6</v>
      </c>
      <c r="L71" s="218"/>
      <c r="M71" s="221">
        <v>2.5848120329406718E-6</v>
      </c>
    </row>
    <row r="72" spans="1:13" ht="16" x14ac:dyDescent="0.2">
      <c r="A72" s="552" t="s">
        <v>150</v>
      </c>
      <c r="B72" s="552"/>
      <c r="C72" s="552"/>
      <c r="D72" s="105"/>
      <c r="E72" s="113">
        <f>E71</f>
        <v>2.0650561797752811E-6</v>
      </c>
      <c r="F72" s="110"/>
      <c r="G72" s="113">
        <f>G71</f>
        <v>2.5755371900826448E-6</v>
      </c>
      <c r="H72" s="113"/>
      <c r="I72" s="113">
        <f>I71</f>
        <v>4.2700833333333333E-6</v>
      </c>
      <c r="J72" s="113"/>
      <c r="K72" s="113">
        <f>K71</f>
        <v>1.4285714285714286E-6</v>
      </c>
      <c r="L72" s="112"/>
      <c r="M72" s="114">
        <f>AVERAGE(E72,G72,I72,K72)</f>
        <v>2.5848120329406718E-6</v>
      </c>
    </row>
    <row r="73" spans="1:13" x14ac:dyDescent="0.2">
      <c r="A73" s="577" t="s">
        <v>156</v>
      </c>
      <c r="B73" s="578"/>
      <c r="C73" s="578"/>
      <c r="D73" s="578"/>
      <c r="E73" s="578"/>
      <c r="F73" s="578"/>
      <c r="G73" s="578"/>
      <c r="H73" s="578"/>
      <c r="I73" s="578"/>
      <c r="J73" s="578"/>
      <c r="K73" s="578"/>
      <c r="L73" s="578"/>
      <c r="M73" s="579"/>
    </row>
    <row r="74" spans="1:13" x14ac:dyDescent="0.2">
      <c r="A74" s="580" t="s">
        <v>142</v>
      </c>
      <c r="B74" s="580"/>
      <c r="C74" s="580"/>
      <c r="D74" s="212" t="s">
        <v>71</v>
      </c>
      <c r="E74" s="194">
        <v>810</v>
      </c>
      <c r="F74" s="212" t="s">
        <v>71</v>
      </c>
      <c r="G74" s="205">
        <v>2100</v>
      </c>
      <c r="H74" s="213"/>
      <c r="I74" s="222">
        <v>2800</v>
      </c>
      <c r="J74" s="194"/>
      <c r="K74" s="205">
        <v>1200</v>
      </c>
      <c r="L74" s="194"/>
      <c r="M74" s="205">
        <v>1727.5</v>
      </c>
    </row>
    <row r="75" spans="1:13" x14ac:dyDescent="0.2">
      <c r="A75" s="580" t="s">
        <v>147</v>
      </c>
      <c r="B75" s="580"/>
      <c r="C75" s="580"/>
      <c r="D75" s="212" t="s">
        <v>71</v>
      </c>
      <c r="E75" s="215">
        <v>8.5470000000000006</v>
      </c>
      <c r="F75" s="212" t="s">
        <v>71</v>
      </c>
      <c r="G75" s="215">
        <v>29.545000000000002</v>
      </c>
      <c r="H75" s="213"/>
      <c r="I75" s="216">
        <v>56.473999999999997</v>
      </c>
      <c r="J75" s="215"/>
      <c r="K75" s="215">
        <v>22.492999999999999</v>
      </c>
      <c r="L75" s="194"/>
      <c r="M75" s="194">
        <v>29.264749999999999</v>
      </c>
    </row>
    <row r="76" spans="1:13" x14ac:dyDescent="0.2">
      <c r="A76" s="580" t="s">
        <v>148</v>
      </c>
      <c r="B76" s="580"/>
      <c r="C76" s="580"/>
      <c r="D76" s="212" t="s">
        <v>71</v>
      </c>
      <c r="E76" s="215">
        <v>22.6</v>
      </c>
      <c r="F76" s="212" t="s">
        <v>71</v>
      </c>
      <c r="G76" s="215">
        <v>78.12</v>
      </c>
      <c r="H76" s="213"/>
      <c r="I76" s="216">
        <v>149.32</v>
      </c>
      <c r="J76" s="215"/>
      <c r="K76" s="215">
        <v>59.47</v>
      </c>
      <c r="L76" s="194"/>
      <c r="M76" s="194">
        <v>77.377499999999998</v>
      </c>
    </row>
    <row r="77" spans="1:13" x14ac:dyDescent="0.2">
      <c r="A77" s="580" t="s">
        <v>58</v>
      </c>
      <c r="B77" s="580"/>
      <c r="C77" s="580"/>
      <c r="D77" s="212" t="s">
        <v>71</v>
      </c>
      <c r="E77" s="217">
        <v>6.4999999999999997E-3</v>
      </c>
      <c r="F77" s="218" t="s">
        <v>71</v>
      </c>
      <c r="G77" s="217">
        <v>1.6799999999999999E-2</v>
      </c>
      <c r="H77" s="213"/>
      <c r="I77" s="220">
        <v>4.947435E-2</v>
      </c>
      <c r="J77" s="217"/>
      <c r="K77" s="217">
        <v>1.9199999999999998E-2</v>
      </c>
      <c r="L77" s="194"/>
      <c r="M77" s="221">
        <v>2.2993587499999999E-2</v>
      </c>
    </row>
    <row r="78" spans="1:13" x14ac:dyDescent="0.2">
      <c r="A78" s="580" t="s">
        <v>149</v>
      </c>
      <c r="B78" s="580"/>
      <c r="C78" s="580"/>
      <c r="D78" s="212" t="s">
        <v>71</v>
      </c>
      <c r="E78" s="217">
        <v>7.303370786516853E-5</v>
      </c>
      <c r="F78" s="218" t="s">
        <v>71</v>
      </c>
      <c r="G78" s="217">
        <v>1.3884297520661156E-4</v>
      </c>
      <c r="H78" s="213"/>
      <c r="I78" s="220">
        <v>4.1228625000000002E-4</v>
      </c>
      <c r="J78" s="217"/>
      <c r="K78" s="217">
        <v>1.3714285714285713E-4</v>
      </c>
      <c r="L78" s="194"/>
      <c r="M78" s="221">
        <v>1.9032644755365933E-4</v>
      </c>
    </row>
    <row r="79" spans="1:13" ht="16" x14ac:dyDescent="0.2">
      <c r="A79" s="552" t="s">
        <v>150</v>
      </c>
      <c r="B79" s="552"/>
      <c r="C79" s="552"/>
      <c r="D79" s="105"/>
      <c r="E79" s="113">
        <f>E78</f>
        <v>7.303370786516853E-5</v>
      </c>
      <c r="F79" s="110"/>
      <c r="G79" s="113">
        <f>G78</f>
        <v>1.3884297520661156E-4</v>
      </c>
      <c r="H79" s="113"/>
      <c r="I79" s="113">
        <f>I78</f>
        <v>4.1228625000000002E-4</v>
      </c>
      <c r="J79" s="113"/>
      <c r="K79" s="113">
        <f>K78</f>
        <v>1.3714285714285713E-4</v>
      </c>
      <c r="L79" s="112"/>
      <c r="M79" s="114">
        <f>AVERAGE(E79,G79,I79,K79)</f>
        <v>1.9032644755365933E-4</v>
      </c>
    </row>
    <row r="80" spans="1:13" x14ac:dyDescent="0.2">
      <c r="A80" s="577" t="s">
        <v>157</v>
      </c>
      <c r="B80" s="578"/>
      <c r="C80" s="578"/>
      <c r="D80" s="578"/>
      <c r="E80" s="578"/>
      <c r="F80" s="578"/>
      <c r="G80" s="578"/>
      <c r="H80" s="578"/>
      <c r="I80" s="578"/>
      <c r="J80" s="578"/>
      <c r="K80" s="578"/>
      <c r="L80" s="578"/>
      <c r="M80" s="579"/>
    </row>
    <row r="81" spans="1:13" x14ac:dyDescent="0.2">
      <c r="A81" s="580" t="s">
        <v>142</v>
      </c>
      <c r="B81" s="580"/>
      <c r="C81" s="580"/>
      <c r="D81" s="212" t="s">
        <v>71</v>
      </c>
      <c r="E81" s="194">
        <v>8.1</v>
      </c>
      <c r="F81" s="212" t="s">
        <v>71</v>
      </c>
      <c r="G81" s="194">
        <v>10</v>
      </c>
      <c r="H81" s="212"/>
      <c r="I81" s="194">
        <v>91</v>
      </c>
      <c r="J81" s="194"/>
      <c r="K81" s="194">
        <v>110</v>
      </c>
      <c r="L81" s="194"/>
      <c r="M81" s="205">
        <v>54.774999999999999</v>
      </c>
    </row>
    <row r="82" spans="1:13" x14ac:dyDescent="0.2">
      <c r="A82" s="580" t="s">
        <v>147</v>
      </c>
      <c r="B82" s="580"/>
      <c r="C82" s="580"/>
      <c r="D82" s="212" t="s">
        <v>71</v>
      </c>
      <c r="E82" s="215">
        <v>2.5999999999999999E-2</v>
      </c>
      <c r="F82" s="212" t="s">
        <v>71</v>
      </c>
      <c r="G82" s="215">
        <v>4.2999999999999997E-2</v>
      </c>
      <c r="H82" s="212"/>
      <c r="I82" s="215">
        <v>0.56299999999999994</v>
      </c>
      <c r="J82" s="215"/>
      <c r="K82" s="215">
        <v>0.63200000000000001</v>
      </c>
      <c r="L82" s="194"/>
      <c r="M82" s="194">
        <v>0.31599999999999995</v>
      </c>
    </row>
    <row r="83" spans="1:13" x14ac:dyDescent="0.2">
      <c r="A83" s="580" t="s">
        <v>148</v>
      </c>
      <c r="B83" s="580"/>
      <c r="C83" s="580"/>
      <c r="D83" s="212" t="s">
        <v>71</v>
      </c>
      <c r="E83" s="215">
        <v>0.23</v>
      </c>
      <c r="F83" s="212" t="s">
        <v>71</v>
      </c>
      <c r="G83" s="215">
        <v>0.37</v>
      </c>
      <c r="H83" s="212"/>
      <c r="I83" s="215">
        <v>4.8499999999999996</v>
      </c>
      <c r="J83" s="215"/>
      <c r="K83" s="215">
        <v>5.45</v>
      </c>
      <c r="L83" s="194"/>
      <c r="M83" s="194">
        <v>2.7249999999999996</v>
      </c>
    </row>
    <row r="84" spans="1:13" x14ac:dyDescent="0.2">
      <c r="A84" s="580" t="s">
        <v>58</v>
      </c>
      <c r="B84" s="580"/>
      <c r="C84" s="580"/>
      <c r="D84" s="212" t="s">
        <v>71</v>
      </c>
      <c r="E84" s="217">
        <v>6.4729999999999999E-5</v>
      </c>
      <c r="F84" s="218" t="s">
        <v>71</v>
      </c>
      <c r="G84" s="217">
        <v>7.9909999999999999E-5</v>
      </c>
      <c r="H84" s="212"/>
      <c r="I84" s="217">
        <v>1.6079200000000001E-3</v>
      </c>
      <c r="J84" s="217"/>
      <c r="K84" s="217">
        <v>1.7643800000000001E-3</v>
      </c>
      <c r="L84" s="221"/>
      <c r="M84" s="221">
        <v>8.7923500000000002E-4</v>
      </c>
    </row>
    <row r="85" spans="1:13" x14ac:dyDescent="0.2">
      <c r="A85" s="580" t="s">
        <v>149</v>
      </c>
      <c r="B85" s="580"/>
      <c r="C85" s="580"/>
      <c r="D85" s="212" t="s">
        <v>71</v>
      </c>
      <c r="E85" s="217">
        <v>7.2730337078651684E-7</v>
      </c>
      <c r="F85" s="218" t="s">
        <v>71</v>
      </c>
      <c r="G85" s="217">
        <v>6.6041322314049583E-7</v>
      </c>
      <c r="H85" s="212"/>
      <c r="I85" s="217">
        <v>1.3399333333333334E-5</v>
      </c>
      <c r="J85" s="217"/>
      <c r="K85" s="217">
        <v>1.2602714285714286E-5</v>
      </c>
      <c r="L85" s="221"/>
      <c r="M85" s="221">
        <v>6.8474410532436579E-6</v>
      </c>
    </row>
    <row r="86" spans="1:13" ht="16" x14ac:dyDescent="0.2">
      <c r="A86" s="552" t="s">
        <v>150</v>
      </c>
      <c r="B86" s="552"/>
      <c r="C86" s="552"/>
      <c r="D86" s="105"/>
      <c r="E86" s="113">
        <f>E85</f>
        <v>7.2730337078651684E-7</v>
      </c>
      <c r="F86" s="110"/>
      <c r="G86" s="113">
        <f>G85</f>
        <v>6.6041322314049583E-7</v>
      </c>
      <c r="H86" s="113"/>
      <c r="I86" s="113">
        <f>I85</f>
        <v>1.3399333333333334E-5</v>
      </c>
      <c r="J86" s="113"/>
      <c r="K86" s="113">
        <f>K85</f>
        <v>1.2602714285714286E-5</v>
      </c>
      <c r="L86" s="112"/>
      <c r="M86" s="114">
        <f>AVERAGE(E86,G86,I86,K86)</f>
        <v>6.8474410532436579E-6</v>
      </c>
    </row>
    <row r="87" spans="1:13" x14ac:dyDescent="0.2">
      <c r="A87" s="577" t="s">
        <v>158</v>
      </c>
      <c r="B87" s="578"/>
      <c r="C87" s="578"/>
      <c r="D87" s="578"/>
      <c r="E87" s="578"/>
      <c r="F87" s="578"/>
      <c r="G87" s="578"/>
      <c r="H87" s="578"/>
      <c r="I87" s="578"/>
      <c r="J87" s="578"/>
      <c r="K87" s="578"/>
      <c r="L87" s="578"/>
      <c r="M87" s="579"/>
    </row>
    <row r="88" spans="1:13" x14ac:dyDescent="0.2">
      <c r="A88" s="580" t="s">
        <v>142</v>
      </c>
      <c r="B88" s="580"/>
      <c r="C88" s="580"/>
      <c r="D88" s="212" t="s">
        <v>71</v>
      </c>
      <c r="E88" s="194">
        <v>570</v>
      </c>
      <c r="F88" s="212" t="s">
        <v>71</v>
      </c>
      <c r="G88" s="205">
        <v>1100</v>
      </c>
      <c r="H88" s="213"/>
      <c r="I88" s="222">
        <v>1400</v>
      </c>
      <c r="J88" s="194"/>
      <c r="K88" s="205">
        <v>590</v>
      </c>
      <c r="L88" s="194"/>
      <c r="M88" s="205">
        <v>915</v>
      </c>
    </row>
    <row r="89" spans="1:13" x14ac:dyDescent="0.2">
      <c r="A89" s="580" t="s">
        <v>147</v>
      </c>
      <c r="B89" s="580"/>
      <c r="C89" s="580"/>
      <c r="D89" s="212" t="s">
        <v>71</v>
      </c>
      <c r="E89" s="215">
        <v>6.9569999999999999</v>
      </c>
      <c r="F89" s="212" t="s">
        <v>71</v>
      </c>
      <c r="G89" s="215">
        <v>17.901</v>
      </c>
      <c r="H89" s="213"/>
      <c r="I89" s="216">
        <v>32.661999999999999</v>
      </c>
      <c r="J89" s="215"/>
      <c r="K89" s="215">
        <v>12.792</v>
      </c>
      <c r="L89" s="194"/>
      <c r="M89" s="194">
        <v>17.577999999999999</v>
      </c>
    </row>
    <row r="90" spans="1:13" x14ac:dyDescent="0.2">
      <c r="A90" s="580" t="s">
        <v>148</v>
      </c>
      <c r="B90" s="580"/>
      <c r="C90" s="580"/>
      <c r="D90" s="212" t="s">
        <v>71</v>
      </c>
      <c r="E90" s="215">
        <v>15.9</v>
      </c>
      <c r="F90" s="212" t="s">
        <v>71</v>
      </c>
      <c r="G90" s="215">
        <v>40.92</v>
      </c>
      <c r="H90" s="213"/>
      <c r="I90" s="216">
        <v>74.66</v>
      </c>
      <c r="J90" s="215"/>
      <c r="K90" s="215">
        <v>29.24</v>
      </c>
      <c r="L90" s="194"/>
      <c r="M90" s="194">
        <v>40.18</v>
      </c>
    </row>
    <row r="91" spans="1:13" x14ac:dyDescent="0.2">
      <c r="A91" s="580" t="s">
        <v>58</v>
      </c>
      <c r="B91" s="580"/>
      <c r="C91" s="580"/>
      <c r="D91" s="212" t="s">
        <v>71</v>
      </c>
      <c r="E91" s="217">
        <v>4.5999999999999999E-3</v>
      </c>
      <c r="F91" s="218" t="s">
        <v>71</v>
      </c>
      <c r="G91" s="217">
        <v>8.8000000000000005E-3</v>
      </c>
      <c r="H91" s="213"/>
      <c r="I91" s="220">
        <v>2.47E-2</v>
      </c>
      <c r="J91" s="217"/>
      <c r="K91" s="217">
        <v>9.4999999999999998E-3</v>
      </c>
      <c r="L91" s="194"/>
      <c r="M91" s="221">
        <v>1.1900000000000001E-2</v>
      </c>
    </row>
    <row r="92" spans="1:13" x14ac:dyDescent="0.2">
      <c r="A92" s="580" t="s">
        <v>149</v>
      </c>
      <c r="B92" s="580"/>
      <c r="C92" s="580"/>
      <c r="D92" s="212" t="s">
        <v>71</v>
      </c>
      <c r="E92" s="217">
        <v>5.1685393258426966E-5</v>
      </c>
      <c r="F92" s="218" t="s">
        <v>71</v>
      </c>
      <c r="G92" s="217">
        <v>7.2727272727272728E-5</v>
      </c>
      <c r="H92" s="213"/>
      <c r="I92" s="220">
        <v>2.0583333333333334E-4</v>
      </c>
      <c r="J92" s="217"/>
      <c r="K92" s="217">
        <v>6.7857142857142861E-5</v>
      </c>
      <c r="L92" s="194"/>
      <c r="M92" s="221">
        <v>9.9525785544043977E-5</v>
      </c>
    </row>
    <row r="93" spans="1:13" ht="16" x14ac:dyDescent="0.2">
      <c r="A93" s="552" t="s">
        <v>150</v>
      </c>
      <c r="B93" s="552"/>
      <c r="C93" s="552"/>
      <c r="D93" s="105"/>
      <c r="E93" s="113">
        <f>E92</f>
        <v>5.1685393258426966E-5</v>
      </c>
      <c r="F93" s="110"/>
      <c r="G93" s="113">
        <f>G92</f>
        <v>7.2727272727272728E-5</v>
      </c>
      <c r="H93" s="113"/>
      <c r="I93" s="113">
        <f>I92</f>
        <v>2.0583333333333334E-4</v>
      </c>
      <c r="J93" s="113"/>
      <c r="K93" s="113">
        <f>K92</f>
        <v>6.7857142857142861E-5</v>
      </c>
      <c r="L93" s="112"/>
      <c r="M93" s="114">
        <f>AVERAGE(E93,G93,I93,K93)</f>
        <v>9.9525785544043977E-5</v>
      </c>
    </row>
    <row r="94" spans="1:13" x14ac:dyDescent="0.2">
      <c r="A94" s="577" t="s">
        <v>159</v>
      </c>
      <c r="B94" s="578"/>
      <c r="C94" s="578"/>
      <c r="D94" s="578"/>
      <c r="E94" s="578"/>
      <c r="F94" s="578"/>
      <c r="G94" s="578"/>
      <c r="H94" s="578"/>
      <c r="I94" s="578"/>
      <c r="J94" s="578"/>
      <c r="K94" s="578"/>
      <c r="L94" s="578"/>
      <c r="M94" s="579"/>
    </row>
    <row r="95" spans="1:13" x14ac:dyDescent="0.2">
      <c r="A95" s="580" t="s">
        <v>142</v>
      </c>
      <c r="B95" s="580"/>
      <c r="C95" s="580"/>
      <c r="D95" s="212" t="s">
        <v>71</v>
      </c>
      <c r="E95" s="194">
        <v>180</v>
      </c>
      <c r="F95" s="212" t="s">
        <v>71</v>
      </c>
      <c r="G95" s="194">
        <v>400</v>
      </c>
      <c r="H95" s="194"/>
      <c r="I95" s="194">
        <v>330</v>
      </c>
      <c r="J95" s="194"/>
      <c r="K95" s="194">
        <v>170</v>
      </c>
      <c r="L95" s="194"/>
      <c r="M95" s="205">
        <v>270</v>
      </c>
    </row>
    <row r="96" spans="1:13" x14ac:dyDescent="0.2">
      <c r="A96" s="580" t="s">
        <v>147</v>
      </c>
      <c r="B96" s="580"/>
      <c r="C96" s="580"/>
      <c r="D96" s="212" t="s">
        <v>71</v>
      </c>
      <c r="E96" s="215">
        <v>2.056</v>
      </c>
      <c r="F96" s="212" t="s">
        <v>71</v>
      </c>
      <c r="G96" s="215">
        <v>6.0910000000000002</v>
      </c>
      <c r="H96" s="215"/>
      <c r="I96" s="215">
        <v>7.2050000000000001</v>
      </c>
      <c r="J96" s="215"/>
      <c r="K96" s="215">
        <v>3.4489999999999998</v>
      </c>
      <c r="L96" s="194"/>
      <c r="M96" s="194">
        <v>4.7002500000000005</v>
      </c>
    </row>
    <row r="97" spans="1:13" x14ac:dyDescent="0.2">
      <c r="A97" s="580" t="s">
        <v>148</v>
      </c>
      <c r="B97" s="580"/>
      <c r="C97" s="580"/>
      <c r="D97" s="212" t="s">
        <v>71</v>
      </c>
      <c r="E97" s="215">
        <v>5.0199999999999996</v>
      </c>
      <c r="F97" s="212" t="s">
        <v>71</v>
      </c>
      <c r="G97" s="215">
        <v>14.88</v>
      </c>
      <c r="H97" s="215"/>
      <c r="I97" s="215">
        <v>17.600000000000001</v>
      </c>
      <c r="J97" s="215"/>
      <c r="K97" s="215">
        <v>8.43</v>
      </c>
      <c r="L97" s="194"/>
      <c r="M97" s="194">
        <v>11.4825</v>
      </c>
    </row>
    <row r="98" spans="1:13" x14ac:dyDescent="0.2">
      <c r="A98" s="580" t="s">
        <v>58</v>
      </c>
      <c r="B98" s="580"/>
      <c r="C98" s="580"/>
      <c r="D98" s="212" t="s">
        <v>71</v>
      </c>
      <c r="E98" s="217">
        <v>1.4E-3</v>
      </c>
      <c r="F98" s="218" t="s">
        <v>71</v>
      </c>
      <c r="G98" s="217">
        <v>3.2000000000000002E-3</v>
      </c>
      <c r="H98" s="215"/>
      <c r="I98" s="217">
        <v>5.8309099999999999E-3</v>
      </c>
      <c r="J98" s="217"/>
      <c r="K98" s="217">
        <v>2.7000000000000001E-3</v>
      </c>
      <c r="L98" s="194"/>
      <c r="M98" s="221">
        <v>3.2827274999999998E-3</v>
      </c>
    </row>
    <row r="99" spans="1:13" x14ac:dyDescent="0.2">
      <c r="A99" s="580" t="s">
        <v>149</v>
      </c>
      <c r="B99" s="580"/>
      <c r="C99" s="580"/>
      <c r="D99" s="212" t="s">
        <v>71</v>
      </c>
      <c r="E99" s="217">
        <v>1.5730337078651687E-5</v>
      </c>
      <c r="F99" s="218" t="s">
        <v>71</v>
      </c>
      <c r="G99" s="217">
        <v>2.6446280991735539E-5</v>
      </c>
      <c r="H99" s="215"/>
      <c r="I99" s="217">
        <v>4.8590916666666666E-5</v>
      </c>
      <c r="J99" s="217"/>
      <c r="K99" s="217">
        <v>1.9285714285714288E-5</v>
      </c>
      <c r="L99" s="194"/>
      <c r="M99" s="221">
        <v>2.7513312255692046E-5</v>
      </c>
    </row>
    <row r="100" spans="1:13" ht="16" x14ac:dyDescent="0.2">
      <c r="A100" s="552" t="s">
        <v>150</v>
      </c>
      <c r="B100" s="552"/>
      <c r="C100" s="552"/>
      <c r="D100" s="105"/>
      <c r="E100" s="113">
        <f>E99</f>
        <v>1.5730337078651687E-5</v>
      </c>
      <c r="F100" s="110"/>
      <c r="G100" s="113">
        <f>G99</f>
        <v>2.6446280991735539E-5</v>
      </c>
      <c r="H100" s="113"/>
      <c r="I100" s="113">
        <f>I99</f>
        <v>4.8590916666666666E-5</v>
      </c>
      <c r="J100" s="113"/>
      <c r="K100" s="113">
        <f>K99</f>
        <v>1.9285714285714288E-5</v>
      </c>
      <c r="L100" s="112"/>
      <c r="M100" s="114">
        <f>AVERAGE(E100,G100,I100,K100)</f>
        <v>2.7513312255692046E-5</v>
      </c>
    </row>
    <row r="101" spans="1:13" x14ac:dyDescent="0.2">
      <c r="A101" s="573" t="s">
        <v>160</v>
      </c>
      <c r="B101" s="574"/>
      <c r="C101" s="574"/>
      <c r="D101" s="574"/>
      <c r="E101" s="574"/>
      <c r="F101" s="574"/>
      <c r="G101" s="574"/>
      <c r="H101" s="574"/>
      <c r="I101" s="574"/>
      <c r="J101" s="574"/>
      <c r="K101" s="574"/>
      <c r="L101" s="574"/>
      <c r="M101" s="575"/>
    </row>
    <row r="102" spans="1:13" x14ac:dyDescent="0.2">
      <c r="A102" s="572" t="s">
        <v>142</v>
      </c>
      <c r="B102" s="572"/>
      <c r="C102" s="572"/>
      <c r="D102" s="213" t="s">
        <v>71</v>
      </c>
      <c r="E102" s="214">
        <v>54</v>
      </c>
      <c r="F102" s="213" t="s">
        <v>71</v>
      </c>
      <c r="G102" s="214">
        <v>111</v>
      </c>
      <c r="H102" s="213"/>
      <c r="I102" s="214">
        <v>152</v>
      </c>
      <c r="J102" s="213"/>
      <c r="K102" s="214">
        <v>65</v>
      </c>
      <c r="L102" s="214"/>
      <c r="M102" s="214">
        <v>95.5</v>
      </c>
    </row>
    <row r="103" spans="1:13" x14ac:dyDescent="0.2">
      <c r="A103" s="572" t="s">
        <v>147</v>
      </c>
      <c r="B103" s="572"/>
      <c r="C103" s="572"/>
      <c r="D103" s="213" t="s">
        <v>71</v>
      </c>
      <c r="E103" s="216">
        <v>1.169</v>
      </c>
      <c r="F103" s="213" t="s">
        <v>71</v>
      </c>
      <c r="G103" s="216">
        <v>3.2040000000000002</v>
      </c>
      <c r="H103" s="213"/>
      <c r="I103" s="216">
        <v>6.2910000000000004</v>
      </c>
      <c r="J103" s="213"/>
      <c r="K103" s="216">
        <v>2.5</v>
      </c>
      <c r="L103" s="214"/>
      <c r="M103" s="214">
        <v>3.2910000000000004</v>
      </c>
    </row>
    <row r="104" spans="1:13" x14ac:dyDescent="0.2">
      <c r="A104" s="572" t="s">
        <v>148</v>
      </c>
      <c r="B104" s="572"/>
      <c r="C104" s="572"/>
      <c r="D104" s="213" t="s">
        <v>71</v>
      </c>
      <c r="E104" s="216">
        <v>1.51</v>
      </c>
      <c r="F104" s="213" t="s">
        <v>71</v>
      </c>
      <c r="G104" s="216">
        <v>4.13</v>
      </c>
      <c r="H104" s="213"/>
      <c r="I104" s="216">
        <v>8.11</v>
      </c>
      <c r="J104" s="213"/>
      <c r="K104" s="216">
        <v>3.22</v>
      </c>
      <c r="L104" s="214"/>
      <c r="M104" s="214">
        <v>4.2424999999999997</v>
      </c>
    </row>
    <row r="105" spans="1:13" x14ac:dyDescent="0.2">
      <c r="A105" s="572" t="s">
        <v>58</v>
      </c>
      <c r="B105" s="572"/>
      <c r="C105" s="572"/>
      <c r="D105" s="213" t="s">
        <v>71</v>
      </c>
      <c r="E105" s="220">
        <v>4.0000000000000002E-4</v>
      </c>
      <c r="F105" s="219" t="s">
        <v>71</v>
      </c>
      <c r="G105" s="220">
        <v>8.9999999999999998E-4</v>
      </c>
      <c r="H105" s="213"/>
      <c r="I105" s="220">
        <v>2.7000000000000001E-3</v>
      </c>
      <c r="J105" s="219"/>
      <c r="K105" s="220">
        <v>1E-3</v>
      </c>
      <c r="L105" s="223"/>
      <c r="M105" s="223">
        <v>1.25E-3</v>
      </c>
    </row>
    <row r="106" spans="1:13" x14ac:dyDescent="0.2">
      <c r="A106" s="572" t="s">
        <v>149</v>
      </c>
      <c r="B106" s="572"/>
      <c r="C106" s="572"/>
      <c r="D106" s="213" t="s">
        <v>71</v>
      </c>
      <c r="E106" s="220">
        <v>4.4943820224719099E-6</v>
      </c>
      <c r="F106" s="219" t="s">
        <v>71</v>
      </c>
      <c r="G106" s="220">
        <v>7.4380165289256194E-6</v>
      </c>
      <c r="H106" s="213"/>
      <c r="I106" s="220">
        <v>2.2500000000000001E-5</v>
      </c>
      <c r="J106" s="219"/>
      <c r="K106" s="220">
        <v>7.1428571428571427E-6</v>
      </c>
      <c r="L106" s="223"/>
      <c r="M106" s="223">
        <v>1.0393813923563669E-5</v>
      </c>
    </row>
    <row r="107" spans="1:13" ht="16" x14ac:dyDescent="0.2">
      <c r="A107" s="552" t="s">
        <v>150</v>
      </c>
      <c r="B107" s="552"/>
      <c r="C107" s="552"/>
      <c r="D107" s="105"/>
      <c r="E107" s="113">
        <f>E106</f>
        <v>4.4943820224719099E-6</v>
      </c>
      <c r="F107" s="110"/>
      <c r="G107" s="113">
        <f>G106</f>
        <v>7.4380165289256194E-6</v>
      </c>
      <c r="H107" s="113"/>
      <c r="I107" s="113">
        <f>I106</f>
        <v>2.2500000000000001E-5</v>
      </c>
      <c r="J107" s="113"/>
      <c r="K107" s="113">
        <f>K106</f>
        <v>7.1428571428571427E-6</v>
      </c>
      <c r="L107" s="112"/>
      <c r="M107" s="114">
        <f>AVERAGE(E107,G107,I107,K107)</f>
        <v>1.0393813923563669E-5</v>
      </c>
    </row>
    <row r="108" spans="1:13" x14ac:dyDescent="0.2">
      <c r="A108" s="573" t="s">
        <v>161</v>
      </c>
      <c r="B108" s="574"/>
      <c r="C108" s="574"/>
      <c r="D108" s="574"/>
      <c r="E108" s="574"/>
      <c r="F108" s="574"/>
      <c r="G108" s="574"/>
      <c r="H108" s="574"/>
      <c r="I108" s="574"/>
      <c r="J108" s="574"/>
      <c r="K108" s="574"/>
      <c r="L108" s="574"/>
      <c r="M108" s="575"/>
    </row>
    <row r="109" spans="1:13" x14ac:dyDescent="0.2">
      <c r="A109" s="572" t="s">
        <v>142</v>
      </c>
      <c r="B109" s="572"/>
      <c r="C109" s="572"/>
      <c r="D109" s="213" t="s">
        <v>146</v>
      </c>
      <c r="E109" s="214">
        <v>9</v>
      </c>
      <c r="F109" s="213" t="s">
        <v>146</v>
      </c>
      <c r="G109" s="214">
        <v>9</v>
      </c>
      <c r="H109" s="213" t="s">
        <v>146</v>
      </c>
      <c r="I109" s="214">
        <v>9</v>
      </c>
      <c r="J109" s="213" t="s">
        <v>146</v>
      </c>
      <c r="K109" s="214">
        <v>9</v>
      </c>
      <c r="L109" s="212" t="s">
        <v>146</v>
      </c>
      <c r="M109" s="214">
        <v>9</v>
      </c>
    </row>
    <row r="110" spans="1:13" x14ac:dyDescent="0.2">
      <c r="A110" s="572" t="s">
        <v>147</v>
      </c>
      <c r="B110" s="572"/>
      <c r="C110" s="572"/>
      <c r="D110" s="213" t="s">
        <v>146</v>
      </c>
      <c r="E110" s="216">
        <v>7.5999999999999998E-2</v>
      </c>
      <c r="F110" s="213" t="s">
        <v>146</v>
      </c>
      <c r="G110" s="216">
        <v>0.10199999999999999</v>
      </c>
      <c r="H110" s="213" t="s">
        <v>146</v>
      </c>
      <c r="I110" s="216">
        <v>0.14599999999999999</v>
      </c>
      <c r="J110" s="213" t="s">
        <v>146</v>
      </c>
      <c r="K110" s="216">
        <v>0.13600000000000001</v>
      </c>
      <c r="L110" s="212" t="s">
        <v>146</v>
      </c>
      <c r="M110" s="214">
        <v>0.11499999999999999</v>
      </c>
    </row>
    <row r="111" spans="1:13" x14ac:dyDescent="0.2">
      <c r="A111" s="572" t="s">
        <v>148</v>
      </c>
      <c r="B111" s="572"/>
      <c r="C111" s="572"/>
      <c r="D111" s="213" t="s">
        <v>146</v>
      </c>
      <c r="E111" s="216">
        <v>0.25</v>
      </c>
      <c r="F111" s="213" t="s">
        <v>146</v>
      </c>
      <c r="G111" s="216">
        <v>0.33</v>
      </c>
      <c r="H111" s="213" t="s">
        <v>146</v>
      </c>
      <c r="I111" s="216">
        <v>0.48</v>
      </c>
      <c r="J111" s="213" t="s">
        <v>146</v>
      </c>
      <c r="K111" s="216">
        <v>0.45</v>
      </c>
      <c r="L111" s="212" t="s">
        <v>146</v>
      </c>
      <c r="M111" s="214">
        <v>0.3775</v>
      </c>
    </row>
    <row r="112" spans="1:13" x14ac:dyDescent="0.2">
      <c r="A112" s="572" t="s">
        <v>58</v>
      </c>
      <c r="B112" s="572"/>
      <c r="C112" s="572"/>
      <c r="D112" s="213" t="s">
        <v>146</v>
      </c>
      <c r="E112" s="220">
        <v>7.1920000000000003E-5</v>
      </c>
      <c r="F112" s="219" t="s">
        <v>146</v>
      </c>
      <c r="G112" s="220">
        <v>7.1920000000000003E-5</v>
      </c>
      <c r="H112" s="213" t="s">
        <v>146</v>
      </c>
      <c r="I112" s="220">
        <v>1.5902000000000001E-4</v>
      </c>
      <c r="J112" s="219" t="s">
        <v>146</v>
      </c>
      <c r="K112" s="220">
        <v>1.4436000000000001E-4</v>
      </c>
      <c r="L112" s="218" t="s">
        <v>146</v>
      </c>
      <c r="M112" s="223">
        <v>1.11805E-4</v>
      </c>
    </row>
    <row r="113" spans="1:13" x14ac:dyDescent="0.2">
      <c r="A113" s="572" t="s">
        <v>149</v>
      </c>
      <c r="B113" s="572"/>
      <c r="C113" s="572"/>
      <c r="D113" s="213" t="s">
        <v>146</v>
      </c>
      <c r="E113" s="220">
        <v>8.0808988764044944E-7</v>
      </c>
      <c r="F113" s="219" t="s">
        <v>146</v>
      </c>
      <c r="G113" s="220">
        <v>5.9438016528925627E-7</v>
      </c>
      <c r="H113" s="213" t="s">
        <v>146</v>
      </c>
      <c r="I113" s="220">
        <v>1.3251666666666666E-6</v>
      </c>
      <c r="J113" s="219" t="s">
        <v>146</v>
      </c>
      <c r="K113" s="220">
        <v>1.0311428571428573E-6</v>
      </c>
      <c r="L113" s="218" t="s">
        <v>146</v>
      </c>
      <c r="M113" s="223">
        <v>9.3969489418480743E-7</v>
      </c>
    </row>
    <row r="114" spans="1:13" ht="16" x14ac:dyDescent="0.2">
      <c r="A114" s="552" t="s">
        <v>150</v>
      </c>
      <c r="B114" s="552"/>
      <c r="C114" s="552"/>
      <c r="D114" s="105"/>
      <c r="E114" s="113">
        <v>0</v>
      </c>
      <c r="F114" s="110"/>
      <c r="G114" s="113">
        <v>0</v>
      </c>
      <c r="H114" s="113"/>
      <c r="I114" s="113">
        <v>0</v>
      </c>
      <c r="J114" s="113"/>
      <c r="K114" s="113">
        <v>0</v>
      </c>
      <c r="L114" s="112"/>
      <c r="M114" s="114">
        <f>AVERAGE(E114,G114,I114,K114)</f>
        <v>0</v>
      </c>
    </row>
    <row r="115" spans="1:13" x14ac:dyDescent="0.2">
      <c r="A115" s="573" t="s">
        <v>162</v>
      </c>
      <c r="B115" s="574"/>
      <c r="C115" s="574"/>
      <c r="D115" s="574"/>
      <c r="E115" s="574"/>
      <c r="F115" s="574"/>
      <c r="G115" s="574"/>
      <c r="H115" s="574"/>
      <c r="I115" s="574"/>
      <c r="J115" s="574"/>
      <c r="K115" s="574"/>
      <c r="L115" s="574"/>
      <c r="M115" s="575"/>
    </row>
    <row r="116" spans="1:13" x14ac:dyDescent="0.2">
      <c r="A116" s="572" t="s">
        <v>142</v>
      </c>
      <c r="B116" s="572"/>
      <c r="C116" s="572"/>
      <c r="D116" s="213" t="s">
        <v>71</v>
      </c>
      <c r="E116" s="214">
        <v>160</v>
      </c>
      <c r="F116" s="213" t="s">
        <v>71</v>
      </c>
      <c r="G116" s="214">
        <v>84</v>
      </c>
      <c r="H116" s="213"/>
      <c r="I116" s="214">
        <v>550</v>
      </c>
      <c r="J116" s="214"/>
      <c r="K116" s="214">
        <v>210</v>
      </c>
      <c r="L116" s="213"/>
      <c r="M116" s="214">
        <v>251</v>
      </c>
    </row>
    <row r="117" spans="1:13" x14ac:dyDescent="0.2">
      <c r="A117" s="572" t="s">
        <v>147</v>
      </c>
      <c r="B117" s="572"/>
      <c r="C117" s="572"/>
      <c r="D117" s="213" t="s">
        <v>71</v>
      </c>
      <c r="E117" s="216">
        <v>1.641</v>
      </c>
      <c r="F117" s="213"/>
      <c r="G117" s="216">
        <v>1.149</v>
      </c>
      <c r="H117" s="213"/>
      <c r="I117" s="216">
        <v>10.784000000000001</v>
      </c>
      <c r="J117" s="216"/>
      <c r="K117" s="216">
        <v>3.827</v>
      </c>
      <c r="L117" s="213"/>
      <c r="M117" s="214">
        <v>4.3502500000000008</v>
      </c>
    </row>
    <row r="118" spans="1:13" x14ac:dyDescent="0.2">
      <c r="A118" s="572" t="s">
        <v>148</v>
      </c>
      <c r="B118" s="572"/>
      <c r="C118" s="572"/>
      <c r="D118" s="213" t="s">
        <v>71</v>
      </c>
      <c r="E118" s="216">
        <v>4.46</v>
      </c>
      <c r="F118" s="213" t="s">
        <v>71</v>
      </c>
      <c r="G118" s="216">
        <v>3.12</v>
      </c>
      <c r="H118" s="213"/>
      <c r="I118" s="216">
        <v>29.33</v>
      </c>
      <c r="J118" s="216"/>
      <c r="K118" s="216">
        <v>10.41</v>
      </c>
      <c r="L118" s="213"/>
      <c r="M118" s="214">
        <v>11.829999999999998</v>
      </c>
    </row>
    <row r="119" spans="1:13" x14ac:dyDescent="0.2">
      <c r="A119" s="572" t="s">
        <v>58</v>
      </c>
      <c r="B119" s="572"/>
      <c r="C119" s="572"/>
      <c r="D119" s="213" t="s">
        <v>71</v>
      </c>
      <c r="E119" s="220">
        <v>1.2999999999999999E-3</v>
      </c>
      <c r="F119" s="219" t="s">
        <v>71</v>
      </c>
      <c r="G119" s="220">
        <v>6.9999999999999999E-4</v>
      </c>
      <c r="H119" s="213"/>
      <c r="I119" s="220">
        <v>9.7000000000000003E-3</v>
      </c>
      <c r="J119" s="220"/>
      <c r="K119" s="220">
        <v>3.3999999999999998E-3</v>
      </c>
      <c r="L119" s="213"/>
      <c r="M119" s="223">
        <v>3.7750000000000001E-3</v>
      </c>
    </row>
    <row r="120" spans="1:13" x14ac:dyDescent="0.2">
      <c r="A120" s="572" t="s">
        <v>149</v>
      </c>
      <c r="B120" s="572"/>
      <c r="C120" s="572"/>
      <c r="D120" s="213" t="s">
        <v>71</v>
      </c>
      <c r="E120" s="220">
        <v>1.4606741573033707E-5</v>
      </c>
      <c r="F120" s="219" t="s">
        <v>71</v>
      </c>
      <c r="G120" s="220">
        <v>5.7851239669421486E-6</v>
      </c>
      <c r="H120" s="213"/>
      <c r="I120" s="220">
        <v>8.0833333333333338E-5</v>
      </c>
      <c r="J120" s="220"/>
      <c r="K120" s="220">
        <v>2.4285714285714285E-5</v>
      </c>
      <c r="L120" s="213"/>
      <c r="M120" s="223">
        <v>3.1377728289755869E-5</v>
      </c>
    </row>
    <row r="121" spans="1:13" ht="15" customHeight="1" x14ac:dyDescent="0.2">
      <c r="A121" s="552" t="s">
        <v>150</v>
      </c>
      <c r="B121" s="552"/>
      <c r="C121" s="552"/>
      <c r="D121" s="105"/>
      <c r="E121" s="113">
        <f>E120</f>
        <v>1.4606741573033707E-5</v>
      </c>
      <c r="F121" s="110"/>
      <c r="G121" s="113">
        <f>G120</f>
        <v>5.7851239669421486E-6</v>
      </c>
      <c r="H121" s="113"/>
      <c r="I121" s="113">
        <f>I120</f>
        <v>8.0833333333333338E-5</v>
      </c>
      <c r="J121" s="113"/>
      <c r="K121" s="113">
        <f>K120</f>
        <v>2.4285714285714285E-5</v>
      </c>
      <c r="L121" s="112"/>
      <c r="M121" s="114">
        <f>AVERAGE(E121,G121,I121,K121)</f>
        <v>3.1377728289755869E-5</v>
      </c>
    </row>
    <row r="122" spans="1:13" x14ac:dyDescent="0.2">
      <c r="A122" s="573" t="s">
        <v>163</v>
      </c>
      <c r="B122" s="574"/>
      <c r="C122" s="574"/>
      <c r="D122" s="574"/>
      <c r="E122" s="574"/>
      <c r="F122" s="574"/>
      <c r="G122" s="574"/>
      <c r="H122" s="574"/>
      <c r="I122" s="574"/>
      <c r="J122" s="574"/>
      <c r="K122" s="574"/>
      <c r="L122" s="574"/>
      <c r="M122" s="575"/>
    </row>
    <row r="123" spans="1:13" x14ac:dyDescent="0.2">
      <c r="A123" s="576" t="s">
        <v>142</v>
      </c>
      <c r="B123" s="576"/>
      <c r="C123" s="576"/>
      <c r="D123" s="213" t="s">
        <v>146</v>
      </c>
      <c r="E123" s="214">
        <v>0.9</v>
      </c>
      <c r="F123" s="213" t="s">
        <v>146</v>
      </c>
      <c r="G123" s="214">
        <v>0.9</v>
      </c>
      <c r="H123" s="213" t="s">
        <v>146</v>
      </c>
      <c r="I123" s="214">
        <v>0.9</v>
      </c>
      <c r="J123" s="213" t="s">
        <v>146</v>
      </c>
      <c r="K123" s="214">
        <v>0.9</v>
      </c>
      <c r="L123" s="212" t="s">
        <v>146</v>
      </c>
      <c r="M123" s="214">
        <v>0.9</v>
      </c>
    </row>
    <row r="124" spans="1:13" x14ac:dyDescent="0.2">
      <c r="A124" s="572" t="s">
        <v>147</v>
      </c>
      <c r="B124" s="572"/>
      <c r="C124" s="572"/>
      <c r="D124" s="213" t="s">
        <v>146</v>
      </c>
      <c r="E124" s="224">
        <v>5.0000000000000001E-3</v>
      </c>
      <c r="F124" s="213" t="s">
        <v>146</v>
      </c>
      <c r="G124" s="224">
        <v>7.0000000000000001E-3</v>
      </c>
      <c r="H124" s="213" t="s">
        <v>146</v>
      </c>
      <c r="I124" s="224">
        <v>0.01</v>
      </c>
      <c r="J124" s="213" t="s">
        <v>146</v>
      </c>
      <c r="K124" s="224">
        <v>0.01</v>
      </c>
      <c r="L124" s="212" t="s">
        <v>146</v>
      </c>
      <c r="M124" s="225">
        <v>8.0000000000000002E-3</v>
      </c>
    </row>
    <row r="125" spans="1:13" x14ac:dyDescent="0.2">
      <c r="A125" s="572" t="s">
        <v>148</v>
      </c>
      <c r="B125" s="572"/>
      <c r="C125" s="572"/>
      <c r="D125" s="213" t="s">
        <v>146</v>
      </c>
      <c r="E125" s="216">
        <v>0.03</v>
      </c>
      <c r="F125" s="213" t="s">
        <v>146</v>
      </c>
      <c r="G125" s="216">
        <v>0.03</v>
      </c>
      <c r="H125" s="213" t="s">
        <v>146</v>
      </c>
      <c r="I125" s="216">
        <v>0.05</v>
      </c>
      <c r="J125" s="213" t="s">
        <v>146</v>
      </c>
      <c r="K125" s="216">
        <v>0.04</v>
      </c>
      <c r="L125" s="212" t="s">
        <v>146</v>
      </c>
      <c r="M125" s="214">
        <v>3.7499999999999999E-2</v>
      </c>
    </row>
    <row r="126" spans="1:13" x14ac:dyDescent="0.2">
      <c r="A126" s="572" t="s">
        <v>58</v>
      </c>
      <c r="B126" s="572"/>
      <c r="C126" s="572"/>
      <c r="D126" s="213" t="s">
        <v>146</v>
      </c>
      <c r="E126" s="220">
        <v>7.1899999999999998E-6</v>
      </c>
      <c r="F126" s="219" t="s">
        <v>146</v>
      </c>
      <c r="G126" s="220">
        <v>1.057E-5</v>
      </c>
      <c r="H126" s="213" t="s">
        <v>146</v>
      </c>
      <c r="I126" s="220">
        <v>1.59E-5</v>
      </c>
      <c r="J126" s="213" t="s">
        <v>146</v>
      </c>
      <c r="K126" s="220">
        <v>1.4440000000000001E-5</v>
      </c>
      <c r="L126" s="218" t="s">
        <v>146</v>
      </c>
      <c r="M126" s="223">
        <v>1.2025000000000001E-5</v>
      </c>
    </row>
    <row r="127" spans="1:13" ht="15" customHeight="1" x14ac:dyDescent="0.2">
      <c r="A127" s="572" t="s">
        <v>149</v>
      </c>
      <c r="B127" s="572"/>
      <c r="C127" s="572"/>
      <c r="D127" s="213" t="s">
        <v>146</v>
      </c>
      <c r="E127" s="220">
        <v>8.0786516853932585E-8</v>
      </c>
      <c r="F127" s="219" t="s">
        <v>146</v>
      </c>
      <c r="G127" s="220">
        <v>8.7355371900826448E-8</v>
      </c>
      <c r="H127" s="213" t="s">
        <v>146</v>
      </c>
      <c r="I127" s="220">
        <v>1.325E-7</v>
      </c>
      <c r="J127" s="213" t="s">
        <v>146</v>
      </c>
      <c r="K127" s="220">
        <v>1.0314285714285715E-7</v>
      </c>
      <c r="L127" s="218" t="s">
        <v>146</v>
      </c>
      <c r="M127" s="223">
        <v>1.0094618647440404E-7</v>
      </c>
    </row>
    <row r="128" spans="1:13" ht="15" customHeight="1" x14ac:dyDescent="0.2">
      <c r="A128" s="552" t="s">
        <v>150</v>
      </c>
      <c r="B128" s="552"/>
      <c r="C128" s="552"/>
      <c r="D128" s="105"/>
      <c r="E128" s="113">
        <v>0</v>
      </c>
      <c r="F128" s="110"/>
      <c r="G128" s="113">
        <v>0</v>
      </c>
      <c r="H128" s="113"/>
      <c r="I128" s="113">
        <v>0</v>
      </c>
      <c r="J128" s="113"/>
      <c r="K128" s="113">
        <v>0</v>
      </c>
      <c r="L128" s="112"/>
      <c r="M128" s="114">
        <f>AVERAGE(E128,G128,I128,K128)</f>
        <v>0</v>
      </c>
    </row>
    <row r="129" spans="1:13" x14ac:dyDescent="0.2">
      <c r="A129" s="573" t="s">
        <v>164</v>
      </c>
      <c r="B129" s="574"/>
      <c r="C129" s="574"/>
      <c r="D129" s="574"/>
      <c r="E129" s="574"/>
      <c r="F129" s="574"/>
      <c r="G129" s="574"/>
      <c r="H129" s="574"/>
      <c r="I129" s="574"/>
      <c r="J129" s="574"/>
      <c r="K129" s="574"/>
      <c r="L129" s="574"/>
      <c r="M129" s="575"/>
    </row>
    <row r="130" spans="1:13" x14ac:dyDescent="0.2">
      <c r="A130" s="576" t="s">
        <v>142</v>
      </c>
      <c r="B130" s="576"/>
      <c r="C130" s="576"/>
      <c r="D130" s="213" t="s">
        <v>71</v>
      </c>
      <c r="E130" s="214">
        <v>23</v>
      </c>
      <c r="F130" s="213" t="s">
        <v>71</v>
      </c>
      <c r="G130" s="214">
        <v>24</v>
      </c>
      <c r="H130" s="213"/>
      <c r="I130" s="214">
        <v>4.8</v>
      </c>
      <c r="J130" s="214"/>
      <c r="K130" s="214">
        <v>5.7</v>
      </c>
      <c r="L130" s="214"/>
      <c r="M130" s="214">
        <v>14.375</v>
      </c>
    </row>
    <row r="131" spans="1:13" x14ac:dyDescent="0.2">
      <c r="A131" s="572" t="s">
        <v>147</v>
      </c>
      <c r="B131" s="572"/>
      <c r="C131" s="572"/>
      <c r="D131" s="213" t="s">
        <v>71</v>
      </c>
      <c r="E131" s="216">
        <v>0.30299999999999999</v>
      </c>
      <c r="F131" s="213"/>
      <c r="G131" s="216">
        <v>0.42099999999999999</v>
      </c>
      <c r="H131" s="213"/>
      <c r="I131" s="216">
        <v>0.121</v>
      </c>
      <c r="J131" s="216"/>
      <c r="K131" s="216">
        <v>0.13300000000000001</v>
      </c>
      <c r="L131" s="214"/>
      <c r="M131" s="225">
        <v>0.2445</v>
      </c>
    </row>
    <row r="132" spans="1:13" x14ac:dyDescent="0.2">
      <c r="A132" s="572" t="s">
        <v>148</v>
      </c>
      <c r="B132" s="572"/>
      <c r="C132" s="572"/>
      <c r="D132" s="213" t="s">
        <v>71</v>
      </c>
      <c r="E132" s="216">
        <v>0.64</v>
      </c>
      <c r="F132" s="213" t="s">
        <v>71</v>
      </c>
      <c r="G132" s="216">
        <v>0.89</v>
      </c>
      <c r="H132" s="213"/>
      <c r="I132" s="216">
        <v>0.26</v>
      </c>
      <c r="J132" s="216"/>
      <c r="K132" s="216">
        <v>0.28000000000000003</v>
      </c>
      <c r="L132" s="214"/>
      <c r="M132" s="214">
        <v>0.51750000000000007</v>
      </c>
    </row>
    <row r="133" spans="1:13" x14ac:dyDescent="0.2">
      <c r="A133" s="572" t="s">
        <v>58</v>
      </c>
      <c r="B133" s="572"/>
      <c r="C133" s="572"/>
      <c r="D133" s="213" t="s">
        <v>71</v>
      </c>
      <c r="E133" s="220">
        <v>2.0000000000000001E-4</v>
      </c>
      <c r="F133" s="219" t="s">
        <v>71</v>
      </c>
      <c r="G133" s="220">
        <v>2.9999999999999997E-4</v>
      </c>
      <c r="H133" s="213"/>
      <c r="I133" s="220">
        <v>8.4809999999999996E-5</v>
      </c>
      <c r="J133" s="226"/>
      <c r="K133" s="220">
        <v>1E-4</v>
      </c>
      <c r="L133" s="214"/>
      <c r="M133" s="223">
        <v>1.7120250000000003E-4</v>
      </c>
    </row>
    <row r="134" spans="1:13" ht="15" customHeight="1" x14ac:dyDescent="0.2">
      <c r="A134" s="572" t="s">
        <v>149</v>
      </c>
      <c r="B134" s="572"/>
      <c r="C134" s="572"/>
      <c r="D134" s="213" t="s">
        <v>71</v>
      </c>
      <c r="E134" s="220">
        <v>2.247191011235955E-6</v>
      </c>
      <c r="F134" s="219" t="s">
        <v>71</v>
      </c>
      <c r="G134" s="220">
        <v>2.4793388429752062E-6</v>
      </c>
      <c r="H134" s="213"/>
      <c r="I134" s="220">
        <v>6.0578571428571421E-7</v>
      </c>
      <c r="J134" s="227"/>
      <c r="K134" s="220">
        <v>6.8493150684931511E-7</v>
      </c>
      <c r="L134" s="214"/>
      <c r="M134" s="223">
        <v>1.5043117688365476E-6</v>
      </c>
    </row>
    <row r="135" spans="1:13" ht="16" x14ac:dyDescent="0.2">
      <c r="A135" s="552" t="s">
        <v>150</v>
      </c>
      <c r="B135" s="552"/>
      <c r="C135" s="552"/>
      <c r="D135" s="105"/>
      <c r="E135" s="113">
        <f>E134</f>
        <v>2.247191011235955E-6</v>
      </c>
      <c r="F135" s="110"/>
      <c r="G135" s="113">
        <f>G134</f>
        <v>2.4793388429752062E-6</v>
      </c>
      <c r="H135" s="113"/>
      <c r="I135" s="113">
        <f>I134</f>
        <v>6.0578571428571421E-7</v>
      </c>
      <c r="J135" s="113"/>
      <c r="K135" s="113">
        <f>K134</f>
        <v>6.8493150684931511E-7</v>
      </c>
      <c r="L135" s="112"/>
      <c r="M135" s="114">
        <f>AVERAGE(E135,G135,I135,K135)</f>
        <v>1.5043117688365476E-6</v>
      </c>
    </row>
  </sheetData>
  <mergeCells count="134">
    <mergeCell ref="A8:C8"/>
    <mergeCell ref="A9:C9"/>
    <mergeCell ref="A10:C10"/>
    <mergeCell ref="A12:M12"/>
    <mergeCell ref="A13:C13"/>
    <mergeCell ref="A14:C14"/>
    <mergeCell ref="A1:M1"/>
    <mergeCell ref="B2:E2"/>
    <mergeCell ref="B3:E3"/>
    <mergeCell ref="B4:E4"/>
    <mergeCell ref="B5:E5"/>
    <mergeCell ref="A7:C7"/>
    <mergeCell ref="E7:M7"/>
    <mergeCell ref="A21:C21"/>
    <mergeCell ref="A22:C22"/>
    <mergeCell ref="A23:C23"/>
    <mergeCell ref="A24:C24"/>
    <mergeCell ref="A25:C25"/>
    <mergeCell ref="A26:M26"/>
    <mergeCell ref="A15:C15"/>
    <mergeCell ref="A16:C16"/>
    <mergeCell ref="A17:C17"/>
    <mergeCell ref="A18:C18"/>
    <mergeCell ref="A19:C19"/>
    <mergeCell ref="A20:C20"/>
    <mergeCell ref="A33:C33"/>
    <mergeCell ref="A34:C34"/>
    <mergeCell ref="A35:C35"/>
    <mergeCell ref="A36:C36"/>
    <mergeCell ref="A37:C37"/>
    <mergeCell ref="A38:M38"/>
    <mergeCell ref="A27:C27"/>
    <mergeCell ref="A28:C28"/>
    <mergeCell ref="A29:C29"/>
    <mergeCell ref="A30:C30"/>
    <mergeCell ref="A31:M31"/>
    <mergeCell ref="A32:C32"/>
    <mergeCell ref="A45:M45"/>
    <mergeCell ref="A46:C46"/>
    <mergeCell ref="A47:C47"/>
    <mergeCell ref="A48:C48"/>
    <mergeCell ref="A49:C49"/>
    <mergeCell ref="A50:C50"/>
    <mergeCell ref="A39:C39"/>
    <mergeCell ref="A40:C40"/>
    <mergeCell ref="A41:C41"/>
    <mergeCell ref="A42:C42"/>
    <mergeCell ref="A43:C43"/>
    <mergeCell ref="A44:C44"/>
    <mergeCell ref="A57:C57"/>
    <mergeCell ref="A58:C58"/>
    <mergeCell ref="A59:M59"/>
    <mergeCell ref="A60:C60"/>
    <mergeCell ref="A61:C61"/>
    <mergeCell ref="A62:C62"/>
    <mergeCell ref="A51:C51"/>
    <mergeCell ref="A52:M52"/>
    <mergeCell ref="A53:C53"/>
    <mergeCell ref="A54:C54"/>
    <mergeCell ref="A55:C55"/>
    <mergeCell ref="A56:C56"/>
    <mergeCell ref="A70:C70"/>
    <mergeCell ref="A71:C71"/>
    <mergeCell ref="A72:C72"/>
    <mergeCell ref="A73:M73"/>
    <mergeCell ref="A74:C74"/>
    <mergeCell ref="A75:C75"/>
    <mergeCell ref="A63:C63"/>
    <mergeCell ref="A64:C64"/>
    <mergeCell ref="A66:M66"/>
    <mergeCell ref="A67:C67"/>
    <mergeCell ref="A68:C68"/>
    <mergeCell ref="A69:C69"/>
    <mergeCell ref="A82:C82"/>
    <mergeCell ref="A83:C83"/>
    <mergeCell ref="A84:C84"/>
    <mergeCell ref="A85:C85"/>
    <mergeCell ref="A86:C86"/>
    <mergeCell ref="A87:M87"/>
    <mergeCell ref="A76:C76"/>
    <mergeCell ref="A77:C77"/>
    <mergeCell ref="A78:C78"/>
    <mergeCell ref="A79:C79"/>
    <mergeCell ref="A80:M80"/>
    <mergeCell ref="A81:C81"/>
    <mergeCell ref="A94:M94"/>
    <mergeCell ref="A95:C95"/>
    <mergeCell ref="A96:C96"/>
    <mergeCell ref="A97:C97"/>
    <mergeCell ref="A98:C98"/>
    <mergeCell ref="A99:C99"/>
    <mergeCell ref="A88:C88"/>
    <mergeCell ref="A89:C89"/>
    <mergeCell ref="A90:C90"/>
    <mergeCell ref="A91:C91"/>
    <mergeCell ref="A92:C92"/>
    <mergeCell ref="A93:C93"/>
    <mergeCell ref="A118:C118"/>
    <mergeCell ref="A107:C107"/>
    <mergeCell ref="A108:M108"/>
    <mergeCell ref="A109:C109"/>
    <mergeCell ref="A110:C110"/>
    <mergeCell ref="A111:C111"/>
    <mergeCell ref="A112:C112"/>
    <mergeCell ref="A101:M101"/>
    <mergeCell ref="A102:C102"/>
    <mergeCell ref="A103:C103"/>
    <mergeCell ref="A104:C104"/>
    <mergeCell ref="A105:C105"/>
    <mergeCell ref="A106:C106"/>
    <mergeCell ref="A135:C135"/>
    <mergeCell ref="A131:C131"/>
    <mergeCell ref="A132:C132"/>
    <mergeCell ref="A133:C133"/>
    <mergeCell ref="A134:C134"/>
    <mergeCell ref="A65:C65"/>
    <mergeCell ref="A100:C100"/>
    <mergeCell ref="A125:C125"/>
    <mergeCell ref="A126:C126"/>
    <mergeCell ref="A127:C127"/>
    <mergeCell ref="A128:C128"/>
    <mergeCell ref="A129:M129"/>
    <mergeCell ref="A130:C130"/>
    <mergeCell ref="A119:C119"/>
    <mergeCell ref="A120:C120"/>
    <mergeCell ref="A121:C121"/>
    <mergeCell ref="A122:M122"/>
    <mergeCell ref="A123:C123"/>
    <mergeCell ref="A124:C124"/>
    <mergeCell ref="A113:C113"/>
    <mergeCell ref="A114:C114"/>
    <mergeCell ref="A115:M115"/>
    <mergeCell ref="A116:C116"/>
    <mergeCell ref="A117:C117"/>
  </mergeCells>
  <conditionalFormatting sqref="A33:C35 A40:C42 A47:C49 A54:C56 A61:C63 E40:E42 G40:G42 E47:E49 G47:G49 E54:E56 G54:G56 E61:E63 G61:G63 E33:E36 G33:G36 J61:J63 A31:M31 A38:M38 A45:M45 A52:M52 A59:M59 H28:K29">
    <cfRule type="cellIs" dxfId="1043" priority="332" stopIfTrue="1" operator="equal">
      <formula>0</formula>
    </cfRule>
  </conditionalFormatting>
  <conditionalFormatting sqref="A60:C60">
    <cfRule type="cellIs" dxfId="1042" priority="331" stopIfTrue="1" operator="equal">
      <formula>0</formula>
    </cfRule>
  </conditionalFormatting>
  <conditionalFormatting sqref="A64:C64">
    <cfRule type="cellIs" dxfId="1041" priority="330" stopIfTrue="1" operator="equal">
      <formula>0</formula>
    </cfRule>
  </conditionalFormatting>
  <conditionalFormatting sqref="A53:C53">
    <cfRule type="cellIs" dxfId="1040" priority="329" stopIfTrue="1" operator="equal">
      <formula>0</formula>
    </cfRule>
  </conditionalFormatting>
  <conditionalFormatting sqref="A46:C46">
    <cfRule type="cellIs" dxfId="1039" priority="327" stopIfTrue="1" operator="equal">
      <formula>0</formula>
    </cfRule>
  </conditionalFormatting>
  <conditionalFormatting sqref="A50:C50">
    <cfRule type="cellIs" dxfId="1038" priority="328" stopIfTrue="1" operator="equal">
      <formula>0</formula>
    </cfRule>
  </conditionalFormatting>
  <conditionalFormatting sqref="A43:C43">
    <cfRule type="cellIs" dxfId="1037" priority="326" stopIfTrue="1" operator="equal">
      <formula>0</formula>
    </cfRule>
  </conditionalFormatting>
  <conditionalFormatting sqref="A39:C39">
    <cfRule type="cellIs" dxfId="1036" priority="325" stopIfTrue="1" operator="equal">
      <formula>0</formula>
    </cfRule>
  </conditionalFormatting>
  <conditionalFormatting sqref="A36:C36">
    <cfRule type="cellIs" dxfId="1035" priority="324" stopIfTrue="1" operator="equal">
      <formula>0</formula>
    </cfRule>
  </conditionalFormatting>
  <conditionalFormatting sqref="A32:C32">
    <cfRule type="cellIs" dxfId="1034" priority="323" stopIfTrue="1" operator="equal">
      <formula>0</formula>
    </cfRule>
  </conditionalFormatting>
  <conditionalFormatting sqref="D32">
    <cfRule type="cellIs" dxfId="1033" priority="322" stopIfTrue="1" operator="equal">
      <formula>0</formula>
    </cfRule>
  </conditionalFormatting>
  <conditionalFormatting sqref="D33:D37">
    <cfRule type="cellIs" dxfId="1032" priority="321" stopIfTrue="1" operator="equal">
      <formula>0</formula>
    </cfRule>
  </conditionalFormatting>
  <conditionalFormatting sqref="E43">
    <cfRule type="cellIs" dxfId="1031" priority="320" stopIfTrue="1" operator="equal">
      <formula>0</formula>
    </cfRule>
  </conditionalFormatting>
  <conditionalFormatting sqref="E64">
    <cfRule type="cellIs" dxfId="1030" priority="317" stopIfTrue="1" operator="equal">
      <formula>0</formula>
    </cfRule>
  </conditionalFormatting>
  <conditionalFormatting sqref="E50">
    <cfRule type="cellIs" dxfId="1029" priority="319" stopIfTrue="1" operator="equal">
      <formula>0</formula>
    </cfRule>
  </conditionalFormatting>
  <conditionalFormatting sqref="E57">
    <cfRule type="cellIs" dxfId="1028" priority="318" stopIfTrue="1" operator="equal">
      <formula>0</formula>
    </cfRule>
  </conditionalFormatting>
  <conditionalFormatting sqref="G57">
    <cfRule type="cellIs" dxfId="1027" priority="316" stopIfTrue="1" operator="equal">
      <formula>0</formula>
    </cfRule>
  </conditionalFormatting>
  <conditionalFormatting sqref="J64">
    <cfRule type="cellIs" dxfId="1026" priority="315" stopIfTrue="1" operator="equal">
      <formula>0</formula>
    </cfRule>
  </conditionalFormatting>
  <conditionalFormatting sqref="E28">
    <cfRule type="cellIs" dxfId="1025" priority="314" stopIfTrue="1" operator="equal">
      <formula>0</formula>
    </cfRule>
  </conditionalFormatting>
  <conditionalFormatting sqref="E29">
    <cfRule type="cellIs" dxfId="1024" priority="313" stopIfTrue="1" operator="equal">
      <formula>0</formula>
    </cfRule>
  </conditionalFormatting>
  <conditionalFormatting sqref="G28:G29">
    <cfRule type="cellIs" dxfId="1023" priority="312" stopIfTrue="1" operator="equal">
      <formula>0</formula>
    </cfRule>
  </conditionalFormatting>
  <conditionalFormatting sqref="F32">
    <cfRule type="cellIs" dxfId="1022" priority="308" stopIfTrue="1" operator="equal">
      <formula>0</formula>
    </cfRule>
  </conditionalFormatting>
  <conditionalFormatting sqref="F33:F36">
    <cfRule type="cellIs" dxfId="1021" priority="307" stopIfTrue="1" operator="equal">
      <formula>0</formula>
    </cfRule>
  </conditionalFormatting>
  <conditionalFormatting sqref="D39">
    <cfRule type="cellIs" dxfId="1020" priority="306" stopIfTrue="1" operator="equal">
      <formula>0</formula>
    </cfRule>
  </conditionalFormatting>
  <conditionalFormatting sqref="D40:D43">
    <cfRule type="cellIs" dxfId="1019" priority="305" stopIfTrue="1" operator="equal">
      <formula>0</formula>
    </cfRule>
  </conditionalFormatting>
  <conditionalFormatting sqref="F39">
    <cfRule type="cellIs" dxfId="1018" priority="304" stopIfTrue="1" operator="equal">
      <formula>0</formula>
    </cfRule>
  </conditionalFormatting>
  <conditionalFormatting sqref="F40:F43">
    <cfRule type="cellIs" dxfId="1017" priority="303" stopIfTrue="1" operator="equal">
      <formula>0</formula>
    </cfRule>
  </conditionalFormatting>
  <conditionalFormatting sqref="D46">
    <cfRule type="cellIs" dxfId="1016" priority="302" stopIfTrue="1" operator="equal">
      <formula>0</formula>
    </cfRule>
  </conditionalFormatting>
  <conditionalFormatting sqref="D47:D50">
    <cfRule type="cellIs" dxfId="1015" priority="301" stopIfTrue="1" operator="equal">
      <formula>0</formula>
    </cfRule>
  </conditionalFormatting>
  <conditionalFormatting sqref="F46">
    <cfRule type="cellIs" dxfId="1014" priority="300" stopIfTrue="1" operator="equal">
      <formula>0</formula>
    </cfRule>
  </conditionalFormatting>
  <conditionalFormatting sqref="F47:F50">
    <cfRule type="cellIs" dxfId="1013" priority="299" stopIfTrue="1" operator="equal">
      <formula>0</formula>
    </cfRule>
  </conditionalFormatting>
  <conditionalFormatting sqref="D53">
    <cfRule type="cellIs" dxfId="1012" priority="298" stopIfTrue="1" operator="equal">
      <formula>0</formula>
    </cfRule>
  </conditionalFormatting>
  <conditionalFormatting sqref="D54:D57">
    <cfRule type="cellIs" dxfId="1011" priority="297" stopIfTrue="1" operator="equal">
      <formula>0</formula>
    </cfRule>
  </conditionalFormatting>
  <conditionalFormatting sqref="F53">
    <cfRule type="cellIs" dxfId="1010" priority="296" stopIfTrue="1" operator="equal">
      <formula>0</formula>
    </cfRule>
  </conditionalFormatting>
  <conditionalFormatting sqref="F54:F57">
    <cfRule type="cellIs" dxfId="1009" priority="295" stopIfTrue="1" operator="equal">
      <formula>0</formula>
    </cfRule>
  </conditionalFormatting>
  <conditionalFormatting sqref="D60">
    <cfRule type="cellIs" dxfId="1008" priority="294" stopIfTrue="1" operator="equal">
      <formula>0</formula>
    </cfRule>
  </conditionalFormatting>
  <conditionalFormatting sqref="D61:D64">
    <cfRule type="cellIs" dxfId="1007" priority="293" stopIfTrue="1" operator="equal">
      <formula>0</formula>
    </cfRule>
  </conditionalFormatting>
  <conditionalFormatting sqref="F60">
    <cfRule type="cellIs" dxfId="1006" priority="292" stopIfTrue="1" operator="equal">
      <formula>0</formula>
    </cfRule>
  </conditionalFormatting>
  <conditionalFormatting sqref="F61:F64">
    <cfRule type="cellIs" dxfId="1005" priority="291" stopIfTrue="1" operator="equal">
      <formula>0</formula>
    </cfRule>
  </conditionalFormatting>
  <conditionalFormatting sqref="G43">
    <cfRule type="cellIs" dxfId="1004" priority="290" stopIfTrue="1" operator="equal">
      <formula>0</formula>
    </cfRule>
  </conditionalFormatting>
  <conditionalFormatting sqref="G50">
    <cfRule type="cellIs" dxfId="1003" priority="289" stopIfTrue="1" operator="equal">
      <formula>0</formula>
    </cfRule>
  </conditionalFormatting>
  <conditionalFormatting sqref="A57:C57">
    <cfRule type="cellIs" dxfId="1002" priority="288" stopIfTrue="1" operator="equal">
      <formula>0</formula>
    </cfRule>
  </conditionalFormatting>
  <conditionalFormatting sqref="G64">
    <cfRule type="cellIs" dxfId="1001" priority="287" stopIfTrue="1" operator="equal">
      <formula>0</formula>
    </cfRule>
  </conditionalFormatting>
  <conditionalFormatting sqref="K64">
    <cfRule type="cellIs" dxfId="1000" priority="252" stopIfTrue="1" operator="equal">
      <formula>0</formula>
    </cfRule>
  </conditionalFormatting>
  <conditionalFormatting sqref="I33:I36">
    <cfRule type="cellIs" dxfId="999" priority="286" stopIfTrue="1" operator="equal">
      <formula>0</formula>
    </cfRule>
  </conditionalFormatting>
  <conditionalFormatting sqref="H32">
    <cfRule type="cellIs" dxfId="998" priority="285" stopIfTrue="1" operator="equal">
      <formula>0</formula>
    </cfRule>
  </conditionalFormatting>
  <conditionalFormatting sqref="H33:H36">
    <cfRule type="cellIs" dxfId="997" priority="284" stopIfTrue="1" operator="equal">
      <formula>0</formula>
    </cfRule>
  </conditionalFormatting>
  <conditionalFormatting sqref="L32">
    <cfRule type="cellIs" dxfId="996" priority="283" stopIfTrue="1" operator="equal">
      <formula>0</formula>
    </cfRule>
  </conditionalFormatting>
  <conditionalFormatting sqref="L33:L36">
    <cfRule type="cellIs" dxfId="995" priority="282" stopIfTrue="1" operator="equal">
      <formula>0</formula>
    </cfRule>
  </conditionalFormatting>
  <conditionalFormatting sqref="I40:I42">
    <cfRule type="cellIs" dxfId="994" priority="281" stopIfTrue="1" operator="equal">
      <formula>0</formula>
    </cfRule>
  </conditionalFormatting>
  <conditionalFormatting sqref="I43">
    <cfRule type="cellIs" dxfId="993" priority="280" stopIfTrue="1" operator="equal">
      <formula>0</formula>
    </cfRule>
  </conditionalFormatting>
  <conditionalFormatting sqref="H39">
    <cfRule type="cellIs" dxfId="992" priority="279" stopIfTrue="1" operator="equal">
      <formula>0</formula>
    </cfRule>
  </conditionalFormatting>
  <conditionalFormatting sqref="H40:H43">
    <cfRule type="cellIs" dxfId="991" priority="278" stopIfTrue="1" operator="equal">
      <formula>0</formula>
    </cfRule>
  </conditionalFormatting>
  <conditionalFormatting sqref="K40:K41">
    <cfRule type="cellIs" dxfId="990" priority="277" stopIfTrue="1" operator="equal">
      <formula>0</formula>
    </cfRule>
  </conditionalFormatting>
  <conditionalFormatting sqref="J39">
    <cfRule type="cellIs" dxfId="989" priority="276" stopIfTrue="1" operator="equal">
      <formula>0</formula>
    </cfRule>
  </conditionalFormatting>
  <conditionalFormatting sqref="J40:J43">
    <cfRule type="cellIs" dxfId="988" priority="275" stopIfTrue="1" operator="equal">
      <formula>0</formula>
    </cfRule>
  </conditionalFormatting>
  <conditionalFormatting sqref="K42">
    <cfRule type="cellIs" dxfId="987" priority="274" stopIfTrue="1" operator="equal">
      <formula>0</formula>
    </cfRule>
  </conditionalFormatting>
  <conditionalFormatting sqref="K43">
    <cfRule type="cellIs" dxfId="986" priority="273" stopIfTrue="1" operator="equal">
      <formula>0</formula>
    </cfRule>
  </conditionalFormatting>
  <conditionalFormatting sqref="I47:I49">
    <cfRule type="cellIs" dxfId="985" priority="272" stopIfTrue="1" operator="equal">
      <formula>0</formula>
    </cfRule>
  </conditionalFormatting>
  <conditionalFormatting sqref="I50">
    <cfRule type="cellIs" dxfId="984" priority="271" stopIfTrue="1" operator="equal">
      <formula>0</formula>
    </cfRule>
  </conditionalFormatting>
  <conditionalFormatting sqref="H46">
    <cfRule type="cellIs" dxfId="983" priority="270" stopIfTrue="1" operator="equal">
      <formula>0</formula>
    </cfRule>
  </conditionalFormatting>
  <conditionalFormatting sqref="H47:H50">
    <cfRule type="cellIs" dxfId="982" priority="269" stopIfTrue="1" operator="equal">
      <formula>0</formula>
    </cfRule>
  </conditionalFormatting>
  <conditionalFormatting sqref="K47:K48">
    <cfRule type="cellIs" dxfId="981" priority="268" stopIfTrue="1" operator="equal">
      <formula>0</formula>
    </cfRule>
  </conditionalFormatting>
  <conditionalFormatting sqref="J46">
    <cfRule type="cellIs" dxfId="980" priority="267" stopIfTrue="1" operator="equal">
      <formula>0</formula>
    </cfRule>
  </conditionalFormatting>
  <conditionalFormatting sqref="J47:J50">
    <cfRule type="cellIs" dxfId="979" priority="266" stopIfTrue="1" operator="equal">
      <formula>0</formula>
    </cfRule>
  </conditionalFormatting>
  <conditionalFormatting sqref="K49">
    <cfRule type="cellIs" dxfId="978" priority="265" stopIfTrue="1" operator="equal">
      <formula>0</formula>
    </cfRule>
  </conditionalFormatting>
  <conditionalFormatting sqref="K50">
    <cfRule type="cellIs" dxfId="977" priority="264" stopIfTrue="1" operator="equal">
      <formula>0</formula>
    </cfRule>
  </conditionalFormatting>
  <conditionalFormatting sqref="I54:I56">
    <cfRule type="cellIs" dxfId="976" priority="263" stopIfTrue="1" operator="equal">
      <formula>0</formula>
    </cfRule>
  </conditionalFormatting>
  <conditionalFormatting sqref="I57">
    <cfRule type="cellIs" dxfId="975" priority="262" stopIfTrue="1" operator="equal">
      <formula>0</formula>
    </cfRule>
  </conditionalFormatting>
  <conditionalFormatting sqref="H53">
    <cfRule type="cellIs" dxfId="974" priority="261" stopIfTrue="1" operator="equal">
      <formula>0</formula>
    </cfRule>
  </conditionalFormatting>
  <conditionalFormatting sqref="H54:H57">
    <cfRule type="cellIs" dxfId="973" priority="260" stopIfTrue="1" operator="equal">
      <formula>0</formula>
    </cfRule>
  </conditionalFormatting>
  <conditionalFormatting sqref="K54:K55">
    <cfRule type="cellIs" dxfId="972" priority="259" stopIfTrue="1" operator="equal">
      <formula>0</formula>
    </cfRule>
  </conditionalFormatting>
  <conditionalFormatting sqref="J53">
    <cfRule type="cellIs" dxfId="971" priority="258" stopIfTrue="1" operator="equal">
      <formula>0</formula>
    </cfRule>
  </conditionalFormatting>
  <conditionalFormatting sqref="J54:J57">
    <cfRule type="cellIs" dxfId="970" priority="257" stopIfTrue="1" operator="equal">
      <formula>0</formula>
    </cfRule>
  </conditionalFormatting>
  <conditionalFormatting sqref="K56">
    <cfRule type="cellIs" dxfId="969" priority="256" stopIfTrue="1" operator="equal">
      <formula>0</formula>
    </cfRule>
  </conditionalFormatting>
  <conditionalFormatting sqref="K57">
    <cfRule type="cellIs" dxfId="968" priority="255" stopIfTrue="1" operator="equal">
      <formula>0</formula>
    </cfRule>
  </conditionalFormatting>
  <conditionalFormatting sqref="K61:K62">
    <cfRule type="cellIs" dxfId="967" priority="254" stopIfTrue="1" operator="equal">
      <formula>0</formula>
    </cfRule>
  </conditionalFormatting>
  <conditionalFormatting sqref="K63">
    <cfRule type="cellIs" dxfId="966" priority="253" stopIfTrue="1" operator="equal">
      <formula>0</formula>
    </cfRule>
  </conditionalFormatting>
  <conditionalFormatting sqref="I61:I63">
    <cfRule type="cellIs" dxfId="965" priority="251" stopIfTrue="1" operator="equal">
      <formula>0</formula>
    </cfRule>
  </conditionalFormatting>
  <conditionalFormatting sqref="I64">
    <cfRule type="cellIs" dxfId="964" priority="250" stopIfTrue="1" operator="equal">
      <formula>0</formula>
    </cfRule>
  </conditionalFormatting>
  <conditionalFormatting sqref="H60">
    <cfRule type="cellIs" dxfId="963" priority="249" stopIfTrue="1" operator="equal">
      <formula>0</formula>
    </cfRule>
  </conditionalFormatting>
  <conditionalFormatting sqref="H61:H64">
    <cfRule type="cellIs" dxfId="962" priority="248" stopIfTrue="1" operator="equal">
      <formula>0</formula>
    </cfRule>
  </conditionalFormatting>
  <conditionalFormatting sqref="K33:K36">
    <cfRule type="cellIs" dxfId="961" priority="247" stopIfTrue="1" operator="equal">
      <formula>0</formula>
    </cfRule>
  </conditionalFormatting>
  <conditionalFormatting sqref="J32">
    <cfRule type="cellIs" dxfId="960" priority="246" stopIfTrue="1" operator="equal">
      <formula>0</formula>
    </cfRule>
  </conditionalFormatting>
  <conditionalFormatting sqref="J33:J36">
    <cfRule type="cellIs" dxfId="959" priority="245" stopIfTrue="1" operator="equal">
      <formula>0</formula>
    </cfRule>
  </conditionalFormatting>
  <conditionalFormatting sqref="L39">
    <cfRule type="cellIs" dxfId="958" priority="244" stopIfTrue="1" operator="equal">
      <formula>0</formula>
    </cfRule>
  </conditionalFormatting>
  <conditionalFormatting sqref="L40:L43">
    <cfRule type="cellIs" dxfId="957" priority="243" stopIfTrue="1" operator="equal">
      <formula>0</formula>
    </cfRule>
  </conditionalFormatting>
  <conditionalFormatting sqref="L46">
    <cfRule type="cellIs" dxfId="956" priority="242" stopIfTrue="1" operator="equal">
      <formula>0</formula>
    </cfRule>
  </conditionalFormatting>
  <conditionalFormatting sqref="L47:L50">
    <cfRule type="cellIs" dxfId="955" priority="241" stopIfTrue="1" operator="equal">
      <formula>0</formula>
    </cfRule>
  </conditionalFormatting>
  <conditionalFormatting sqref="L53">
    <cfRule type="cellIs" dxfId="954" priority="240" stopIfTrue="1" operator="equal">
      <formula>0</formula>
    </cfRule>
  </conditionalFormatting>
  <conditionalFormatting sqref="L54:L57">
    <cfRule type="cellIs" dxfId="953" priority="239" stopIfTrue="1" operator="equal">
      <formula>0</formula>
    </cfRule>
  </conditionalFormatting>
  <conditionalFormatting sqref="L60">
    <cfRule type="cellIs" dxfId="952" priority="238" stopIfTrue="1" operator="equal">
      <formula>0</formula>
    </cfRule>
  </conditionalFormatting>
  <conditionalFormatting sqref="L61:L64">
    <cfRule type="cellIs" dxfId="951" priority="237" stopIfTrue="1" operator="equal">
      <formula>0</formula>
    </cfRule>
  </conditionalFormatting>
  <conditionalFormatting sqref="A68:C70 A75:C77 A82:C84 A89:C91 A96:C98 E76:E77 G76 E83:E84 G83:G84 E90:E91 G90:G91 E97:E98 G97 E68:E71 G68:G71 J68:J71 J76:J77 J83:J84 J90:J91 J97:J98 A66:M66 A73:M73 A80:M80 A87:M87 A94:M94 H96">
    <cfRule type="cellIs" dxfId="950" priority="236" stopIfTrue="1" operator="equal">
      <formula>0</formula>
    </cfRule>
  </conditionalFormatting>
  <conditionalFormatting sqref="A95:C95">
    <cfRule type="cellIs" dxfId="949" priority="235" stopIfTrue="1" operator="equal">
      <formula>0</formula>
    </cfRule>
  </conditionalFormatting>
  <conditionalFormatting sqref="A99:C99">
    <cfRule type="cellIs" dxfId="948" priority="234" stopIfTrue="1" operator="equal">
      <formula>0</formula>
    </cfRule>
  </conditionalFormatting>
  <conditionalFormatting sqref="A88:C88">
    <cfRule type="cellIs" dxfId="947" priority="233" stopIfTrue="1" operator="equal">
      <formula>0</formula>
    </cfRule>
  </conditionalFormatting>
  <conditionalFormatting sqref="A92:C92">
    <cfRule type="cellIs" dxfId="946" priority="232" stopIfTrue="1" operator="equal">
      <formula>0</formula>
    </cfRule>
  </conditionalFormatting>
  <conditionalFormatting sqref="A85:C85">
    <cfRule type="cellIs" dxfId="945" priority="231" stopIfTrue="1" operator="equal">
      <formula>0</formula>
    </cfRule>
  </conditionalFormatting>
  <conditionalFormatting sqref="A81:C81">
    <cfRule type="cellIs" dxfId="944" priority="230" stopIfTrue="1" operator="equal">
      <formula>0</formula>
    </cfRule>
  </conditionalFormatting>
  <conditionalFormatting sqref="A78:C78">
    <cfRule type="cellIs" dxfId="943" priority="229" stopIfTrue="1" operator="equal">
      <formula>0</formula>
    </cfRule>
  </conditionalFormatting>
  <conditionalFormatting sqref="A74:C74">
    <cfRule type="cellIs" dxfId="942" priority="228" stopIfTrue="1" operator="equal">
      <formula>0</formula>
    </cfRule>
  </conditionalFormatting>
  <conditionalFormatting sqref="A71:C71">
    <cfRule type="cellIs" dxfId="941" priority="227" stopIfTrue="1" operator="equal">
      <formula>0</formula>
    </cfRule>
  </conditionalFormatting>
  <conditionalFormatting sqref="A67:C67">
    <cfRule type="cellIs" dxfId="940" priority="226" stopIfTrue="1" operator="equal">
      <formula>0</formula>
    </cfRule>
  </conditionalFormatting>
  <conditionalFormatting sqref="D67">
    <cfRule type="cellIs" dxfId="939" priority="225" stopIfTrue="1" operator="equal">
      <formula>0</formula>
    </cfRule>
  </conditionalFormatting>
  <conditionalFormatting sqref="D68:D71">
    <cfRule type="cellIs" dxfId="938" priority="224" stopIfTrue="1" operator="equal">
      <formula>0</formula>
    </cfRule>
  </conditionalFormatting>
  <conditionalFormatting sqref="E78">
    <cfRule type="cellIs" dxfId="937" priority="223" stopIfTrue="1" operator="equal">
      <formula>0</formula>
    </cfRule>
  </conditionalFormatting>
  <conditionalFormatting sqref="E99">
    <cfRule type="cellIs" dxfId="936" priority="219" stopIfTrue="1" operator="equal">
      <formula>0</formula>
    </cfRule>
  </conditionalFormatting>
  <conditionalFormatting sqref="J78">
    <cfRule type="cellIs" dxfId="935" priority="222" stopIfTrue="1" operator="equal">
      <formula>0</formula>
    </cfRule>
  </conditionalFormatting>
  <conditionalFormatting sqref="E85">
    <cfRule type="cellIs" dxfId="934" priority="221" stopIfTrue="1" operator="equal">
      <formula>0</formula>
    </cfRule>
  </conditionalFormatting>
  <conditionalFormatting sqref="E92">
    <cfRule type="cellIs" dxfId="933" priority="220" stopIfTrue="1" operator="equal">
      <formula>0</formula>
    </cfRule>
  </conditionalFormatting>
  <conditionalFormatting sqref="G85">
    <cfRule type="cellIs" dxfId="932" priority="218" stopIfTrue="1" operator="equal">
      <formula>0</formula>
    </cfRule>
  </conditionalFormatting>
  <conditionalFormatting sqref="G92">
    <cfRule type="cellIs" dxfId="931" priority="217" stopIfTrue="1" operator="equal">
      <formula>0</formula>
    </cfRule>
  </conditionalFormatting>
  <conditionalFormatting sqref="J92">
    <cfRule type="cellIs" dxfId="930" priority="215" stopIfTrue="1" operator="equal">
      <formula>0</formula>
    </cfRule>
  </conditionalFormatting>
  <conditionalFormatting sqref="J85">
    <cfRule type="cellIs" dxfId="929" priority="216" stopIfTrue="1" operator="equal">
      <formula>0</formula>
    </cfRule>
  </conditionalFormatting>
  <conditionalFormatting sqref="J99">
    <cfRule type="cellIs" dxfId="928" priority="214" stopIfTrue="1" operator="equal">
      <formula>0</formula>
    </cfRule>
  </conditionalFormatting>
  <conditionalFormatting sqref="F67">
    <cfRule type="cellIs" dxfId="927" priority="210" stopIfTrue="1" operator="equal">
      <formula>0</formula>
    </cfRule>
  </conditionalFormatting>
  <conditionalFormatting sqref="F68:F71">
    <cfRule type="cellIs" dxfId="926" priority="209" stopIfTrue="1" operator="equal">
      <formula>0</formula>
    </cfRule>
  </conditionalFormatting>
  <conditionalFormatting sqref="D74">
    <cfRule type="cellIs" dxfId="925" priority="208" stopIfTrue="1" operator="equal">
      <formula>0</formula>
    </cfRule>
  </conditionalFormatting>
  <conditionalFormatting sqref="D75:D78">
    <cfRule type="cellIs" dxfId="924" priority="207" stopIfTrue="1" operator="equal">
      <formula>0</formula>
    </cfRule>
  </conditionalFormatting>
  <conditionalFormatting sqref="F74">
    <cfRule type="cellIs" dxfId="923" priority="206" stopIfTrue="1" operator="equal">
      <formula>0</formula>
    </cfRule>
  </conditionalFormatting>
  <conditionalFormatting sqref="F76:F78">
    <cfRule type="cellIs" dxfId="922" priority="205" stopIfTrue="1" operator="equal">
      <formula>0</formula>
    </cfRule>
  </conditionalFormatting>
  <conditionalFormatting sqref="D81">
    <cfRule type="cellIs" dxfId="921" priority="204" stopIfTrue="1" operator="equal">
      <formula>0</formula>
    </cfRule>
  </conditionalFormatting>
  <conditionalFormatting sqref="D82:D85">
    <cfRule type="cellIs" dxfId="920" priority="203" stopIfTrue="1" operator="equal">
      <formula>0</formula>
    </cfRule>
  </conditionalFormatting>
  <conditionalFormatting sqref="F81">
    <cfRule type="cellIs" dxfId="919" priority="202" stopIfTrue="1" operator="equal">
      <formula>0</formula>
    </cfRule>
  </conditionalFormatting>
  <conditionalFormatting sqref="F83:F85">
    <cfRule type="cellIs" dxfId="918" priority="201" stopIfTrue="1" operator="equal">
      <formula>0</formula>
    </cfRule>
  </conditionalFormatting>
  <conditionalFormatting sqref="D88">
    <cfRule type="cellIs" dxfId="917" priority="200" stopIfTrue="1" operator="equal">
      <formula>0</formula>
    </cfRule>
  </conditionalFormatting>
  <conditionalFormatting sqref="D89:D92">
    <cfRule type="cellIs" dxfId="916" priority="199" stopIfTrue="1" operator="equal">
      <formula>0</formula>
    </cfRule>
  </conditionalFormatting>
  <conditionalFormatting sqref="F88">
    <cfRule type="cellIs" dxfId="915" priority="198" stopIfTrue="1" operator="equal">
      <formula>0</formula>
    </cfRule>
  </conditionalFormatting>
  <conditionalFormatting sqref="F90:F92">
    <cfRule type="cellIs" dxfId="914" priority="197" stopIfTrue="1" operator="equal">
      <formula>0</formula>
    </cfRule>
  </conditionalFormatting>
  <conditionalFormatting sqref="D95">
    <cfRule type="cellIs" dxfId="913" priority="196" stopIfTrue="1" operator="equal">
      <formula>0</formula>
    </cfRule>
  </conditionalFormatting>
  <conditionalFormatting sqref="D96:D99">
    <cfRule type="cellIs" dxfId="912" priority="195" stopIfTrue="1" operator="equal">
      <formula>0</formula>
    </cfRule>
  </conditionalFormatting>
  <conditionalFormatting sqref="F95">
    <cfRule type="cellIs" dxfId="911" priority="194" stopIfTrue="1" operator="equal">
      <formula>0</formula>
    </cfRule>
  </conditionalFormatting>
  <conditionalFormatting sqref="F97:F99">
    <cfRule type="cellIs" dxfId="910" priority="193" stopIfTrue="1" operator="equal">
      <formula>0</formula>
    </cfRule>
  </conditionalFormatting>
  <conditionalFormatting sqref="E75 G75 J75">
    <cfRule type="cellIs" dxfId="909" priority="192" stopIfTrue="1" operator="equal">
      <formula>0</formula>
    </cfRule>
  </conditionalFormatting>
  <conditionalFormatting sqref="F75">
    <cfRule type="cellIs" dxfId="908" priority="191" stopIfTrue="1" operator="equal">
      <formula>0</formula>
    </cfRule>
  </conditionalFormatting>
  <conditionalFormatting sqref="E82 G82 J82">
    <cfRule type="cellIs" dxfId="907" priority="190" stopIfTrue="1" operator="equal">
      <formula>0</formula>
    </cfRule>
  </conditionalFormatting>
  <conditionalFormatting sqref="F82">
    <cfRule type="cellIs" dxfId="906" priority="189" stopIfTrue="1" operator="equal">
      <formula>0</formula>
    </cfRule>
  </conditionalFormatting>
  <conditionalFormatting sqref="E89 G89 J89">
    <cfRule type="cellIs" dxfId="905" priority="188" stopIfTrue="1" operator="equal">
      <formula>0</formula>
    </cfRule>
  </conditionalFormatting>
  <conditionalFormatting sqref="F89">
    <cfRule type="cellIs" dxfId="904" priority="187" stopIfTrue="1" operator="equal">
      <formula>0</formula>
    </cfRule>
  </conditionalFormatting>
  <conditionalFormatting sqref="E96 G96 J96 H97:H99">
    <cfRule type="cellIs" dxfId="903" priority="186" stopIfTrue="1" operator="equal">
      <formula>0</formula>
    </cfRule>
  </conditionalFormatting>
  <conditionalFormatting sqref="F96">
    <cfRule type="cellIs" dxfId="902" priority="185" stopIfTrue="1" operator="equal">
      <formula>0</formula>
    </cfRule>
  </conditionalFormatting>
  <conditionalFormatting sqref="G77">
    <cfRule type="cellIs" dxfId="901" priority="184" stopIfTrue="1" operator="equal">
      <formula>0</formula>
    </cfRule>
  </conditionalFormatting>
  <conditionalFormatting sqref="G78">
    <cfRule type="cellIs" dxfId="900" priority="183" stopIfTrue="1" operator="equal">
      <formula>0</formula>
    </cfRule>
  </conditionalFormatting>
  <conditionalFormatting sqref="G99">
    <cfRule type="cellIs" dxfId="899" priority="181" stopIfTrue="1" operator="equal">
      <formula>0</formula>
    </cfRule>
  </conditionalFormatting>
  <conditionalFormatting sqref="K99">
    <cfRule type="cellIs" dxfId="898" priority="160" stopIfTrue="1" operator="equal">
      <formula>0</formula>
    </cfRule>
  </conditionalFormatting>
  <conditionalFormatting sqref="G98">
    <cfRule type="cellIs" dxfId="897" priority="182" stopIfTrue="1" operator="equal">
      <formula>0</formula>
    </cfRule>
  </conditionalFormatting>
  <conditionalFormatting sqref="K68:K71">
    <cfRule type="cellIs" dxfId="896" priority="180" stopIfTrue="1" operator="equal">
      <formula>0</formula>
    </cfRule>
  </conditionalFormatting>
  <conditionalFormatting sqref="K76:K77">
    <cfRule type="cellIs" dxfId="895" priority="179" stopIfTrue="1" operator="equal">
      <formula>0</formula>
    </cfRule>
  </conditionalFormatting>
  <conditionalFormatting sqref="K75">
    <cfRule type="cellIs" dxfId="894" priority="178" stopIfTrue="1" operator="equal">
      <formula>0</formula>
    </cfRule>
  </conditionalFormatting>
  <conditionalFormatting sqref="K78">
    <cfRule type="cellIs" dxfId="893" priority="177" stopIfTrue="1" operator="equal">
      <formula>0</formula>
    </cfRule>
  </conditionalFormatting>
  <conditionalFormatting sqref="I83:I84">
    <cfRule type="cellIs" dxfId="892" priority="176" stopIfTrue="1" operator="equal">
      <formula>0</formula>
    </cfRule>
  </conditionalFormatting>
  <conditionalFormatting sqref="I85">
    <cfRule type="cellIs" dxfId="891" priority="175" stopIfTrue="1" operator="equal">
      <formula>0</formula>
    </cfRule>
  </conditionalFormatting>
  <conditionalFormatting sqref="H81">
    <cfRule type="cellIs" dxfId="890" priority="174" stopIfTrue="1" operator="equal">
      <formula>0</formula>
    </cfRule>
  </conditionalFormatting>
  <conditionalFormatting sqref="H82:H85">
    <cfRule type="cellIs" dxfId="889" priority="173" stopIfTrue="1" operator="equal">
      <formula>0</formula>
    </cfRule>
  </conditionalFormatting>
  <conditionalFormatting sqref="I82">
    <cfRule type="cellIs" dxfId="888" priority="172" stopIfTrue="1" operator="equal">
      <formula>0</formula>
    </cfRule>
  </conditionalFormatting>
  <conditionalFormatting sqref="K83:K84">
    <cfRule type="cellIs" dxfId="887" priority="171" stopIfTrue="1" operator="equal">
      <formula>0</formula>
    </cfRule>
  </conditionalFormatting>
  <conditionalFormatting sqref="K85">
    <cfRule type="cellIs" dxfId="886" priority="170" stopIfTrue="1" operator="equal">
      <formula>0</formula>
    </cfRule>
  </conditionalFormatting>
  <conditionalFormatting sqref="K82">
    <cfRule type="cellIs" dxfId="885" priority="169" stopIfTrue="1" operator="equal">
      <formula>0</formula>
    </cfRule>
  </conditionalFormatting>
  <conditionalFormatting sqref="K90:K91">
    <cfRule type="cellIs" dxfId="884" priority="168" stopIfTrue="1" operator="equal">
      <formula>0</formula>
    </cfRule>
  </conditionalFormatting>
  <conditionalFormatting sqref="K89">
    <cfRule type="cellIs" dxfId="883" priority="167" stopIfTrue="1" operator="equal">
      <formula>0</formula>
    </cfRule>
  </conditionalFormatting>
  <conditionalFormatting sqref="K92">
    <cfRule type="cellIs" dxfId="882" priority="166" stopIfTrue="1" operator="equal">
      <formula>0</formula>
    </cfRule>
  </conditionalFormatting>
  <conditionalFormatting sqref="I97:I98">
    <cfRule type="cellIs" dxfId="881" priority="165" stopIfTrue="1" operator="equal">
      <formula>0</formula>
    </cfRule>
  </conditionalFormatting>
  <conditionalFormatting sqref="I99">
    <cfRule type="cellIs" dxfId="880" priority="164" stopIfTrue="1" operator="equal">
      <formula>0</formula>
    </cfRule>
  </conditionalFormatting>
  <conditionalFormatting sqref="I96">
    <cfRule type="cellIs" dxfId="879" priority="163" stopIfTrue="1" operator="equal">
      <formula>0</formula>
    </cfRule>
  </conditionalFormatting>
  <conditionalFormatting sqref="K97:K98">
    <cfRule type="cellIs" dxfId="878" priority="162" stopIfTrue="1" operator="equal">
      <formula>0</formula>
    </cfRule>
  </conditionalFormatting>
  <conditionalFormatting sqref="K96">
    <cfRule type="cellIs" dxfId="877" priority="161" stopIfTrue="1" operator="equal">
      <formula>0</formula>
    </cfRule>
  </conditionalFormatting>
  <conditionalFormatting sqref="I68:I71">
    <cfRule type="cellIs" dxfId="876" priority="159" stopIfTrue="1" operator="equal">
      <formula>0</formula>
    </cfRule>
  </conditionalFormatting>
  <conditionalFormatting sqref="H67">
    <cfRule type="cellIs" dxfId="875" priority="158" stopIfTrue="1" operator="equal">
      <formula>0</formula>
    </cfRule>
  </conditionalFormatting>
  <conditionalFormatting sqref="H68:H71">
    <cfRule type="cellIs" dxfId="874" priority="157" stopIfTrue="1" operator="equal">
      <formula>0</formula>
    </cfRule>
  </conditionalFormatting>
  <conditionalFormatting sqref="I76:I77">
    <cfRule type="cellIs" dxfId="873" priority="156" stopIfTrue="1" operator="equal">
      <formula>0</formula>
    </cfRule>
  </conditionalFormatting>
  <conditionalFormatting sqref="I78">
    <cfRule type="cellIs" dxfId="872" priority="155" stopIfTrue="1" operator="equal">
      <formula>0</formula>
    </cfRule>
  </conditionalFormatting>
  <conditionalFormatting sqref="H74">
    <cfRule type="cellIs" dxfId="871" priority="154" stopIfTrue="1" operator="equal">
      <formula>0</formula>
    </cfRule>
  </conditionalFormatting>
  <conditionalFormatting sqref="H75:H78">
    <cfRule type="cellIs" dxfId="870" priority="153" stopIfTrue="1" operator="equal">
      <formula>0</formula>
    </cfRule>
  </conditionalFormatting>
  <conditionalFormatting sqref="I75">
    <cfRule type="cellIs" dxfId="869" priority="152" stopIfTrue="1" operator="equal">
      <formula>0</formula>
    </cfRule>
  </conditionalFormatting>
  <conditionalFormatting sqref="I90:I91">
    <cfRule type="cellIs" dxfId="868" priority="151" stopIfTrue="1" operator="equal">
      <formula>0</formula>
    </cfRule>
  </conditionalFormatting>
  <conditionalFormatting sqref="I92">
    <cfRule type="cellIs" dxfId="867" priority="150" stopIfTrue="1" operator="equal">
      <formula>0</formula>
    </cfRule>
  </conditionalFormatting>
  <conditionalFormatting sqref="H88">
    <cfRule type="cellIs" dxfId="866" priority="149" stopIfTrue="1" operator="equal">
      <formula>0</formula>
    </cfRule>
  </conditionalFormatting>
  <conditionalFormatting sqref="H89:H92">
    <cfRule type="cellIs" dxfId="865" priority="148" stopIfTrue="1" operator="equal">
      <formula>0</formula>
    </cfRule>
  </conditionalFormatting>
  <conditionalFormatting sqref="I89">
    <cfRule type="cellIs" dxfId="864" priority="147" stopIfTrue="1" operator="equal">
      <formula>0</formula>
    </cfRule>
  </conditionalFormatting>
  <conditionalFormatting sqref="L67">
    <cfRule type="cellIs" dxfId="863" priority="146" stopIfTrue="1" operator="equal">
      <formula>0</formula>
    </cfRule>
  </conditionalFormatting>
  <conditionalFormatting sqref="L68:L71">
    <cfRule type="cellIs" dxfId="862" priority="145" stopIfTrue="1" operator="equal">
      <formula>0</formula>
    </cfRule>
  </conditionalFormatting>
  <conditionalFormatting sqref="A103:C105 A110:C112 A117:C119 A124:C126 A131:C133 E111:E112 G111 E118:E119 G118 E125:E126 G125:G126 E132:E133 G132:G133 E103:E106 G103:G106 J118:J119 J132:J133 A101:M101 A108:M108 A115:M115 A122:M122 A129:M129">
    <cfRule type="cellIs" dxfId="861" priority="144" stopIfTrue="1" operator="equal">
      <formula>0</formula>
    </cfRule>
  </conditionalFormatting>
  <conditionalFormatting sqref="A130:C130">
    <cfRule type="cellIs" dxfId="860" priority="143" stopIfTrue="1" operator="equal">
      <formula>0</formula>
    </cfRule>
  </conditionalFormatting>
  <conditionalFormatting sqref="A134:C134">
    <cfRule type="cellIs" dxfId="859" priority="142" stopIfTrue="1" operator="equal">
      <formula>0</formula>
    </cfRule>
  </conditionalFormatting>
  <conditionalFormatting sqref="A123:C123">
    <cfRule type="cellIs" dxfId="858" priority="141" stopIfTrue="1" operator="equal">
      <formula>0</formula>
    </cfRule>
  </conditionalFormatting>
  <conditionalFormatting sqref="A127:C127">
    <cfRule type="cellIs" dxfId="857" priority="140" stopIfTrue="1" operator="equal">
      <formula>0</formula>
    </cfRule>
  </conditionalFormatting>
  <conditionalFormatting sqref="A120:C120">
    <cfRule type="cellIs" dxfId="856" priority="139" stopIfTrue="1" operator="equal">
      <formula>0</formula>
    </cfRule>
  </conditionalFormatting>
  <conditionalFormatting sqref="A116:C116">
    <cfRule type="cellIs" dxfId="855" priority="138" stopIfTrue="1" operator="equal">
      <formula>0</formula>
    </cfRule>
  </conditionalFormatting>
  <conditionalFormatting sqref="A113:C113">
    <cfRule type="cellIs" dxfId="854" priority="137" stopIfTrue="1" operator="equal">
      <formula>0</formula>
    </cfRule>
  </conditionalFormatting>
  <conditionalFormatting sqref="A109:C109">
    <cfRule type="cellIs" dxfId="853" priority="136" stopIfTrue="1" operator="equal">
      <formula>0</formula>
    </cfRule>
  </conditionalFormatting>
  <conditionalFormatting sqref="A106:C106">
    <cfRule type="cellIs" dxfId="852" priority="135" stopIfTrue="1" operator="equal">
      <formula>0</formula>
    </cfRule>
  </conditionalFormatting>
  <conditionalFormatting sqref="A102:C102">
    <cfRule type="cellIs" dxfId="851" priority="134" stopIfTrue="1" operator="equal">
      <formula>0</formula>
    </cfRule>
  </conditionalFormatting>
  <conditionalFormatting sqref="E113">
    <cfRule type="cellIs" dxfId="850" priority="133" stopIfTrue="1" operator="equal">
      <formula>0</formula>
    </cfRule>
  </conditionalFormatting>
  <conditionalFormatting sqref="E120">
    <cfRule type="cellIs" dxfId="849" priority="132" stopIfTrue="1" operator="equal">
      <formula>0</formula>
    </cfRule>
  </conditionalFormatting>
  <conditionalFormatting sqref="J120">
    <cfRule type="cellIs" dxfId="848" priority="131" stopIfTrue="1" operator="equal">
      <formula>0</formula>
    </cfRule>
  </conditionalFormatting>
  <conditionalFormatting sqref="J134">
    <cfRule type="cellIs" dxfId="847" priority="130" stopIfTrue="1" operator="equal">
      <formula>0</formula>
    </cfRule>
  </conditionalFormatting>
  <conditionalFormatting sqref="D102">
    <cfRule type="cellIs" dxfId="846" priority="125" stopIfTrue="1" operator="equal">
      <formula>0</formula>
    </cfRule>
  </conditionalFormatting>
  <conditionalFormatting sqref="D103:D106">
    <cfRule type="cellIs" dxfId="845" priority="124" stopIfTrue="1" operator="equal">
      <formula>0</formula>
    </cfRule>
  </conditionalFormatting>
  <conditionalFormatting sqref="F102">
    <cfRule type="cellIs" dxfId="844" priority="123" stopIfTrue="1" operator="equal">
      <formula>0</formula>
    </cfRule>
  </conditionalFormatting>
  <conditionalFormatting sqref="F103:F106">
    <cfRule type="cellIs" dxfId="843" priority="122" stopIfTrue="1" operator="equal">
      <formula>0</formula>
    </cfRule>
  </conditionalFormatting>
  <conditionalFormatting sqref="D109">
    <cfRule type="cellIs" dxfId="842" priority="121" stopIfTrue="1" operator="equal">
      <formula>0</formula>
    </cfRule>
  </conditionalFormatting>
  <conditionalFormatting sqref="D110:D113">
    <cfRule type="cellIs" dxfId="841" priority="120" stopIfTrue="1" operator="equal">
      <formula>0</formula>
    </cfRule>
  </conditionalFormatting>
  <conditionalFormatting sqref="F109">
    <cfRule type="cellIs" dxfId="840" priority="119" stopIfTrue="1" operator="equal">
      <formula>0</formula>
    </cfRule>
  </conditionalFormatting>
  <conditionalFormatting sqref="F111:F113">
    <cfRule type="cellIs" dxfId="839" priority="118" stopIfTrue="1" operator="equal">
      <formula>0</formula>
    </cfRule>
  </conditionalFormatting>
  <conditionalFormatting sqref="D116">
    <cfRule type="cellIs" dxfId="838" priority="117" stopIfTrue="1" operator="equal">
      <formula>0</formula>
    </cfRule>
  </conditionalFormatting>
  <conditionalFormatting sqref="D117:D120">
    <cfRule type="cellIs" dxfId="837" priority="116" stopIfTrue="1" operator="equal">
      <formula>0</formula>
    </cfRule>
  </conditionalFormatting>
  <conditionalFormatting sqref="F116">
    <cfRule type="cellIs" dxfId="836" priority="115" stopIfTrue="1" operator="equal">
      <formula>0</formula>
    </cfRule>
  </conditionalFormatting>
  <conditionalFormatting sqref="F118:F120">
    <cfRule type="cellIs" dxfId="835" priority="114" stopIfTrue="1" operator="equal">
      <formula>0</formula>
    </cfRule>
  </conditionalFormatting>
  <conditionalFormatting sqref="D123">
    <cfRule type="cellIs" dxfId="834" priority="113" stopIfTrue="1" operator="equal">
      <formula>0</formula>
    </cfRule>
  </conditionalFormatting>
  <conditionalFormatting sqref="D124:D127">
    <cfRule type="cellIs" dxfId="833" priority="112" stopIfTrue="1" operator="equal">
      <formula>0</formula>
    </cfRule>
  </conditionalFormatting>
  <conditionalFormatting sqref="F123">
    <cfRule type="cellIs" dxfId="832" priority="111" stopIfTrue="1" operator="equal">
      <formula>0</formula>
    </cfRule>
  </conditionalFormatting>
  <conditionalFormatting sqref="F125:F127">
    <cfRule type="cellIs" dxfId="831" priority="110" stopIfTrue="1" operator="equal">
      <formula>0</formula>
    </cfRule>
  </conditionalFormatting>
  <conditionalFormatting sqref="D130">
    <cfRule type="cellIs" dxfId="830" priority="109" stopIfTrue="1" operator="equal">
      <formula>0</formula>
    </cfRule>
  </conditionalFormatting>
  <conditionalFormatting sqref="D131:D134">
    <cfRule type="cellIs" dxfId="829" priority="108" stopIfTrue="1" operator="equal">
      <formula>0</formula>
    </cfRule>
  </conditionalFormatting>
  <conditionalFormatting sqref="F130">
    <cfRule type="cellIs" dxfId="828" priority="107" stopIfTrue="1" operator="equal">
      <formula>0</formula>
    </cfRule>
  </conditionalFormatting>
  <conditionalFormatting sqref="F132:F134">
    <cfRule type="cellIs" dxfId="827" priority="106" stopIfTrue="1" operator="equal">
      <formula>0</formula>
    </cfRule>
  </conditionalFormatting>
  <conditionalFormatting sqref="E131 G131 E124 G124 E117 G117 E110 G110 J117 J131">
    <cfRule type="cellIs" dxfId="826" priority="105" stopIfTrue="1" operator="equal">
      <formula>0</formula>
    </cfRule>
  </conditionalFormatting>
  <conditionalFormatting sqref="F131 F117">
    <cfRule type="cellIs" dxfId="825" priority="104" stopIfTrue="1" operator="equal">
      <formula>0</formula>
    </cfRule>
  </conditionalFormatting>
  <conditionalFormatting sqref="G112">
    <cfRule type="cellIs" dxfId="824" priority="103" stopIfTrue="1" operator="equal">
      <formula>0</formula>
    </cfRule>
  </conditionalFormatting>
  <conditionalFormatting sqref="G113">
    <cfRule type="cellIs" dxfId="823" priority="102" stopIfTrue="1" operator="equal">
      <formula>0</formula>
    </cfRule>
  </conditionalFormatting>
  <conditionalFormatting sqref="G119">
    <cfRule type="cellIs" dxfId="822" priority="101" stopIfTrue="1" operator="equal">
      <formula>0</formula>
    </cfRule>
  </conditionalFormatting>
  <conditionalFormatting sqref="G120">
    <cfRule type="cellIs" dxfId="821" priority="100" stopIfTrue="1" operator="equal">
      <formula>0</formula>
    </cfRule>
  </conditionalFormatting>
  <conditionalFormatting sqref="I103:I106">
    <cfRule type="cellIs" dxfId="820" priority="99" stopIfTrue="1" operator="equal">
      <formula>0</formula>
    </cfRule>
  </conditionalFormatting>
  <conditionalFormatting sqref="H102">
    <cfRule type="cellIs" dxfId="819" priority="98" stopIfTrue="1" operator="equal">
      <formula>0</formula>
    </cfRule>
  </conditionalFormatting>
  <conditionalFormatting sqref="H103:H106">
    <cfRule type="cellIs" dxfId="818" priority="97" stopIfTrue="1" operator="equal">
      <formula>0</formula>
    </cfRule>
  </conditionalFormatting>
  <conditionalFormatting sqref="K103:K106">
    <cfRule type="cellIs" dxfId="817" priority="96" stopIfTrue="1" operator="equal">
      <formula>0</formula>
    </cfRule>
  </conditionalFormatting>
  <conditionalFormatting sqref="J102">
    <cfRule type="cellIs" dxfId="816" priority="95" stopIfTrue="1" operator="equal">
      <formula>0</formula>
    </cfRule>
  </conditionalFormatting>
  <conditionalFormatting sqref="J103:J106">
    <cfRule type="cellIs" dxfId="815" priority="94" stopIfTrue="1" operator="equal">
      <formula>0</formula>
    </cfRule>
  </conditionalFormatting>
  <conditionalFormatting sqref="I111:I112">
    <cfRule type="cellIs" dxfId="814" priority="93" stopIfTrue="1" operator="equal">
      <formula>0</formula>
    </cfRule>
  </conditionalFormatting>
  <conditionalFormatting sqref="I113">
    <cfRule type="cellIs" dxfId="813" priority="92" stopIfTrue="1" operator="equal">
      <formula>0</formula>
    </cfRule>
  </conditionalFormatting>
  <conditionalFormatting sqref="H109">
    <cfRule type="cellIs" dxfId="812" priority="91" stopIfTrue="1" operator="equal">
      <formula>0</formula>
    </cfRule>
  </conditionalFormatting>
  <conditionalFormatting sqref="H110:H113">
    <cfRule type="cellIs" dxfId="811" priority="90" stopIfTrue="1" operator="equal">
      <formula>0</formula>
    </cfRule>
  </conditionalFormatting>
  <conditionalFormatting sqref="I110">
    <cfRule type="cellIs" dxfId="810" priority="89" stopIfTrue="1" operator="equal">
      <formula>0</formula>
    </cfRule>
  </conditionalFormatting>
  <conditionalFormatting sqref="K111:K112">
    <cfRule type="cellIs" dxfId="809" priority="88" stopIfTrue="1" operator="equal">
      <formula>0</formula>
    </cfRule>
  </conditionalFormatting>
  <conditionalFormatting sqref="K113">
    <cfRule type="cellIs" dxfId="808" priority="87" stopIfTrue="1" operator="equal">
      <formula>0</formula>
    </cfRule>
  </conditionalFormatting>
  <conditionalFormatting sqref="J109">
    <cfRule type="cellIs" dxfId="807" priority="86" stopIfTrue="1" operator="equal">
      <formula>0</formula>
    </cfRule>
  </conditionalFormatting>
  <conditionalFormatting sqref="J111:J113">
    <cfRule type="cellIs" dxfId="806" priority="85" stopIfTrue="1" operator="equal">
      <formula>0</formula>
    </cfRule>
  </conditionalFormatting>
  <conditionalFormatting sqref="K110">
    <cfRule type="cellIs" dxfId="805" priority="84" stopIfTrue="1" operator="equal">
      <formula>0</formula>
    </cfRule>
  </conditionalFormatting>
  <conditionalFormatting sqref="J110">
    <cfRule type="cellIs" dxfId="804" priority="83" stopIfTrue="1" operator="equal">
      <formula>0</formula>
    </cfRule>
  </conditionalFormatting>
  <conditionalFormatting sqref="I118:I119">
    <cfRule type="cellIs" dxfId="803" priority="82" stopIfTrue="1" operator="equal">
      <formula>0</formula>
    </cfRule>
  </conditionalFormatting>
  <conditionalFormatting sqref="I120">
    <cfRule type="cellIs" dxfId="802" priority="81" stopIfTrue="1" operator="equal">
      <formula>0</formula>
    </cfRule>
  </conditionalFormatting>
  <conditionalFormatting sqref="H116">
    <cfRule type="cellIs" dxfId="801" priority="80" stopIfTrue="1" operator="equal">
      <formula>0</formula>
    </cfRule>
  </conditionalFormatting>
  <conditionalFormatting sqref="H117:H120">
    <cfRule type="cellIs" dxfId="800" priority="79" stopIfTrue="1" operator="equal">
      <formula>0</formula>
    </cfRule>
  </conditionalFormatting>
  <conditionalFormatting sqref="I117">
    <cfRule type="cellIs" dxfId="799" priority="78" stopIfTrue="1" operator="equal">
      <formula>0</formula>
    </cfRule>
  </conditionalFormatting>
  <conditionalFormatting sqref="L116">
    <cfRule type="cellIs" dxfId="798" priority="77" stopIfTrue="1" operator="equal">
      <formula>0</formula>
    </cfRule>
  </conditionalFormatting>
  <conditionalFormatting sqref="L117:L120">
    <cfRule type="cellIs" dxfId="797" priority="76" stopIfTrue="1" operator="equal">
      <formula>0</formula>
    </cfRule>
  </conditionalFormatting>
  <conditionalFormatting sqref="K118:K119">
    <cfRule type="cellIs" dxfId="796" priority="75" stopIfTrue="1" operator="equal">
      <formula>0</formula>
    </cfRule>
  </conditionalFormatting>
  <conditionalFormatting sqref="K117">
    <cfRule type="cellIs" dxfId="795" priority="74" stopIfTrue="1" operator="equal">
      <formula>0</formula>
    </cfRule>
  </conditionalFormatting>
  <conditionalFormatting sqref="K120">
    <cfRule type="cellIs" dxfId="794" priority="73" stopIfTrue="1" operator="equal">
      <formula>0</formula>
    </cfRule>
  </conditionalFormatting>
  <conditionalFormatting sqref="E127">
    <cfRule type="cellIs" dxfId="793" priority="72" stopIfTrue="1" operator="equal">
      <formula>0</formula>
    </cfRule>
  </conditionalFormatting>
  <conditionalFormatting sqref="G127">
    <cfRule type="cellIs" dxfId="792" priority="71" stopIfTrue="1" operator="equal">
      <formula>0</formula>
    </cfRule>
  </conditionalFormatting>
  <conditionalFormatting sqref="E134">
    <cfRule type="cellIs" dxfId="791" priority="70" stopIfTrue="1" operator="equal">
      <formula>0</formula>
    </cfRule>
  </conditionalFormatting>
  <conditionalFormatting sqref="G134">
    <cfRule type="cellIs" dxfId="790" priority="69" stopIfTrue="1" operator="equal">
      <formula>0</formula>
    </cfRule>
  </conditionalFormatting>
  <conditionalFormatting sqref="I125:I126">
    <cfRule type="cellIs" dxfId="789" priority="68" stopIfTrue="1" operator="equal">
      <formula>0</formula>
    </cfRule>
  </conditionalFormatting>
  <conditionalFormatting sqref="H123">
    <cfRule type="cellIs" dxfId="788" priority="67" stopIfTrue="1" operator="equal">
      <formula>0</formula>
    </cfRule>
  </conditionalFormatting>
  <conditionalFormatting sqref="H124:H127">
    <cfRule type="cellIs" dxfId="787" priority="66" stopIfTrue="1" operator="equal">
      <formula>0</formula>
    </cfRule>
  </conditionalFormatting>
  <conditionalFormatting sqref="I124">
    <cfRule type="cellIs" dxfId="786" priority="65" stopIfTrue="1" operator="equal">
      <formula>0</formula>
    </cfRule>
  </conditionalFormatting>
  <conditionalFormatting sqref="I127">
    <cfRule type="cellIs" dxfId="785" priority="64" stopIfTrue="1" operator="equal">
      <formula>0</formula>
    </cfRule>
  </conditionalFormatting>
  <conditionalFormatting sqref="K125:K126">
    <cfRule type="cellIs" dxfId="784" priority="63" stopIfTrue="1" operator="equal">
      <formula>0</formula>
    </cfRule>
  </conditionalFormatting>
  <conditionalFormatting sqref="K127">
    <cfRule type="cellIs" dxfId="783" priority="62" stopIfTrue="1" operator="equal">
      <formula>0</formula>
    </cfRule>
  </conditionalFormatting>
  <conditionalFormatting sqref="J123">
    <cfRule type="cellIs" dxfId="782" priority="61" stopIfTrue="1" operator="equal">
      <formula>0</formula>
    </cfRule>
  </conditionalFormatting>
  <conditionalFormatting sqref="J125:J127">
    <cfRule type="cellIs" dxfId="781" priority="60" stopIfTrue="1" operator="equal">
      <formula>0</formula>
    </cfRule>
  </conditionalFormatting>
  <conditionalFormatting sqref="K124">
    <cfRule type="cellIs" dxfId="780" priority="59" stopIfTrue="1" operator="equal">
      <formula>0</formula>
    </cfRule>
  </conditionalFormatting>
  <conditionalFormatting sqref="J124">
    <cfRule type="cellIs" dxfId="779" priority="58" stopIfTrue="1" operator="equal">
      <formula>0</formula>
    </cfRule>
  </conditionalFormatting>
  <conditionalFormatting sqref="I132:I133">
    <cfRule type="cellIs" dxfId="778" priority="57" stopIfTrue="1" operator="equal">
      <formula>0</formula>
    </cfRule>
  </conditionalFormatting>
  <conditionalFormatting sqref="H130">
    <cfRule type="cellIs" dxfId="777" priority="56" stopIfTrue="1" operator="equal">
      <formula>0</formula>
    </cfRule>
  </conditionalFormatting>
  <conditionalFormatting sqref="H131:H134">
    <cfRule type="cellIs" dxfId="776" priority="55" stopIfTrue="1" operator="equal">
      <formula>0</formula>
    </cfRule>
  </conditionalFormatting>
  <conditionalFormatting sqref="I131">
    <cfRule type="cellIs" dxfId="775" priority="54" stopIfTrue="1" operator="equal">
      <formula>0</formula>
    </cfRule>
  </conditionalFormatting>
  <conditionalFormatting sqref="K132:K133">
    <cfRule type="cellIs" dxfId="774" priority="53" stopIfTrue="1" operator="equal">
      <formula>0</formula>
    </cfRule>
  </conditionalFormatting>
  <conditionalFormatting sqref="K131">
    <cfRule type="cellIs" dxfId="773" priority="52" stopIfTrue="1" operator="equal">
      <formula>0</formula>
    </cfRule>
  </conditionalFormatting>
  <conditionalFormatting sqref="F110">
    <cfRule type="cellIs" dxfId="772" priority="51" stopIfTrue="1" operator="equal">
      <formula>0</formula>
    </cfRule>
  </conditionalFormatting>
  <conditionalFormatting sqref="F124">
    <cfRule type="cellIs" dxfId="771" priority="50" stopIfTrue="1" operator="equal">
      <formula>0</formula>
    </cfRule>
  </conditionalFormatting>
  <conditionalFormatting sqref="I134">
    <cfRule type="cellIs" dxfId="770" priority="49" stopIfTrue="1" operator="equal">
      <formula>0</formula>
    </cfRule>
  </conditionalFormatting>
  <conditionalFormatting sqref="K134">
    <cfRule type="cellIs" dxfId="769" priority="48" stopIfTrue="1" operator="equal">
      <formula>0</formula>
    </cfRule>
  </conditionalFormatting>
  <conditionalFormatting sqref="L109">
    <cfRule type="cellIs" dxfId="768" priority="47" stopIfTrue="1" operator="equal">
      <formula>0</formula>
    </cfRule>
  </conditionalFormatting>
  <conditionalFormatting sqref="L110:L113">
    <cfRule type="cellIs" dxfId="767" priority="46" stopIfTrue="1" operator="equal">
      <formula>0</formula>
    </cfRule>
  </conditionalFormatting>
  <conditionalFormatting sqref="L123">
    <cfRule type="cellIs" dxfId="766" priority="45" stopIfTrue="1" operator="equal">
      <formula>0</formula>
    </cfRule>
  </conditionalFormatting>
  <conditionalFormatting sqref="L124:L127">
    <cfRule type="cellIs" dxfId="765" priority="44" stopIfTrue="1" operator="equal">
      <formula>0</formula>
    </cfRule>
  </conditionalFormatting>
  <conditionalFormatting sqref="M37">
    <cfRule type="cellIs" dxfId="764" priority="43" stopIfTrue="1" operator="equal">
      <formula>0</formula>
    </cfRule>
  </conditionalFormatting>
  <conditionalFormatting sqref="M44">
    <cfRule type="cellIs" dxfId="763" priority="42" stopIfTrue="1" operator="equal">
      <formula>0</formula>
    </cfRule>
  </conditionalFormatting>
  <conditionalFormatting sqref="D44">
    <cfRule type="cellIs" dxfId="762" priority="41" stopIfTrue="1" operator="equal">
      <formula>0</formula>
    </cfRule>
  </conditionalFormatting>
  <conditionalFormatting sqref="F44">
    <cfRule type="cellIs" dxfId="761" priority="40" stopIfTrue="1" operator="equal">
      <formula>0</formula>
    </cfRule>
  </conditionalFormatting>
  <conditionalFormatting sqref="M51">
    <cfRule type="cellIs" dxfId="760" priority="39" stopIfTrue="1" operator="equal">
      <formula>0</formula>
    </cfRule>
  </conditionalFormatting>
  <conditionalFormatting sqref="D51">
    <cfRule type="cellIs" dxfId="759" priority="38" stopIfTrue="1" operator="equal">
      <formula>0</formula>
    </cfRule>
  </conditionalFormatting>
  <conditionalFormatting sqref="F51">
    <cfRule type="cellIs" dxfId="758" priority="37" stopIfTrue="1" operator="equal">
      <formula>0</formula>
    </cfRule>
  </conditionalFormatting>
  <conditionalFormatting sqref="M58">
    <cfRule type="cellIs" dxfId="757" priority="36" stopIfTrue="1" operator="equal">
      <formula>0</formula>
    </cfRule>
  </conditionalFormatting>
  <conditionalFormatting sqref="D58">
    <cfRule type="cellIs" dxfId="756" priority="35" stopIfTrue="1" operator="equal">
      <formula>0</formula>
    </cfRule>
  </conditionalFormatting>
  <conditionalFormatting sqref="F58">
    <cfRule type="cellIs" dxfId="755" priority="34" stopIfTrue="1" operator="equal">
      <formula>0</formula>
    </cfRule>
  </conditionalFormatting>
  <conditionalFormatting sqref="M65">
    <cfRule type="cellIs" dxfId="754" priority="33" stopIfTrue="1" operator="equal">
      <formula>0</formula>
    </cfRule>
  </conditionalFormatting>
  <conditionalFormatting sqref="D65">
    <cfRule type="cellIs" dxfId="753" priority="32" stopIfTrue="1" operator="equal">
      <formula>0</formula>
    </cfRule>
  </conditionalFormatting>
  <conditionalFormatting sqref="F65">
    <cfRule type="cellIs" dxfId="752" priority="31" stopIfTrue="1" operator="equal">
      <formula>0</formula>
    </cfRule>
  </conditionalFormatting>
  <conditionalFormatting sqref="M72">
    <cfRule type="cellIs" dxfId="751" priority="30" stopIfTrue="1" operator="equal">
      <formula>0</formula>
    </cfRule>
  </conditionalFormatting>
  <conditionalFormatting sqref="D72">
    <cfRule type="cellIs" dxfId="750" priority="29" stopIfTrue="1" operator="equal">
      <formula>0</formula>
    </cfRule>
  </conditionalFormatting>
  <conditionalFormatting sqref="F72">
    <cfRule type="cellIs" dxfId="749" priority="28" stopIfTrue="1" operator="equal">
      <formula>0</formula>
    </cfRule>
  </conditionalFormatting>
  <conditionalFormatting sqref="M79">
    <cfRule type="cellIs" dxfId="748" priority="27" stopIfTrue="1" operator="equal">
      <formula>0</formula>
    </cfRule>
  </conditionalFormatting>
  <conditionalFormatting sqref="D79">
    <cfRule type="cellIs" dxfId="747" priority="26" stopIfTrue="1" operator="equal">
      <formula>0</formula>
    </cfRule>
  </conditionalFormatting>
  <conditionalFormatting sqref="F79">
    <cfRule type="cellIs" dxfId="746" priority="25" stopIfTrue="1" operator="equal">
      <formula>0</formula>
    </cfRule>
  </conditionalFormatting>
  <conditionalFormatting sqref="M86">
    <cfRule type="cellIs" dxfId="745" priority="24" stopIfTrue="1" operator="equal">
      <formula>0</formula>
    </cfRule>
  </conditionalFormatting>
  <conditionalFormatting sqref="D86">
    <cfRule type="cellIs" dxfId="744" priority="23" stopIfTrue="1" operator="equal">
      <formula>0</formula>
    </cfRule>
  </conditionalFormatting>
  <conditionalFormatting sqref="F86">
    <cfRule type="cellIs" dxfId="743" priority="22" stopIfTrue="1" operator="equal">
      <formula>0</formula>
    </cfRule>
  </conditionalFormatting>
  <conditionalFormatting sqref="M93">
    <cfRule type="cellIs" dxfId="742" priority="21" stopIfTrue="1" operator="equal">
      <formula>0</formula>
    </cfRule>
  </conditionalFormatting>
  <conditionalFormatting sqref="D93">
    <cfRule type="cellIs" dxfId="741" priority="20" stopIfTrue="1" operator="equal">
      <formula>0</formula>
    </cfRule>
  </conditionalFormatting>
  <conditionalFormatting sqref="F93">
    <cfRule type="cellIs" dxfId="740" priority="19" stopIfTrue="1" operator="equal">
      <formula>0</formula>
    </cfRule>
  </conditionalFormatting>
  <conditionalFormatting sqref="M100">
    <cfRule type="cellIs" dxfId="739" priority="18" stopIfTrue="1" operator="equal">
      <formula>0</formula>
    </cfRule>
  </conditionalFormatting>
  <conditionalFormatting sqref="D100">
    <cfRule type="cellIs" dxfId="738" priority="17" stopIfTrue="1" operator="equal">
      <formula>0</formula>
    </cfRule>
  </conditionalFormatting>
  <conditionalFormatting sqref="F100">
    <cfRule type="cellIs" dxfId="737" priority="16" stopIfTrue="1" operator="equal">
      <formula>0</formula>
    </cfRule>
  </conditionalFormatting>
  <conditionalFormatting sqref="M107">
    <cfRule type="cellIs" dxfId="736" priority="15" stopIfTrue="1" operator="equal">
      <formula>0</formula>
    </cfRule>
  </conditionalFormatting>
  <conditionalFormatting sqref="D107">
    <cfRule type="cellIs" dxfId="735" priority="14" stopIfTrue="1" operator="equal">
      <formula>0</formula>
    </cfRule>
  </conditionalFormatting>
  <conditionalFormatting sqref="F107">
    <cfRule type="cellIs" dxfId="734" priority="13" stopIfTrue="1" operator="equal">
      <formula>0</formula>
    </cfRule>
  </conditionalFormatting>
  <conditionalFormatting sqref="M114">
    <cfRule type="cellIs" dxfId="733" priority="12" stopIfTrue="1" operator="equal">
      <formula>0</formula>
    </cfRule>
  </conditionalFormatting>
  <conditionalFormatting sqref="D114">
    <cfRule type="cellIs" dxfId="732" priority="11" stopIfTrue="1" operator="equal">
      <formula>0</formula>
    </cfRule>
  </conditionalFormatting>
  <conditionalFormatting sqref="F114">
    <cfRule type="cellIs" dxfId="731" priority="10" stopIfTrue="1" operator="equal">
      <formula>0</formula>
    </cfRule>
  </conditionalFormatting>
  <conditionalFormatting sqref="M121">
    <cfRule type="cellIs" dxfId="730" priority="9" stopIfTrue="1" operator="equal">
      <formula>0</formula>
    </cfRule>
  </conditionalFormatting>
  <conditionalFormatting sqref="D121">
    <cfRule type="cellIs" dxfId="729" priority="8" stopIfTrue="1" operator="equal">
      <formula>0</formula>
    </cfRule>
  </conditionalFormatting>
  <conditionalFormatting sqref="F121">
    <cfRule type="cellIs" dxfId="728" priority="7" stopIfTrue="1" operator="equal">
      <formula>0</formula>
    </cfRule>
  </conditionalFormatting>
  <conditionalFormatting sqref="M128">
    <cfRule type="cellIs" dxfId="727" priority="6" stopIfTrue="1" operator="equal">
      <formula>0</formula>
    </cfRule>
  </conditionalFormatting>
  <conditionalFormatting sqref="D128">
    <cfRule type="cellIs" dxfId="726" priority="5" stopIfTrue="1" operator="equal">
      <formula>0</formula>
    </cfRule>
  </conditionalFormatting>
  <conditionalFormatting sqref="F128">
    <cfRule type="cellIs" dxfId="725" priority="4" stopIfTrue="1" operator="equal">
      <formula>0</formula>
    </cfRule>
  </conditionalFormatting>
  <conditionalFormatting sqref="M135">
    <cfRule type="cellIs" dxfId="724" priority="3" stopIfTrue="1" operator="equal">
      <formula>0</formula>
    </cfRule>
  </conditionalFormatting>
  <conditionalFormatting sqref="D135">
    <cfRule type="cellIs" dxfId="723" priority="2" stopIfTrue="1" operator="equal">
      <formula>0</formula>
    </cfRule>
  </conditionalFormatting>
  <conditionalFormatting sqref="F135">
    <cfRule type="cellIs" dxfId="722" priority="1" stopIfTrue="1" operator="equal">
      <formula>0</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00B0F0"/>
  </sheetPr>
  <dimension ref="A1:V134"/>
  <sheetViews>
    <sheetView workbookViewId="0"/>
  </sheetViews>
  <sheetFormatPr baseColWidth="10" defaultColWidth="10.83203125" defaultRowHeight="15" x14ac:dyDescent="0.2"/>
  <cols>
    <col min="1" max="1" width="13.33203125" style="68" customWidth="1"/>
    <col min="2" max="2" width="30" style="68" customWidth="1"/>
    <col min="3" max="5" width="21.6640625" style="68" customWidth="1"/>
    <col min="6" max="16384" width="10.83203125" style="68"/>
  </cols>
  <sheetData>
    <row r="1" spans="1:22" ht="19" x14ac:dyDescent="0.25">
      <c r="B1" s="592" t="s">
        <v>166</v>
      </c>
      <c r="C1" s="592"/>
      <c r="D1" s="592"/>
      <c r="E1" s="592"/>
      <c r="I1" s="50" t="s">
        <v>314</v>
      </c>
      <c r="V1" s="49"/>
    </row>
    <row r="2" spans="1:22" ht="48" x14ac:dyDescent="0.25">
      <c r="A2" s="29" t="s">
        <v>209</v>
      </c>
      <c r="B2" s="29" t="s">
        <v>208</v>
      </c>
      <c r="C2" s="126" t="s">
        <v>167</v>
      </c>
      <c r="D2" s="126" t="s">
        <v>460</v>
      </c>
      <c r="E2" s="126" t="s">
        <v>168</v>
      </c>
      <c r="F2" s="126" t="s">
        <v>173</v>
      </c>
      <c r="I2" s="150" t="s">
        <v>319</v>
      </c>
      <c r="J2" s="49"/>
    </row>
    <row r="3" spans="1:22" x14ac:dyDescent="0.2">
      <c r="A3" s="68" t="s">
        <v>82</v>
      </c>
      <c r="B3" s="68" t="s">
        <v>245</v>
      </c>
      <c r="C3" s="115">
        <f>'BC Acetone No Blank'!M37</f>
        <v>1.2156510530667834E-5</v>
      </c>
      <c r="D3" s="115">
        <f>'BC Filter No Blank'!M37</f>
        <v>2.3889497991368521E-5</v>
      </c>
      <c r="E3" s="115">
        <f>C3+D3</f>
        <v>3.6046008522036355E-5</v>
      </c>
      <c r="F3" s="115">
        <f>E3*$C$20</f>
        <v>9.0115021305090884E-5</v>
      </c>
      <c r="G3" s="115">
        <f>F3*0.05</f>
        <v>4.5057510652545444E-6</v>
      </c>
    </row>
    <row r="4" spans="1:22" x14ac:dyDescent="0.2">
      <c r="A4" s="68" t="s">
        <v>174</v>
      </c>
      <c r="B4" s="68" t="s">
        <v>246</v>
      </c>
      <c r="C4" s="115">
        <f>'BC Acetone No Blank'!M44</f>
        <v>0</v>
      </c>
      <c r="D4" s="115">
        <f>'BC Filter No Blank'!M44</f>
        <v>2.0776305113000721E-6</v>
      </c>
      <c r="E4" s="115">
        <f t="shared" ref="E4:E17" si="0">C4+D4</f>
        <v>2.0776305113000721E-6</v>
      </c>
      <c r="F4" s="115">
        <f t="shared" ref="F4:F17" si="1">E4*$C$20</f>
        <v>5.1940762782501802E-6</v>
      </c>
      <c r="G4" s="115"/>
    </row>
    <row r="5" spans="1:22" x14ac:dyDescent="0.2">
      <c r="A5" s="68" t="s">
        <v>83</v>
      </c>
      <c r="B5" s="68" t="s">
        <v>247</v>
      </c>
      <c r="C5" s="115">
        <f>'BC Acetone No Blank'!M51</f>
        <v>4.9080252399966391E-8</v>
      </c>
      <c r="D5" s="115">
        <f>'BC Filter No Blank'!M51</f>
        <v>6.0766291526825242E-6</v>
      </c>
      <c r="E5" s="115">
        <f t="shared" si="0"/>
        <v>6.1257094050824906E-6</v>
      </c>
      <c r="F5" s="115">
        <f t="shared" si="1"/>
        <v>1.5314273512706227E-5</v>
      </c>
      <c r="G5" s="115"/>
    </row>
    <row r="6" spans="1:22" x14ac:dyDescent="0.2">
      <c r="A6" s="68" t="s">
        <v>93</v>
      </c>
      <c r="B6" s="68" t="s">
        <v>248</v>
      </c>
      <c r="C6" s="115">
        <f>'BC Acetone No Blank'!M58</f>
        <v>0</v>
      </c>
      <c r="D6" s="115">
        <f>'BC Filter No Blank'!M58</f>
        <v>0</v>
      </c>
      <c r="E6" s="115">
        <f t="shared" si="0"/>
        <v>0</v>
      </c>
      <c r="F6" s="115">
        <f t="shared" si="1"/>
        <v>0</v>
      </c>
      <c r="G6" s="115"/>
    </row>
    <row r="7" spans="1:22" x14ac:dyDescent="0.2">
      <c r="A7" s="68" t="s">
        <v>85</v>
      </c>
      <c r="B7" s="68" t="s">
        <v>215</v>
      </c>
      <c r="C7" s="115">
        <f>'BC Acetone No Blank'!M65</f>
        <v>3.9676930364494203E-6</v>
      </c>
      <c r="D7" s="115">
        <f>'BC Filter No Blank'!M65</f>
        <v>8.9341738190308167E-6</v>
      </c>
      <c r="E7" s="115">
        <f>(C7+D7)</f>
        <v>1.2901866855480237E-5</v>
      </c>
      <c r="F7" s="115">
        <f t="shared" si="1"/>
        <v>3.2254667138700593E-5</v>
      </c>
      <c r="G7" s="115"/>
    </row>
    <row r="8" spans="1:22" x14ac:dyDescent="0.2">
      <c r="A8" s="68" t="s">
        <v>86</v>
      </c>
      <c r="B8" s="68" t="s">
        <v>249</v>
      </c>
      <c r="C8" s="115">
        <f>'BC Acetone No Blank'!M72</f>
        <v>3.5575837915489347E-7</v>
      </c>
      <c r="D8" s="115">
        <f>'BC Filter No Blank'!M72</f>
        <v>2.5848120329406718E-6</v>
      </c>
      <c r="E8" s="115">
        <f t="shared" si="0"/>
        <v>2.9405704120955653E-6</v>
      </c>
      <c r="F8" s="115">
        <f t="shared" si="1"/>
        <v>7.3514260302389135E-6</v>
      </c>
      <c r="G8" s="115"/>
    </row>
    <row r="9" spans="1:22" x14ac:dyDescent="0.2">
      <c r="A9" s="68" t="s">
        <v>87</v>
      </c>
      <c r="B9" s="68" t="s">
        <v>214</v>
      </c>
      <c r="C9" s="115">
        <f>'BC Acetone No Blank'!M79</f>
        <v>2.4613943683146949E-6</v>
      </c>
      <c r="D9" s="115">
        <f>'BC Filter No Blank'!M79</f>
        <v>1.9032644755365933E-4</v>
      </c>
      <c r="E9" s="115">
        <f t="shared" si="0"/>
        <v>1.9278784192197401E-4</v>
      </c>
      <c r="F9" s="115">
        <f t="shared" si="1"/>
        <v>4.8196960480493504E-4</v>
      </c>
      <c r="G9" s="115"/>
    </row>
    <row r="10" spans="1:22" x14ac:dyDescent="0.2">
      <c r="A10" s="68" t="s">
        <v>88</v>
      </c>
      <c r="B10" s="68" t="s">
        <v>216</v>
      </c>
      <c r="C10" s="115">
        <f>'BC Acetone No Blank'!M86</f>
        <v>1.6014877304343597E-7</v>
      </c>
      <c r="D10" s="115">
        <f>'BC Filter No Blank'!M86</f>
        <v>6.8474410532436579E-6</v>
      </c>
      <c r="E10" s="115">
        <f t="shared" si="0"/>
        <v>7.007589826287094E-6</v>
      </c>
      <c r="F10" s="115">
        <f t="shared" si="1"/>
        <v>1.7518974565717735E-5</v>
      </c>
      <c r="G10" s="115"/>
      <c r="V10" s="131"/>
    </row>
    <row r="11" spans="1:22" x14ac:dyDescent="0.2">
      <c r="A11" s="68" t="s">
        <v>89</v>
      </c>
      <c r="B11" s="68" t="s">
        <v>213</v>
      </c>
      <c r="C11" s="115">
        <f>'BC Acetone No Blank'!M93</f>
        <v>2.9387687984470414E-5</v>
      </c>
      <c r="D11" s="115">
        <f>'BC Filter No Blank'!M93</f>
        <v>9.9525785544043977E-5</v>
      </c>
      <c r="E11" s="115">
        <f t="shared" si="0"/>
        <v>1.2891347352851439E-4</v>
      </c>
      <c r="F11" s="115">
        <f t="shared" si="1"/>
        <v>3.2228368382128598E-4</v>
      </c>
      <c r="G11" s="115"/>
    </row>
    <row r="12" spans="1:22" x14ac:dyDescent="0.2">
      <c r="A12" s="146">
        <v>365</v>
      </c>
      <c r="B12" s="68" t="s">
        <v>231</v>
      </c>
      <c r="C12" s="115">
        <f>'BC Acetone No Blank'!M100</f>
        <v>2.1804954919102008E-6</v>
      </c>
      <c r="D12" s="115">
        <f>'BC Filter No Blank'!M100</f>
        <v>2.7513312255692046E-5</v>
      </c>
      <c r="E12" s="115">
        <f t="shared" si="0"/>
        <v>2.9693807747602246E-5</v>
      </c>
      <c r="F12" s="115">
        <f t="shared" si="1"/>
        <v>7.4234519369005615E-5</v>
      </c>
      <c r="G12" s="115"/>
    </row>
    <row r="13" spans="1:22" x14ac:dyDescent="0.2">
      <c r="A13" s="146">
        <v>504</v>
      </c>
      <c r="B13" s="68" t="s">
        <v>254</v>
      </c>
      <c r="C13" s="115">
        <f>'BC Acetone No Blank'!M107</f>
        <v>0</v>
      </c>
      <c r="D13" s="115">
        <f>'BC Filter No Blank'!M107</f>
        <v>1.0393813923563669E-5</v>
      </c>
      <c r="E13" s="115">
        <f t="shared" si="0"/>
        <v>1.0393813923563669E-5</v>
      </c>
      <c r="F13" s="115">
        <f t="shared" si="1"/>
        <v>2.5984534808909175E-5</v>
      </c>
      <c r="G13" s="115"/>
      <c r="V13" s="115"/>
    </row>
    <row r="14" spans="1:22" x14ac:dyDescent="0.2">
      <c r="A14" s="68" t="s">
        <v>91</v>
      </c>
      <c r="B14" s="68" t="s">
        <v>251</v>
      </c>
      <c r="C14" s="115">
        <f>'BC Acetone No Blank'!M114</f>
        <v>0</v>
      </c>
      <c r="D14" s="115">
        <f>'BC Filter No Blank'!M114</f>
        <v>0</v>
      </c>
      <c r="E14" s="115">
        <f t="shared" si="0"/>
        <v>0</v>
      </c>
      <c r="F14" s="115">
        <f t="shared" si="1"/>
        <v>0</v>
      </c>
      <c r="G14" s="115"/>
    </row>
    <row r="15" spans="1:22" x14ac:dyDescent="0.2">
      <c r="A15" s="68" t="s">
        <v>94</v>
      </c>
      <c r="B15" s="68" t="s">
        <v>252</v>
      </c>
      <c r="C15" s="115">
        <f>'BC Acetone No Blank'!M121</f>
        <v>2.4874778354093982E-6</v>
      </c>
      <c r="D15" s="115">
        <f>'BC Filter No Blank'!M121</f>
        <v>3.1377728289755869E-5</v>
      </c>
      <c r="E15" s="115">
        <f t="shared" si="0"/>
        <v>3.3865206125165264E-5</v>
      </c>
      <c r="F15" s="115">
        <f t="shared" si="1"/>
        <v>8.4663015312913168E-5</v>
      </c>
      <c r="G15" s="115"/>
    </row>
    <row r="16" spans="1:22" x14ac:dyDescent="0.2">
      <c r="A16" s="68" t="s">
        <v>84</v>
      </c>
      <c r="B16" s="68" t="s">
        <v>253</v>
      </c>
      <c r="C16" s="115">
        <f>'BC Acetone No Blank'!M128</f>
        <v>0</v>
      </c>
      <c r="D16" s="115">
        <f>'BC Filter No Blank'!M128</f>
        <v>0</v>
      </c>
      <c r="E16" s="115">
        <f t="shared" si="0"/>
        <v>0</v>
      </c>
      <c r="F16" s="115">
        <f t="shared" si="1"/>
        <v>0</v>
      </c>
      <c r="G16" s="115"/>
    </row>
    <row r="17" spans="1:7" x14ac:dyDescent="0.2">
      <c r="A17" s="68" t="s">
        <v>92</v>
      </c>
      <c r="B17" s="68" t="s">
        <v>197</v>
      </c>
      <c r="C17" s="115">
        <f>'BC Acetone No Blank'!M135</f>
        <v>7.9742780202432915E-7</v>
      </c>
      <c r="D17" s="115">
        <f>'BC Filter No Blank'!M135</f>
        <v>1.5043117688365476E-6</v>
      </c>
      <c r="E17" s="115">
        <f t="shared" si="0"/>
        <v>2.3017395708608765E-6</v>
      </c>
      <c r="F17" s="115">
        <f t="shared" si="1"/>
        <v>5.7543489271521909E-6</v>
      </c>
      <c r="G17" s="115"/>
    </row>
    <row r="20" spans="1:7" x14ac:dyDescent="0.2">
      <c r="B20" s="130" t="s">
        <v>171</v>
      </c>
      <c r="C20" s="68">
        <f>Tabl_B3_Billet_Cut_Casting!B26</f>
        <v>2.5</v>
      </c>
      <c r="D20" s="68" t="s">
        <v>172</v>
      </c>
    </row>
    <row r="21" spans="1:7" x14ac:dyDescent="0.2">
      <c r="B21" s="130"/>
    </row>
    <row r="99" spans="9:15" x14ac:dyDescent="0.2">
      <c r="I99" s="115" t="e">
        <f>#REF!/#REF!</f>
        <v>#REF!</v>
      </c>
      <c r="J99" s="115"/>
      <c r="K99" s="115" t="e">
        <f t="shared" ref="K99:O99" si="2">A98/A24</f>
        <v>#DIV/0!</v>
      </c>
      <c r="L99" s="115"/>
      <c r="M99" s="115" t="e">
        <f t="shared" si="2"/>
        <v>#DIV/0!</v>
      </c>
      <c r="N99" s="115"/>
      <c r="O99" s="115" t="e">
        <f t="shared" si="2"/>
        <v>#DIV/0!</v>
      </c>
    </row>
    <row r="134" spans="9:15" x14ac:dyDescent="0.2">
      <c r="I134" s="115" t="e">
        <f>#REF!/#REF!</f>
        <v>#REF!</v>
      </c>
      <c r="J134" s="115"/>
      <c r="K134" s="115" t="e">
        <f t="shared" ref="K134:M134" si="3">A133/A24</f>
        <v>#DIV/0!</v>
      </c>
      <c r="L134" s="115"/>
      <c r="M134" s="115" t="e">
        <f t="shared" si="3"/>
        <v>#DIV/0!</v>
      </c>
      <c r="N134" s="115"/>
      <c r="O134" s="115" t="e">
        <f t="shared" ref="O134" si="4">E133/E24</f>
        <v>#DIV/0!</v>
      </c>
    </row>
  </sheetData>
  <sheetProtection algorithmName="SHA-512" hashValue="K3y7WzkIQpRHuBQpEeNviYN3kZ6Gc5CqHoUibKY6Z16/qnRH+8AAJT+dvatbgTO15YKMZBF3LO68nyFoA2xvBQ==" saltValue="3VRlErnTN2cYpUXLno1ssQ==" spinCount="100000" sheet="1" objects="1" scenarios="1"/>
  <mergeCells count="1">
    <mergeCell ref="B1:E1"/>
  </mergeCells>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00B0F0"/>
  </sheetPr>
  <dimension ref="A1:AA135"/>
  <sheetViews>
    <sheetView workbookViewId="0">
      <selection sqref="A1:M1"/>
    </sheetView>
  </sheetViews>
  <sheetFormatPr baseColWidth="10" defaultColWidth="8.83203125" defaultRowHeight="15" x14ac:dyDescent="0.2"/>
  <cols>
    <col min="1" max="3" width="14.33203125" style="68" customWidth="1"/>
    <col min="4" max="4" width="3.5" style="68" customWidth="1"/>
    <col min="5" max="5" width="8.83203125" style="68"/>
    <col min="6" max="6" width="3.5" style="68" customWidth="1"/>
    <col min="7" max="7" width="8.83203125" style="68"/>
    <col min="8" max="8" width="3.5" style="68" customWidth="1"/>
    <col min="9" max="9" width="8.83203125" style="68"/>
    <col min="10" max="10" width="3.5" style="68" customWidth="1"/>
    <col min="11" max="16384" width="8.83203125" style="68"/>
  </cols>
  <sheetData>
    <row r="1" spans="1:26" ht="19" x14ac:dyDescent="0.25">
      <c r="A1" s="567" t="s">
        <v>318</v>
      </c>
      <c r="B1" s="567"/>
      <c r="C1" s="567"/>
      <c r="D1" s="567"/>
      <c r="E1" s="567"/>
      <c r="F1" s="567"/>
      <c r="G1" s="567"/>
      <c r="H1" s="567"/>
      <c r="I1" s="567"/>
      <c r="J1" s="567"/>
      <c r="K1" s="567"/>
      <c r="L1" s="567"/>
      <c r="M1" s="567"/>
      <c r="O1" s="50" t="s">
        <v>314</v>
      </c>
      <c r="Z1" s="49"/>
    </row>
    <row r="2" spans="1:26" ht="19" x14ac:dyDescent="0.25">
      <c r="A2" s="69" t="s">
        <v>112</v>
      </c>
      <c r="B2" s="568" t="s">
        <v>0</v>
      </c>
      <c r="C2" s="568"/>
      <c r="D2" s="568"/>
      <c r="E2" s="568"/>
      <c r="F2" s="70"/>
      <c r="G2" s="71"/>
      <c r="H2" s="71"/>
      <c r="I2" s="71"/>
      <c r="J2" s="71"/>
      <c r="K2" s="71"/>
      <c r="O2" s="150" t="s">
        <v>320</v>
      </c>
      <c r="P2" s="49"/>
    </row>
    <row r="3" spans="1:26" x14ac:dyDescent="0.2">
      <c r="A3" s="69" t="s">
        <v>113</v>
      </c>
      <c r="B3" s="568" t="s">
        <v>114</v>
      </c>
      <c r="C3" s="568"/>
      <c r="D3" s="568"/>
      <c r="E3" s="568"/>
      <c r="F3" s="70"/>
      <c r="G3" s="71"/>
      <c r="H3" s="71"/>
      <c r="I3" s="71"/>
      <c r="J3" s="71"/>
      <c r="K3" s="71"/>
    </row>
    <row r="4" spans="1:26" x14ac:dyDescent="0.2">
      <c r="A4" s="69" t="s">
        <v>115</v>
      </c>
      <c r="B4" s="568" t="s">
        <v>25</v>
      </c>
      <c r="C4" s="568"/>
      <c r="D4" s="568"/>
      <c r="E4" s="568"/>
      <c r="F4" s="70"/>
      <c r="G4" s="71"/>
      <c r="H4" s="71"/>
      <c r="I4" s="71"/>
      <c r="J4" s="71"/>
      <c r="K4" s="71"/>
    </row>
    <row r="5" spans="1:26" x14ac:dyDescent="0.2">
      <c r="A5" s="72" t="s">
        <v>116</v>
      </c>
      <c r="B5" s="569" t="s">
        <v>117</v>
      </c>
      <c r="C5" s="569"/>
      <c r="D5" s="569"/>
      <c r="E5" s="569"/>
      <c r="F5" s="73"/>
      <c r="G5" s="71"/>
      <c r="H5" s="71"/>
      <c r="I5" s="71"/>
      <c r="J5" s="71"/>
      <c r="K5" s="71"/>
    </row>
    <row r="6" spans="1:26" x14ac:dyDescent="0.2">
      <c r="A6" s="74"/>
      <c r="B6" s="75"/>
      <c r="C6" s="74"/>
      <c r="D6" s="74"/>
      <c r="E6" s="74"/>
      <c r="F6" s="74"/>
      <c r="G6" s="71"/>
      <c r="H6" s="71"/>
      <c r="I6" s="71"/>
      <c r="J6" s="71"/>
      <c r="K6" s="71"/>
    </row>
    <row r="7" spans="1:26" x14ac:dyDescent="0.2">
      <c r="A7" s="570" t="s">
        <v>118</v>
      </c>
      <c r="B7" s="570"/>
      <c r="C7" s="570"/>
      <c r="D7" s="571" t="s">
        <v>169</v>
      </c>
      <c r="E7" s="571"/>
      <c r="F7" s="571"/>
      <c r="G7" s="571"/>
      <c r="H7" s="571"/>
      <c r="I7" s="571"/>
      <c r="J7" s="571"/>
      <c r="K7" s="571"/>
    </row>
    <row r="8" spans="1:26" x14ac:dyDescent="0.2">
      <c r="A8" s="563" t="s">
        <v>39</v>
      </c>
      <c r="B8" s="563"/>
      <c r="C8" s="563"/>
      <c r="D8" s="77"/>
      <c r="E8" s="78">
        <v>43683</v>
      </c>
      <c r="F8" s="78"/>
      <c r="G8" s="78">
        <v>43683</v>
      </c>
      <c r="H8" s="78"/>
      <c r="I8" s="78">
        <v>43683</v>
      </c>
      <c r="J8" s="78"/>
      <c r="K8" s="71"/>
    </row>
    <row r="9" spans="1:26" x14ac:dyDescent="0.2">
      <c r="A9" s="563" t="s">
        <v>120</v>
      </c>
      <c r="B9" s="563"/>
      <c r="C9" s="563"/>
      <c r="D9" s="77"/>
      <c r="E9" s="79">
        <v>0.39930555555555558</v>
      </c>
      <c r="F9" s="79"/>
      <c r="G9" s="79">
        <v>0.51250000000000007</v>
      </c>
      <c r="H9" s="79"/>
      <c r="I9" s="79">
        <v>0.56597222222222221</v>
      </c>
      <c r="J9" s="79"/>
      <c r="K9" s="71"/>
    </row>
    <row r="10" spans="1:26" x14ac:dyDescent="0.2">
      <c r="A10" s="563" t="s">
        <v>121</v>
      </c>
      <c r="B10" s="563"/>
      <c r="C10" s="563"/>
      <c r="D10" s="77"/>
      <c r="E10" s="79">
        <v>0.44791666666666669</v>
      </c>
      <c r="F10" s="79"/>
      <c r="G10" s="79">
        <v>0.55833333333333335</v>
      </c>
      <c r="H10" s="79"/>
      <c r="I10" s="79">
        <v>0.61597222222222225</v>
      </c>
      <c r="J10" s="79"/>
      <c r="K10" s="71"/>
    </row>
    <row r="11" spans="1:26" x14ac:dyDescent="0.2">
      <c r="A11" s="77"/>
      <c r="B11" s="77"/>
      <c r="C11" s="77"/>
      <c r="D11" s="77"/>
      <c r="E11" s="80" t="s">
        <v>122</v>
      </c>
      <c r="F11" s="80"/>
      <c r="G11" s="80" t="s">
        <v>123</v>
      </c>
      <c r="H11" s="80"/>
      <c r="I11" s="80" t="s">
        <v>124</v>
      </c>
      <c r="J11" s="80"/>
      <c r="K11" s="80" t="s">
        <v>72</v>
      </c>
    </row>
    <row r="12" spans="1:26" x14ac:dyDescent="0.2">
      <c r="A12" s="564" t="s">
        <v>126</v>
      </c>
      <c r="B12" s="565"/>
      <c r="C12" s="565"/>
      <c r="D12" s="565"/>
      <c r="E12" s="565"/>
      <c r="F12" s="565"/>
      <c r="G12" s="565"/>
      <c r="H12" s="565"/>
      <c r="I12" s="565"/>
      <c r="J12" s="565"/>
      <c r="K12" s="566"/>
    </row>
    <row r="13" spans="1:26" x14ac:dyDescent="0.2">
      <c r="A13" s="563" t="s">
        <v>127</v>
      </c>
      <c r="B13" s="563"/>
      <c r="C13" s="563"/>
      <c r="D13" s="77"/>
      <c r="E13" s="81">
        <v>94</v>
      </c>
      <c r="F13" s="81"/>
      <c r="G13" s="81">
        <v>103.9</v>
      </c>
      <c r="H13" s="81"/>
      <c r="I13" s="81">
        <v>105.3</v>
      </c>
      <c r="J13" s="81"/>
      <c r="K13" s="82">
        <v>101.06666666666666</v>
      </c>
    </row>
    <row r="14" spans="1:26" x14ac:dyDescent="0.2">
      <c r="A14" s="563" t="s">
        <v>128</v>
      </c>
      <c r="B14" s="563"/>
      <c r="C14" s="563"/>
      <c r="D14" s="77"/>
      <c r="E14" s="83">
        <v>1.4E-2</v>
      </c>
      <c r="F14" s="84"/>
      <c r="G14" s="83">
        <v>1.4E-2</v>
      </c>
      <c r="H14" s="84"/>
      <c r="I14" s="83">
        <v>1.4E-2</v>
      </c>
      <c r="J14" s="84"/>
      <c r="K14" s="85">
        <v>1.4E-2</v>
      </c>
    </row>
    <row r="15" spans="1:26" x14ac:dyDescent="0.2">
      <c r="A15" s="563" t="s">
        <v>129</v>
      </c>
      <c r="B15" s="563"/>
      <c r="C15" s="563"/>
      <c r="D15" s="77"/>
      <c r="E15" s="86">
        <v>29.8</v>
      </c>
      <c r="F15" s="86"/>
      <c r="G15" s="86">
        <v>29.8</v>
      </c>
      <c r="H15" s="86"/>
      <c r="I15" s="86">
        <v>29.8</v>
      </c>
      <c r="J15" s="86"/>
      <c r="K15" s="87">
        <v>29.8</v>
      </c>
    </row>
    <row r="16" spans="1:26" x14ac:dyDescent="0.2">
      <c r="A16" s="563" t="s">
        <v>130</v>
      </c>
      <c r="B16" s="563"/>
      <c r="C16" s="563"/>
      <c r="D16" s="77"/>
      <c r="E16" s="88">
        <v>1357.7940000000001</v>
      </c>
      <c r="F16" s="88"/>
      <c r="G16" s="88">
        <v>1409.673</v>
      </c>
      <c r="H16" s="88"/>
      <c r="I16" s="88">
        <v>1094.646</v>
      </c>
      <c r="J16" s="88"/>
      <c r="K16" s="127">
        <v>1287.3710000000001</v>
      </c>
    </row>
    <row r="17" spans="1:11" x14ac:dyDescent="0.2">
      <c r="A17" s="563" t="s">
        <v>131</v>
      </c>
      <c r="B17" s="563"/>
      <c r="C17" s="563"/>
      <c r="D17" s="77"/>
      <c r="E17" s="90">
        <v>8.6300000000000008</v>
      </c>
      <c r="F17" s="90"/>
      <c r="G17" s="90">
        <v>9.6110000000000007</v>
      </c>
      <c r="H17" s="90"/>
      <c r="I17" s="90">
        <v>7.09</v>
      </c>
      <c r="J17" s="90"/>
      <c r="K17" s="89">
        <v>8.4436666666666671</v>
      </c>
    </row>
    <row r="18" spans="1:11" x14ac:dyDescent="0.2">
      <c r="A18" s="563" t="s">
        <v>132</v>
      </c>
      <c r="B18" s="563"/>
      <c r="C18" s="563"/>
      <c r="D18" s="77"/>
      <c r="E18" s="91">
        <v>402862</v>
      </c>
      <c r="F18" s="91"/>
      <c r="G18" s="91">
        <v>448642</v>
      </c>
      <c r="H18" s="91"/>
      <c r="I18" s="91">
        <v>330958</v>
      </c>
      <c r="J18" s="91"/>
      <c r="K18" s="92">
        <v>394154</v>
      </c>
    </row>
    <row r="19" spans="1:11" x14ac:dyDescent="0.2">
      <c r="A19" s="563" t="s">
        <v>133</v>
      </c>
      <c r="B19" s="563"/>
      <c r="C19" s="563"/>
      <c r="D19" s="77"/>
      <c r="E19" s="91">
        <v>377051</v>
      </c>
      <c r="F19" s="91"/>
      <c r="G19" s="91">
        <v>412758</v>
      </c>
      <c r="H19" s="91"/>
      <c r="I19" s="91">
        <v>303468</v>
      </c>
      <c r="J19" s="91"/>
      <c r="K19" s="92">
        <v>364425.66666666669</v>
      </c>
    </row>
    <row r="20" spans="1:11" x14ac:dyDescent="0.2">
      <c r="A20" s="563" t="s">
        <v>134</v>
      </c>
      <c r="B20" s="563"/>
      <c r="C20" s="563"/>
      <c r="D20" s="77"/>
      <c r="E20" s="91">
        <v>382414</v>
      </c>
      <c r="F20" s="91"/>
      <c r="G20" s="91">
        <v>418413</v>
      </c>
      <c r="H20" s="91"/>
      <c r="I20" s="91">
        <v>307907</v>
      </c>
      <c r="J20" s="91"/>
      <c r="K20" s="92">
        <v>369578</v>
      </c>
    </row>
    <row r="21" spans="1:11" x14ac:dyDescent="0.2">
      <c r="A21" s="563" t="s">
        <v>135</v>
      </c>
      <c r="B21" s="563"/>
      <c r="C21" s="563"/>
      <c r="D21" s="77"/>
      <c r="E21" s="81">
        <v>0</v>
      </c>
      <c r="F21" s="81"/>
      <c r="G21" s="81">
        <v>0</v>
      </c>
      <c r="H21" s="81"/>
      <c r="I21" s="81">
        <v>0</v>
      </c>
      <c r="J21" s="81"/>
      <c r="K21" s="82">
        <v>0</v>
      </c>
    </row>
    <row r="22" spans="1:11" x14ac:dyDescent="0.2">
      <c r="A22" s="563" t="s">
        <v>136</v>
      </c>
      <c r="B22" s="563"/>
      <c r="C22" s="563"/>
      <c r="D22" s="77"/>
      <c r="E22" s="81">
        <v>20.9</v>
      </c>
      <c r="F22" s="81"/>
      <c r="G22" s="81">
        <v>20.9</v>
      </c>
      <c r="H22" s="81"/>
      <c r="I22" s="81">
        <v>20.9</v>
      </c>
      <c r="J22" s="81"/>
      <c r="K22" s="82">
        <v>20.9</v>
      </c>
    </row>
    <row r="23" spans="1:11" x14ac:dyDescent="0.2">
      <c r="A23" s="563" t="s">
        <v>137</v>
      </c>
      <c r="B23" s="563"/>
      <c r="C23" s="563"/>
      <c r="D23" s="77"/>
      <c r="E23" s="81">
        <v>101.2</v>
      </c>
      <c r="F23" s="81"/>
      <c r="G23" s="81">
        <v>96</v>
      </c>
      <c r="H23" s="81"/>
      <c r="I23" s="81">
        <v>101.4</v>
      </c>
      <c r="J23" s="81"/>
      <c r="K23" s="82">
        <v>99.533333333333346</v>
      </c>
    </row>
    <row r="24" spans="1:11" x14ac:dyDescent="0.2">
      <c r="A24" s="563" t="s">
        <v>138</v>
      </c>
      <c r="B24" s="563"/>
      <c r="C24" s="563"/>
      <c r="D24" s="93"/>
      <c r="E24" s="93">
        <v>132</v>
      </c>
      <c r="F24" s="82"/>
      <c r="G24" s="93">
        <v>116</v>
      </c>
      <c r="H24" s="93"/>
      <c r="I24" s="93">
        <v>131</v>
      </c>
      <c r="J24" s="93"/>
      <c r="K24" s="82">
        <v>126.33333333333333</v>
      </c>
    </row>
    <row r="25" spans="1:11" hidden="1" x14ac:dyDescent="0.2">
      <c r="A25" s="552" t="s">
        <v>139</v>
      </c>
      <c r="B25" s="552" t="s">
        <v>140</v>
      </c>
      <c r="C25" s="552" t="s">
        <v>140</v>
      </c>
      <c r="D25" s="77"/>
      <c r="E25" s="94" t="s">
        <v>71</v>
      </c>
      <c r="F25" s="81"/>
      <c r="G25" s="94" t="s">
        <v>71</v>
      </c>
      <c r="H25" s="81"/>
      <c r="I25" s="94" t="b">
        <v>0</v>
      </c>
      <c r="J25" s="81"/>
      <c r="K25" s="95" t="e">
        <v>#REF!</v>
      </c>
    </row>
    <row r="26" spans="1:11" hidden="1" x14ac:dyDescent="0.2">
      <c r="A26" s="564" t="s">
        <v>141</v>
      </c>
      <c r="B26" s="565"/>
      <c r="C26" s="565"/>
      <c r="D26" s="565"/>
      <c r="E26" s="565"/>
      <c r="F26" s="565"/>
      <c r="G26" s="565"/>
      <c r="H26" s="565"/>
      <c r="I26" s="565"/>
      <c r="J26" s="565"/>
      <c r="K26" s="566"/>
    </row>
    <row r="27" spans="1:11" hidden="1" x14ac:dyDescent="0.2">
      <c r="A27" s="562" t="s">
        <v>142</v>
      </c>
      <c r="B27" s="562"/>
      <c r="C27" s="562"/>
      <c r="D27" s="96"/>
      <c r="E27" s="86">
        <v>10752.110000000002</v>
      </c>
      <c r="F27" s="96"/>
      <c r="G27" s="87">
        <v>1641.1899999999998</v>
      </c>
      <c r="H27" s="96"/>
      <c r="I27" s="87" t="s">
        <v>71</v>
      </c>
      <c r="J27" s="96"/>
      <c r="K27" s="86" t="e">
        <v>#REF!</v>
      </c>
    </row>
    <row r="28" spans="1:11" hidden="1" x14ac:dyDescent="0.2">
      <c r="A28" s="563" t="s">
        <v>58</v>
      </c>
      <c r="B28" s="563"/>
      <c r="C28" s="563"/>
      <c r="D28" s="96"/>
      <c r="E28" s="99">
        <v>0.39489999999999997</v>
      </c>
      <c r="F28" s="96"/>
      <c r="G28" s="99">
        <v>6.3600000000000004E-2</v>
      </c>
      <c r="H28" s="96"/>
      <c r="I28" s="99" t="s">
        <v>71</v>
      </c>
      <c r="J28" s="96"/>
      <c r="K28" s="100" t="e">
        <v>#REF!</v>
      </c>
    </row>
    <row r="29" spans="1:11" hidden="1" x14ac:dyDescent="0.2">
      <c r="A29" s="563" t="s">
        <v>143</v>
      </c>
      <c r="B29" s="563"/>
      <c r="C29" s="563"/>
      <c r="D29" s="101"/>
      <c r="E29" s="102">
        <v>2.9920399999999998</v>
      </c>
      <c r="F29" s="81"/>
      <c r="G29" s="102">
        <v>0.54796999999999996</v>
      </c>
      <c r="H29" s="81"/>
      <c r="I29" s="102" t="s">
        <v>71</v>
      </c>
      <c r="J29" s="93"/>
      <c r="K29" s="103" t="e">
        <v>#REF!</v>
      </c>
    </row>
    <row r="30" spans="1:11" hidden="1" x14ac:dyDescent="0.2">
      <c r="A30" s="563" t="s">
        <v>144</v>
      </c>
      <c r="B30" s="563"/>
      <c r="C30" s="563"/>
      <c r="D30" s="101"/>
      <c r="E30" s="104" t="e">
        <v>#DIV/0!</v>
      </c>
      <c r="F30" s="81"/>
      <c r="G30" s="104" t="e">
        <v>#VALUE!</v>
      </c>
      <c r="H30" s="81"/>
      <c r="I30" s="104" t="e">
        <v>#VALUE!</v>
      </c>
      <c r="J30" s="93"/>
      <c r="K30" s="100" t="e">
        <v>#DIV/0!</v>
      </c>
    </row>
    <row r="31" spans="1:11" x14ac:dyDescent="0.2">
      <c r="A31" s="558" t="s">
        <v>145</v>
      </c>
      <c r="B31" s="559"/>
      <c r="C31" s="559"/>
      <c r="D31" s="559"/>
      <c r="E31" s="559"/>
      <c r="F31" s="559"/>
      <c r="G31" s="559"/>
      <c r="H31" s="559"/>
      <c r="I31" s="559"/>
      <c r="J31" s="559"/>
      <c r="K31" s="560"/>
    </row>
    <row r="32" spans="1:11" x14ac:dyDescent="0.2">
      <c r="A32" s="557" t="s">
        <v>142</v>
      </c>
      <c r="B32" s="557"/>
      <c r="C32" s="557"/>
      <c r="D32" s="105" t="s">
        <v>71</v>
      </c>
      <c r="E32" s="98">
        <v>5440</v>
      </c>
      <c r="F32" s="128" t="s">
        <v>71</v>
      </c>
      <c r="G32" s="98">
        <v>884</v>
      </c>
      <c r="H32" s="128" t="s">
        <v>71</v>
      </c>
      <c r="I32" s="98">
        <v>941</v>
      </c>
      <c r="J32" s="98"/>
      <c r="K32" s="98">
        <v>2421.6666666666665</v>
      </c>
    </row>
    <row r="33" spans="1:11" x14ac:dyDescent="0.2">
      <c r="A33" s="557" t="s">
        <v>147</v>
      </c>
      <c r="B33" s="557"/>
      <c r="C33" s="557"/>
      <c r="D33" s="105" t="s">
        <v>71</v>
      </c>
      <c r="E33" s="107">
        <v>126.042</v>
      </c>
      <c r="F33" s="105" t="s">
        <v>71</v>
      </c>
      <c r="G33" s="107">
        <v>19.728000000000002</v>
      </c>
      <c r="H33" s="105" t="s">
        <v>71</v>
      </c>
      <c r="I33" s="107">
        <v>27.044</v>
      </c>
      <c r="J33" s="87"/>
      <c r="K33" s="98">
        <v>57.604666666666674</v>
      </c>
    </row>
    <row r="34" spans="1:11" x14ac:dyDescent="0.2">
      <c r="A34" s="557" t="s">
        <v>148</v>
      </c>
      <c r="B34" s="557"/>
      <c r="C34" s="557"/>
      <c r="D34" s="105" t="s">
        <v>71</v>
      </c>
      <c r="E34" s="107">
        <v>141.49</v>
      </c>
      <c r="F34" s="105" t="s">
        <v>71</v>
      </c>
      <c r="G34" s="107">
        <v>22.15</v>
      </c>
      <c r="H34" s="105" t="s">
        <v>71</v>
      </c>
      <c r="I34" s="107">
        <v>30.36</v>
      </c>
      <c r="J34" s="87"/>
      <c r="K34" s="98">
        <v>64.666666666666671</v>
      </c>
    </row>
    <row r="35" spans="1:11" x14ac:dyDescent="0.2">
      <c r="A35" s="557" t="s">
        <v>58</v>
      </c>
      <c r="B35" s="557"/>
      <c r="C35" s="557"/>
      <c r="D35" s="105" t="s">
        <v>71</v>
      </c>
      <c r="E35" s="109">
        <v>0.199823</v>
      </c>
      <c r="F35" s="110" t="s">
        <v>71</v>
      </c>
      <c r="G35" s="109">
        <v>3.4237999999999998E-2</v>
      </c>
      <c r="H35" s="110" t="s">
        <v>71</v>
      </c>
      <c r="I35" s="109">
        <v>3.4624000000000002E-2</v>
      </c>
      <c r="J35" s="112"/>
      <c r="K35" s="112">
        <v>8.9561666666666664E-2</v>
      </c>
    </row>
    <row r="36" spans="1:11" x14ac:dyDescent="0.2">
      <c r="A36" s="557" t="s">
        <v>149</v>
      </c>
      <c r="B36" s="557"/>
      <c r="C36" s="557"/>
      <c r="D36" s="105" t="s">
        <v>71</v>
      </c>
      <c r="E36" s="109">
        <v>1.513810606060606E-3</v>
      </c>
      <c r="F36" s="110" t="s">
        <v>71</v>
      </c>
      <c r="G36" s="109">
        <v>2.9515517241379306E-4</v>
      </c>
      <c r="H36" s="110" t="s">
        <v>71</v>
      </c>
      <c r="I36" s="109">
        <v>2.643053435114504E-4</v>
      </c>
      <c r="J36" s="112"/>
      <c r="K36" s="112">
        <v>6.910903739952832E-4</v>
      </c>
    </row>
    <row r="37" spans="1:11" ht="16" x14ac:dyDescent="0.2">
      <c r="A37" s="563" t="s">
        <v>150</v>
      </c>
      <c r="B37" s="563"/>
      <c r="C37" s="563"/>
      <c r="D37" s="105"/>
      <c r="E37" s="113">
        <f>E36</f>
        <v>1.513810606060606E-3</v>
      </c>
      <c r="F37" s="110"/>
      <c r="G37" s="113">
        <f>G36</f>
        <v>2.9515517241379306E-4</v>
      </c>
      <c r="H37" s="110"/>
      <c r="I37" s="113">
        <f>I36</f>
        <v>2.643053435114504E-4</v>
      </c>
      <c r="J37" s="112"/>
      <c r="K37" s="114">
        <f>AVERAGE(E37,G37,I37)</f>
        <v>6.910903739952832E-4</v>
      </c>
    </row>
    <row r="38" spans="1:11" x14ac:dyDescent="0.2">
      <c r="A38" s="558" t="s">
        <v>151</v>
      </c>
      <c r="B38" s="559"/>
      <c r="C38" s="559"/>
      <c r="D38" s="559"/>
      <c r="E38" s="559"/>
      <c r="F38" s="559"/>
      <c r="G38" s="559"/>
      <c r="H38" s="559"/>
      <c r="I38" s="559"/>
      <c r="J38" s="559"/>
      <c r="K38" s="560"/>
    </row>
    <row r="39" spans="1:11" x14ac:dyDescent="0.2">
      <c r="A39" s="557" t="s">
        <v>142</v>
      </c>
      <c r="B39" s="557"/>
      <c r="C39" s="557"/>
      <c r="D39" s="105" t="s">
        <v>146</v>
      </c>
      <c r="E39" s="87">
        <v>3</v>
      </c>
      <c r="F39" s="105" t="s">
        <v>146</v>
      </c>
      <c r="G39" s="87">
        <v>3</v>
      </c>
      <c r="H39" s="105" t="s">
        <v>146</v>
      </c>
      <c r="I39" s="87">
        <v>3</v>
      </c>
      <c r="J39" s="87" t="s">
        <v>146</v>
      </c>
      <c r="K39" s="98">
        <v>3</v>
      </c>
    </row>
    <row r="40" spans="1:11" x14ac:dyDescent="0.2">
      <c r="A40" s="557" t="s">
        <v>147</v>
      </c>
      <c r="B40" s="557"/>
      <c r="C40" s="557"/>
      <c r="D40" s="105" t="s">
        <v>146</v>
      </c>
      <c r="E40" s="107">
        <v>1.4999999999999999E-2</v>
      </c>
      <c r="F40" s="105" t="s">
        <v>146</v>
      </c>
      <c r="G40" s="107">
        <v>1.4999999999999999E-2</v>
      </c>
      <c r="H40" s="105" t="s">
        <v>146</v>
      </c>
      <c r="I40" s="107">
        <v>1.9E-2</v>
      </c>
      <c r="J40" s="87" t="s">
        <v>146</v>
      </c>
      <c r="K40" s="98">
        <v>1.6333333333333335E-2</v>
      </c>
    </row>
    <row r="41" spans="1:11" x14ac:dyDescent="0.2">
      <c r="A41" s="557" t="s">
        <v>148</v>
      </c>
      <c r="B41" s="557"/>
      <c r="C41" s="557"/>
      <c r="D41" s="105" t="s">
        <v>146</v>
      </c>
      <c r="E41" s="107">
        <v>0.08</v>
      </c>
      <c r="F41" s="105" t="s">
        <v>146</v>
      </c>
      <c r="G41" s="107">
        <v>0.08</v>
      </c>
      <c r="H41" s="105" t="s">
        <v>146</v>
      </c>
      <c r="I41" s="107">
        <v>0.1</v>
      </c>
      <c r="J41" s="87" t="s">
        <v>146</v>
      </c>
      <c r="K41" s="98">
        <v>8.666666666666667E-2</v>
      </c>
    </row>
    <row r="42" spans="1:11" x14ac:dyDescent="0.2">
      <c r="A42" s="557" t="s">
        <v>58</v>
      </c>
      <c r="B42" s="557"/>
      <c r="C42" s="557"/>
      <c r="D42" s="105" t="s">
        <v>146</v>
      </c>
      <c r="E42" s="109">
        <v>1.1E-4</v>
      </c>
      <c r="F42" s="110" t="s">
        <v>146</v>
      </c>
      <c r="G42" s="109">
        <v>1.16E-4</v>
      </c>
      <c r="H42" s="110" t="s">
        <v>146</v>
      </c>
      <c r="I42" s="109">
        <v>1.1E-4</v>
      </c>
      <c r="J42" s="112" t="s">
        <v>146</v>
      </c>
      <c r="K42" s="112">
        <v>1.1200000000000001E-4</v>
      </c>
    </row>
    <row r="43" spans="1:11" x14ac:dyDescent="0.2">
      <c r="A43" s="557" t="s">
        <v>149</v>
      </c>
      <c r="B43" s="557"/>
      <c r="C43" s="557"/>
      <c r="D43" s="105" t="s">
        <v>146</v>
      </c>
      <c r="E43" s="109">
        <v>8.3333333333333333E-7</v>
      </c>
      <c r="F43" s="110" t="s">
        <v>146</v>
      </c>
      <c r="G43" s="109">
        <v>9.9999999999999995E-7</v>
      </c>
      <c r="H43" s="110" t="s">
        <v>146</v>
      </c>
      <c r="I43" s="109">
        <v>8.3969465648854962E-7</v>
      </c>
      <c r="J43" s="112" t="s">
        <v>146</v>
      </c>
      <c r="K43" s="112">
        <v>8.9100932994062774E-7</v>
      </c>
    </row>
    <row r="44" spans="1:11" ht="16" x14ac:dyDescent="0.2">
      <c r="A44" s="563" t="s">
        <v>150</v>
      </c>
      <c r="B44" s="563"/>
      <c r="C44" s="563"/>
      <c r="D44" s="105"/>
      <c r="E44" s="113">
        <v>0</v>
      </c>
      <c r="F44" s="110"/>
      <c r="G44" s="113">
        <v>0</v>
      </c>
      <c r="H44" s="110"/>
      <c r="I44" s="113">
        <v>0</v>
      </c>
      <c r="J44" s="112"/>
      <c r="K44" s="114">
        <f>AVERAGE(E44,G44,I44)</f>
        <v>0</v>
      </c>
    </row>
    <row r="45" spans="1:11" x14ac:dyDescent="0.2">
      <c r="A45" s="558" t="s">
        <v>152</v>
      </c>
      <c r="B45" s="559"/>
      <c r="C45" s="559"/>
      <c r="D45" s="559"/>
      <c r="E45" s="559"/>
      <c r="F45" s="559"/>
      <c r="G45" s="559"/>
      <c r="H45" s="559"/>
      <c r="I45" s="559"/>
      <c r="J45" s="559"/>
      <c r="K45" s="560"/>
    </row>
    <row r="46" spans="1:11" x14ac:dyDescent="0.2">
      <c r="A46" s="557" t="s">
        <v>142</v>
      </c>
      <c r="B46" s="557"/>
      <c r="C46" s="557"/>
      <c r="D46" s="105" t="s">
        <v>71</v>
      </c>
      <c r="E46" s="87">
        <v>3.59</v>
      </c>
      <c r="F46" s="105" t="s">
        <v>146</v>
      </c>
      <c r="G46" s="87">
        <v>0.8</v>
      </c>
      <c r="H46" s="105" t="s">
        <v>146</v>
      </c>
      <c r="I46" s="87">
        <v>0.8</v>
      </c>
      <c r="J46" s="87" t="s">
        <v>146</v>
      </c>
      <c r="K46" s="98">
        <v>1.7299999999999998</v>
      </c>
    </row>
    <row r="47" spans="1:11" x14ac:dyDescent="0.2">
      <c r="A47" s="557" t="s">
        <v>147</v>
      </c>
      <c r="B47" s="557"/>
      <c r="C47" s="557"/>
      <c r="D47" s="105" t="s">
        <v>71</v>
      </c>
      <c r="E47" s="107">
        <v>0.03</v>
      </c>
      <c r="F47" s="105" t="s">
        <v>146</v>
      </c>
      <c r="G47" s="107">
        <v>6.0000000000000001E-3</v>
      </c>
      <c r="H47" s="105" t="s">
        <v>146</v>
      </c>
      <c r="I47" s="107">
        <v>8.0000000000000002E-3</v>
      </c>
      <c r="J47" s="87" t="s">
        <v>146</v>
      </c>
      <c r="K47" s="98">
        <v>1.4666666666666666E-2</v>
      </c>
    </row>
    <row r="48" spans="1:11" x14ac:dyDescent="0.2">
      <c r="A48" s="557" t="s">
        <v>148</v>
      </c>
      <c r="B48" s="557"/>
      <c r="C48" s="557"/>
      <c r="D48" s="105" t="s">
        <v>71</v>
      </c>
      <c r="E48" s="107">
        <v>0.09</v>
      </c>
      <c r="F48" s="105" t="s">
        <v>146</v>
      </c>
      <c r="G48" s="107">
        <v>0.02</v>
      </c>
      <c r="H48" s="105" t="s">
        <v>146</v>
      </c>
      <c r="I48" s="107">
        <v>0.03</v>
      </c>
      <c r="J48" s="87" t="s">
        <v>146</v>
      </c>
      <c r="K48" s="98">
        <v>4.6666666666666669E-2</v>
      </c>
    </row>
    <row r="49" spans="1:11" x14ac:dyDescent="0.2">
      <c r="A49" s="557" t="s">
        <v>58</v>
      </c>
      <c r="B49" s="557"/>
      <c r="C49" s="557"/>
      <c r="D49" s="105" t="s">
        <v>71</v>
      </c>
      <c r="E49" s="109">
        <v>1.3200000000000001E-4</v>
      </c>
      <c r="F49" s="110" t="s">
        <v>146</v>
      </c>
      <c r="G49" s="109">
        <v>3.1000000000000001E-5</v>
      </c>
      <c r="H49" s="110" t="s">
        <v>146</v>
      </c>
      <c r="I49" s="109">
        <v>2.9E-5</v>
      </c>
      <c r="J49" s="112" t="s">
        <v>146</v>
      </c>
      <c r="K49" s="112">
        <v>6.3999999999999997E-5</v>
      </c>
    </row>
    <row r="50" spans="1:11" x14ac:dyDescent="0.2">
      <c r="A50" s="557" t="s">
        <v>149</v>
      </c>
      <c r="B50" s="557"/>
      <c r="C50" s="557"/>
      <c r="D50" s="105" t="s">
        <v>71</v>
      </c>
      <c r="E50" s="109">
        <v>1.0000000000000002E-6</v>
      </c>
      <c r="F50" s="110" t="s">
        <v>146</v>
      </c>
      <c r="G50" s="109">
        <v>2.6724137931034485E-7</v>
      </c>
      <c r="H50" s="110" t="s">
        <v>146</v>
      </c>
      <c r="I50" s="109">
        <v>2.2137404580152672E-7</v>
      </c>
      <c r="J50" s="112" t="s">
        <v>146</v>
      </c>
      <c r="K50" s="112">
        <v>4.9620514170395725E-7</v>
      </c>
    </row>
    <row r="51" spans="1:11" ht="16" x14ac:dyDescent="0.2">
      <c r="A51" s="563" t="s">
        <v>150</v>
      </c>
      <c r="B51" s="563"/>
      <c r="C51" s="563"/>
      <c r="D51" s="105"/>
      <c r="E51" s="113">
        <f>E50</f>
        <v>1.0000000000000002E-6</v>
      </c>
      <c r="F51" s="110"/>
      <c r="G51" s="113">
        <f>G50*0.5</f>
        <v>1.3362068965517243E-7</v>
      </c>
      <c r="H51" s="110"/>
      <c r="I51" s="113">
        <f>I50*0.5</f>
        <v>1.1068702290076336E-7</v>
      </c>
      <c r="J51" s="112"/>
      <c r="K51" s="114">
        <f>AVERAGE(E51,G51,I51)</f>
        <v>4.1476923751864535E-7</v>
      </c>
    </row>
    <row r="52" spans="1:11" x14ac:dyDescent="0.2">
      <c r="A52" s="558" t="s">
        <v>153</v>
      </c>
      <c r="B52" s="559"/>
      <c r="C52" s="559"/>
      <c r="D52" s="559"/>
      <c r="E52" s="559"/>
      <c r="F52" s="559"/>
      <c r="G52" s="559"/>
      <c r="H52" s="559"/>
      <c r="I52" s="559"/>
      <c r="J52" s="559"/>
      <c r="K52" s="560"/>
    </row>
    <row r="53" spans="1:11" x14ac:dyDescent="0.2">
      <c r="A53" s="557" t="s">
        <v>142</v>
      </c>
      <c r="B53" s="557"/>
      <c r="C53" s="557"/>
      <c r="D53" s="105" t="s">
        <v>146</v>
      </c>
      <c r="E53" s="87">
        <v>0.18</v>
      </c>
      <c r="F53" s="105" t="s">
        <v>146</v>
      </c>
      <c r="G53" s="87">
        <v>0.18</v>
      </c>
      <c r="H53" s="105" t="s">
        <v>146</v>
      </c>
      <c r="I53" s="87">
        <v>0.18</v>
      </c>
      <c r="J53" s="87" t="s">
        <v>146</v>
      </c>
      <c r="K53" s="98">
        <v>0.18000000000000002</v>
      </c>
    </row>
    <row r="54" spans="1:11" x14ac:dyDescent="0.2">
      <c r="A54" s="557" t="s">
        <v>147</v>
      </c>
      <c r="B54" s="557"/>
      <c r="C54" s="557"/>
      <c r="D54" s="105" t="s">
        <v>146</v>
      </c>
      <c r="E54" s="107">
        <v>1.2E-2</v>
      </c>
      <c r="F54" s="105" t="s">
        <v>146</v>
      </c>
      <c r="G54" s="107">
        <v>1.2E-2</v>
      </c>
      <c r="H54" s="105" t="s">
        <v>146</v>
      </c>
      <c r="I54" s="107">
        <v>1.4999999999999999E-2</v>
      </c>
      <c r="J54" s="87" t="s">
        <v>146</v>
      </c>
      <c r="K54" s="98">
        <v>1.2999999999999999E-2</v>
      </c>
    </row>
    <row r="55" spans="1:11" x14ac:dyDescent="0.2">
      <c r="A55" s="557" t="s">
        <v>148</v>
      </c>
      <c r="B55" s="557"/>
      <c r="C55" s="557"/>
      <c r="D55" s="105" t="s">
        <v>146</v>
      </c>
      <c r="E55" s="107">
        <v>5.0000000000000001E-3</v>
      </c>
      <c r="F55" s="105" t="s">
        <v>146</v>
      </c>
      <c r="G55" s="107">
        <v>5.0000000000000001E-3</v>
      </c>
      <c r="H55" s="105" t="s">
        <v>146</v>
      </c>
      <c r="I55" s="107">
        <v>0.01</v>
      </c>
      <c r="J55" s="87" t="s">
        <v>146</v>
      </c>
      <c r="K55" s="98">
        <v>6.6666666666666671E-3</v>
      </c>
    </row>
    <row r="56" spans="1:11" x14ac:dyDescent="0.2">
      <c r="A56" s="557" t="s">
        <v>58</v>
      </c>
      <c r="B56" s="557"/>
      <c r="C56" s="557"/>
      <c r="D56" s="105" t="s">
        <v>146</v>
      </c>
      <c r="E56" s="109">
        <v>6.9999999999999999E-6</v>
      </c>
      <c r="F56" s="110" t="s">
        <v>146</v>
      </c>
      <c r="G56" s="109">
        <v>6.9999999999999999E-6</v>
      </c>
      <c r="H56" s="110" t="s">
        <v>146</v>
      </c>
      <c r="I56" s="109">
        <v>6.9999999999999999E-6</v>
      </c>
      <c r="J56" s="112" t="s">
        <v>146</v>
      </c>
      <c r="K56" s="112">
        <v>6.9999999999999999E-6</v>
      </c>
    </row>
    <row r="57" spans="1:11" x14ac:dyDescent="0.2">
      <c r="A57" s="557" t="s">
        <v>149</v>
      </c>
      <c r="B57" s="557"/>
      <c r="C57" s="557"/>
      <c r="D57" s="105" t="s">
        <v>146</v>
      </c>
      <c r="E57" s="109">
        <v>5.3030303030303027E-8</v>
      </c>
      <c r="F57" s="110" t="s">
        <v>146</v>
      </c>
      <c r="G57" s="109">
        <v>6.0344827586206896E-8</v>
      </c>
      <c r="H57" s="110" t="s">
        <v>146</v>
      </c>
      <c r="I57" s="109">
        <v>5.343511450381679E-8</v>
      </c>
      <c r="J57" s="112" t="s">
        <v>146</v>
      </c>
      <c r="K57" s="112">
        <v>5.5603415040108911E-8</v>
      </c>
    </row>
    <row r="58" spans="1:11" ht="16" x14ac:dyDescent="0.2">
      <c r="A58" s="563" t="s">
        <v>150</v>
      </c>
      <c r="B58" s="563"/>
      <c r="C58" s="563"/>
      <c r="D58" s="105"/>
      <c r="E58" s="113">
        <v>0</v>
      </c>
      <c r="F58" s="110"/>
      <c r="G58" s="113">
        <v>0</v>
      </c>
      <c r="H58" s="110"/>
      <c r="I58" s="113">
        <v>0</v>
      </c>
      <c r="J58" s="112"/>
      <c r="K58" s="114">
        <f>AVERAGE(E58,G58,I58)</f>
        <v>0</v>
      </c>
    </row>
    <row r="59" spans="1:11" x14ac:dyDescent="0.2">
      <c r="A59" s="558" t="s">
        <v>154</v>
      </c>
      <c r="B59" s="559"/>
      <c r="C59" s="559"/>
      <c r="D59" s="559"/>
      <c r="E59" s="559"/>
      <c r="F59" s="559"/>
      <c r="G59" s="559"/>
      <c r="H59" s="559"/>
      <c r="I59" s="559"/>
      <c r="J59" s="559"/>
      <c r="K59" s="560"/>
    </row>
    <row r="60" spans="1:11" x14ac:dyDescent="0.2">
      <c r="A60" s="557" t="s">
        <v>142</v>
      </c>
      <c r="B60" s="557"/>
      <c r="C60" s="557"/>
      <c r="D60" s="105" t="s">
        <v>71</v>
      </c>
      <c r="E60" s="87">
        <v>68.5</v>
      </c>
      <c r="F60" s="105" t="s">
        <v>71</v>
      </c>
      <c r="G60" s="87">
        <v>15.4</v>
      </c>
      <c r="H60" s="105" t="s">
        <v>71</v>
      </c>
      <c r="I60" s="87">
        <v>19.600000000000001</v>
      </c>
      <c r="J60" s="87"/>
      <c r="K60" s="98">
        <v>34.5</v>
      </c>
    </row>
    <row r="61" spans="1:11" x14ac:dyDescent="0.2">
      <c r="A61" s="557" t="s">
        <v>147</v>
      </c>
      <c r="B61" s="557"/>
      <c r="C61" s="557"/>
      <c r="D61" s="105" t="s">
        <v>71</v>
      </c>
      <c r="E61" s="107">
        <v>0.82399999999999995</v>
      </c>
      <c r="F61" s="105" t="s">
        <v>71</v>
      </c>
      <c r="G61" s="107">
        <v>0.17799999999999999</v>
      </c>
      <c r="H61" s="105" t="s">
        <v>71</v>
      </c>
      <c r="I61" s="107">
        <v>0.29199999999999998</v>
      </c>
      <c r="J61" s="87"/>
      <c r="K61" s="98">
        <v>0.43133333333333335</v>
      </c>
    </row>
    <row r="62" spans="1:11" x14ac:dyDescent="0.2">
      <c r="A62" s="557" t="s">
        <v>148</v>
      </c>
      <c r="B62" s="557"/>
      <c r="C62" s="557"/>
      <c r="D62" s="105" t="s">
        <v>71</v>
      </c>
      <c r="E62" s="107">
        <v>1.78</v>
      </c>
      <c r="F62" s="105" t="s">
        <v>71</v>
      </c>
      <c r="G62" s="107">
        <v>0.39</v>
      </c>
      <c r="H62" s="105" t="s">
        <v>71</v>
      </c>
      <c r="I62" s="107">
        <v>0.63</v>
      </c>
      <c r="J62" s="87"/>
      <c r="K62" s="98">
        <v>0.93333333333333324</v>
      </c>
    </row>
    <row r="63" spans="1:11" x14ac:dyDescent="0.2">
      <c r="A63" s="557" t="s">
        <v>58</v>
      </c>
      <c r="B63" s="557"/>
      <c r="C63" s="557"/>
      <c r="D63" s="105" t="s">
        <v>71</v>
      </c>
      <c r="E63" s="109">
        <v>2.516E-3</v>
      </c>
      <c r="F63" s="110" t="s">
        <v>71</v>
      </c>
      <c r="G63" s="109">
        <v>5.9599999999999996E-4</v>
      </c>
      <c r="H63" s="110" t="s">
        <v>71</v>
      </c>
      <c r="I63" s="109">
        <v>7.2099999999999996E-4</v>
      </c>
      <c r="J63" s="112"/>
      <c r="K63" s="112">
        <v>1.2776666666666668E-3</v>
      </c>
    </row>
    <row r="64" spans="1:11" x14ac:dyDescent="0.2">
      <c r="A64" s="557" t="s">
        <v>149</v>
      </c>
      <c r="B64" s="557"/>
      <c r="C64" s="557"/>
      <c r="D64" s="105" t="s">
        <v>71</v>
      </c>
      <c r="E64" s="109">
        <v>1.9060606060606059E-5</v>
      </c>
      <c r="F64" s="110" t="s">
        <v>71</v>
      </c>
      <c r="G64" s="109">
        <v>5.1379310344827581E-6</v>
      </c>
      <c r="H64" s="110" t="s">
        <v>71</v>
      </c>
      <c r="I64" s="109">
        <v>5.5038167938931293E-6</v>
      </c>
      <c r="J64" s="112"/>
      <c r="K64" s="112">
        <v>9.9007846296606486E-6</v>
      </c>
    </row>
    <row r="65" spans="1:11" ht="16" x14ac:dyDescent="0.2">
      <c r="A65" s="563" t="s">
        <v>150</v>
      </c>
      <c r="B65" s="563"/>
      <c r="C65" s="563"/>
      <c r="D65" s="105"/>
      <c r="E65" s="113">
        <f>E64</f>
        <v>1.9060606060606059E-5</v>
      </c>
      <c r="F65" s="110"/>
      <c r="G65" s="113">
        <f>G64</f>
        <v>5.1379310344827581E-6</v>
      </c>
      <c r="H65" s="110"/>
      <c r="I65" s="113">
        <f>I64</f>
        <v>5.5038167938931293E-6</v>
      </c>
      <c r="J65" s="112"/>
      <c r="K65" s="114">
        <f>AVERAGE(E65,G65,I65)</f>
        <v>9.9007846296606486E-6</v>
      </c>
    </row>
    <row r="66" spans="1:11" x14ac:dyDescent="0.2">
      <c r="A66" s="558" t="s">
        <v>155</v>
      </c>
      <c r="B66" s="559"/>
      <c r="C66" s="559"/>
      <c r="D66" s="559"/>
      <c r="E66" s="559"/>
      <c r="F66" s="559"/>
      <c r="G66" s="559"/>
      <c r="H66" s="559"/>
      <c r="I66" s="559"/>
      <c r="J66" s="559"/>
      <c r="K66" s="560"/>
    </row>
    <row r="67" spans="1:11" x14ac:dyDescent="0.2">
      <c r="A67" s="557" t="s">
        <v>142</v>
      </c>
      <c r="B67" s="557"/>
      <c r="C67" s="557"/>
      <c r="D67" s="105" t="s">
        <v>71</v>
      </c>
      <c r="E67" s="87">
        <v>8.32</v>
      </c>
      <c r="F67" s="105" t="s">
        <v>71</v>
      </c>
      <c r="G67" s="87">
        <v>1.2</v>
      </c>
      <c r="H67" s="105" t="s">
        <v>71</v>
      </c>
      <c r="I67" s="87">
        <v>1.74</v>
      </c>
      <c r="J67" s="87"/>
      <c r="K67" s="98">
        <v>3.7533333333333334</v>
      </c>
    </row>
    <row r="68" spans="1:11" x14ac:dyDescent="0.2">
      <c r="A68" s="557" t="s">
        <v>147</v>
      </c>
      <c r="B68" s="557"/>
      <c r="C68" s="557"/>
      <c r="D68" s="105" t="s">
        <v>71</v>
      </c>
      <c r="E68" s="107">
        <v>8.7999999999999995E-2</v>
      </c>
      <c r="F68" s="105" t="s">
        <v>71</v>
      </c>
      <c r="G68" s="107">
        <v>1.2E-2</v>
      </c>
      <c r="H68" s="105" t="s">
        <v>71</v>
      </c>
      <c r="I68" s="107">
        <v>2.3E-2</v>
      </c>
      <c r="J68" s="87"/>
      <c r="K68" s="98">
        <v>4.1000000000000002E-2</v>
      </c>
    </row>
    <row r="69" spans="1:11" x14ac:dyDescent="0.2">
      <c r="A69" s="557" t="s">
        <v>148</v>
      </c>
      <c r="B69" s="557"/>
      <c r="C69" s="557"/>
      <c r="D69" s="105" t="s">
        <v>71</v>
      </c>
      <c r="E69" s="107">
        <v>0.22</v>
      </c>
      <c r="F69" s="105" t="s">
        <v>71</v>
      </c>
      <c r="G69" s="107">
        <v>0.03</v>
      </c>
      <c r="H69" s="105" t="s">
        <v>71</v>
      </c>
      <c r="I69" s="107">
        <v>0.06</v>
      </c>
      <c r="J69" s="87"/>
      <c r="K69" s="98">
        <v>0.10333333333333333</v>
      </c>
    </row>
    <row r="70" spans="1:11" x14ac:dyDescent="0.2">
      <c r="A70" s="557" t="s">
        <v>58</v>
      </c>
      <c r="B70" s="557"/>
      <c r="C70" s="557"/>
      <c r="D70" s="105" t="s">
        <v>71</v>
      </c>
      <c r="E70" s="109">
        <v>2.9999999999999997E-4</v>
      </c>
      <c r="F70" s="110" t="s">
        <v>71</v>
      </c>
      <c r="G70" s="109">
        <v>4.4079999999999998E-5</v>
      </c>
      <c r="H70" s="110" t="s">
        <v>71</v>
      </c>
      <c r="I70" s="109">
        <v>1E-4</v>
      </c>
      <c r="J70" s="112"/>
      <c r="K70" s="112">
        <v>1.4802666666666666E-4</v>
      </c>
    </row>
    <row r="71" spans="1:11" x14ac:dyDescent="0.2">
      <c r="A71" s="557" t="s">
        <v>149</v>
      </c>
      <c r="B71" s="557"/>
      <c r="C71" s="557"/>
      <c r="D71" s="105" t="s">
        <v>71</v>
      </c>
      <c r="E71" s="109">
        <v>2.2727272727272723E-6</v>
      </c>
      <c r="F71" s="110" t="s">
        <v>71</v>
      </c>
      <c r="G71" s="109">
        <v>3.7999999999999996E-7</v>
      </c>
      <c r="H71" s="110" t="s">
        <v>71</v>
      </c>
      <c r="I71" s="109">
        <v>7.6335877862595421E-7</v>
      </c>
      <c r="J71" s="112"/>
      <c r="K71" s="112">
        <v>1.1386953504510756E-6</v>
      </c>
    </row>
    <row r="72" spans="1:11" ht="16" x14ac:dyDescent="0.2">
      <c r="A72" s="563" t="s">
        <v>150</v>
      </c>
      <c r="B72" s="563"/>
      <c r="C72" s="563"/>
      <c r="D72" s="105"/>
      <c r="E72" s="113">
        <f>E71</f>
        <v>2.2727272727272723E-6</v>
      </c>
      <c r="F72" s="110"/>
      <c r="G72" s="113">
        <f>G71</f>
        <v>3.7999999999999996E-7</v>
      </c>
      <c r="H72" s="110"/>
      <c r="I72" s="113">
        <f>I71</f>
        <v>7.6335877862595421E-7</v>
      </c>
      <c r="J72" s="112"/>
      <c r="K72" s="114">
        <f>AVERAGE(E72,G72,I72)</f>
        <v>1.1386953504510756E-6</v>
      </c>
    </row>
    <row r="73" spans="1:11" x14ac:dyDescent="0.2">
      <c r="A73" s="558" t="s">
        <v>156</v>
      </c>
      <c r="B73" s="559"/>
      <c r="C73" s="559"/>
      <c r="D73" s="559"/>
      <c r="E73" s="559"/>
      <c r="F73" s="559"/>
      <c r="G73" s="559"/>
      <c r="H73" s="559"/>
      <c r="I73" s="559"/>
      <c r="J73" s="559"/>
      <c r="K73" s="560"/>
    </row>
    <row r="74" spans="1:11" x14ac:dyDescent="0.2">
      <c r="A74" s="557" t="s">
        <v>142</v>
      </c>
      <c r="B74" s="557"/>
      <c r="C74" s="557"/>
      <c r="D74" s="105" t="s">
        <v>71</v>
      </c>
      <c r="E74" s="87">
        <v>49.5</v>
      </c>
      <c r="F74" s="105" t="s">
        <v>71</v>
      </c>
      <c r="G74" s="87">
        <v>11.3</v>
      </c>
      <c r="H74" s="105" t="s">
        <v>71</v>
      </c>
      <c r="I74" s="87">
        <v>15.5</v>
      </c>
      <c r="J74" s="87"/>
      <c r="K74" s="98">
        <v>25.433333333333334</v>
      </c>
    </row>
    <row r="75" spans="1:11" x14ac:dyDescent="0.2">
      <c r="A75" s="557" t="s">
        <v>147</v>
      </c>
      <c r="B75" s="557"/>
      <c r="C75" s="557"/>
      <c r="D75" s="105" t="s">
        <v>71</v>
      </c>
      <c r="E75" s="107">
        <v>0.48699999999999999</v>
      </c>
      <c r="F75" s="105" t="s">
        <v>71</v>
      </c>
      <c r="G75" s="107">
        <v>0.107</v>
      </c>
      <c r="H75" s="105" t="s">
        <v>71</v>
      </c>
      <c r="I75" s="107">
        <v>0.189</v>
      </c>
      <c r="J75" s="87"/>
      <c r="K75" s="98">
        <v>0.26099999999999995</v>
      </c>
    </row>
    <row r="76" spans="1:11" x14ac:dyDescent="0.2">
      <c r="A76" s="557" t="s">
        <v>148</v>
      </c>
      <c r="B76" s="557"/>
      <c r="C76" s="557"/>
      <c r="D76" s="105" t="s">
        <v>71</v>
      </c>
      <c r="E76" s="107">
        <v>1.29</v>
      </c>
      <c r="F76" s="105" t="s">
        <v>71</v>
      </c>
      <c r="G76" s="107">
        <v>0.28000000000000003</v>
      </c>
      <c r="H76" s="105" t="s">
        <v>71</v>
      </c>
      <c r="I76" s="107">
        <v>0.5</v>
      </c>
      <c r="J76" s="87"/>
      <c r="K76" s="98">
        <v>0.69000000000000006</v>
      </c>
    </row>
    <row r="77" spans="1:11" x14ac:dyDescent="0.2">
      <c r="A77" s="557" t="s">
        <v>58</v>
      </c>
      <c r="B77" s="557"/>
      <c r="C77" s="557"/>
      <c r="D77" s="105" t="s">
        <v>71</v>
      </c>
      <c r="E77" s="109">
        <v>1.8E-3</v>
      </c>
      <c r="F77" s="110" t="s">
        <v>71</v>
      </c>
      <c r="G77" s="109">
        <v>4.0000000000000002E-4</v>
      </c>
      <c r="H77" s="110" t="s">
        <v>71</v>
      </c>
      <c r="I77" s="109">
        <v>5.9999999999999995E-4</v>
      </c>
      <c r="J77" s="112"/>
      <c r="K77" s="112">
        <v>9.3333333333333332E-4</v>
      </c>
    </row>
    <row r="78" spans="1:11" x14ac:dyDescent="0.2">
      <c r="A78" s="557" t="s">
        <v>149</v>
      </c>
      <c r="B78" s="557"/>
      <c r="C78" s="557"/>
      <c r="D78" s="105" t="s">
        <v>71</v>
      </c>
      <c r="E78" s="109">
        <v>1.3636363636363637E-5</v>
      </c>
      <c r="F78" s="110" t="s">
        <v>71</v>
      </c>
      <c r="G78" s="109">
        <v>3.4482758620689658E-6</v>
      </c>
      <c r="H78" s="110" t="s">
        <v>71</v>
      </c>
      <c r="I78" s="109">
        <v>4.5801526717557251E-6</v>
      </c>
      <c r="J78" s="112"/>
      <c r="K78" s="112">
        <v>7.2215973900627758E-6</v>
      </c>
    </row>
    <row r="79" spans="1:11" ht="16" x14ac:dyDescent="0.2">
      <c r="A79" s="563" t="s">
        <v>150</v>
      </c>
      <c r="B79" s="563"/>
      <c r="C79" s="563"/>
      <c r="D79" s="105"/>
      <c r="E79" s="113">
        <f>E78</f>
        <v>1.3636363636363637E-5</v>
      </c>
      <c r="F79" s="110"/>
      <c r="G79" s="113">
        <f>G78</f>
        <v>3.4482758620689658E-6</v>
      </c>
      <c r="H79" s="110"/>
      <c r="I79" s="113">
        <f>I78</f>
        <v>4.5801526717557251E-6</v>
      </c>
      <c r="J79" s="112"/>
      <c r="K79" s="114">
        <f>AVERAGE(E79,G79,I79)</f>
        <v>7.2215973900627758E-6</v>
      </c>
    </row>
    <row r="80" spans="1:11" x14ac:dyDescent="0.2">
      <c r="A80" s="558" t="s">
        <v>157</v>
      </c>
      <c r="B80" s="559"/>
      <c r="C80" s="559"/>
      <c r="D80" s="559"/>
      <c r="E80" s="559"/>
      <c r="F80" s="559"/>
      <c r="G80" s="559"/>
      <c r="H80" s="559"/>
      <c r="I80" s="559"/>
      <c r="J80" s="559"/>
      <c r="K80" s="560"/>
    </row>
    <row r="81" spans="1:11" x14ac:dyDescent="0.2">
      <c r="A81" s="557" t="s">
        <v>142</v>
      </c>
      <c r="B81" s="557"/>
      <c r="C81" s="557"/>
      <c r="D81" s="105" t="s">
        <v>71</v>
      </c>
      <c r="E81" s="98">
        <v>43.2</v>
      </c>
      <c r="F81" s="105" t="s">
        <v>71</v>
      </c>
      <c r="G81" s="87">
        <v>7.13</v>
      </c>
      <c r="H81" s="105" t="s">
        <v>71</v>
      </c>
      <c r="I81" s="87">
        <v>9.99</v>
      </c>
      <c r="J81" s="87"/>
      <c r="K81" s="98">
        <v>20.106666666666669</v>
      </c>
    </row>
    <row r="82" spans="1:11" x14ac:dyDescent="0.2">
      <c r="A82" s="557" t="s">
        <v>147</v>
      </c>
      <c r="B82" s="557"/>
      <c r="C82" s="557"/>
      <c r="D82" s="105" t="s">
        <v>71</v>
      </c>
      <c r="E82" s="107">
        <v>0.13</v>
      </c>
      <c r="F82" s="105" t="s">
        <v>71</v>
      </c>
      <c r="G82" s="107">
        <v>2.1000000000000001E-2</v>
      </c>
      <c r="H82" s="105" t="s">
        <v>71</v>
      </c>
      <c r="I82" s="107">
        <v>3.6999999999999998E-2</v>
      </c>
      <c r="J82" s="87"/>
      <c r="K82" s="98">
        <v>6.2666666666666662E-2</v>
      </c>
    </row>
    <row r="83" spans="1:11" x14ac:dyDescent="0.2">
      <c r="A83" s="557" t="s">
        <v>148</v>
      </c>
      <c r="B83" s="557"/>
      <c r="C83" s="557"/>
      <c r="D83" s="105" t="s">
        <v>71</v>
      </c>
      <c r="E83" s="107">
        <v>1.1200000000000001</v>
      </c>
      <c r="F83" s="105" t="s">
        <v>71</v>
      </c>
      <c r="G83" s="107">
        <v>0.18</v>
      </c>
      <c r="H83" s="105" t="s">
        <v>71</v>
      </c>
      <c r="I83" s="107">
        <v>0.32</v>
      </c>
      <c r="J83" s="87"/>
      <c r="K83" s="98">
        <v>0.54</v>
      </c>
    </row>
    <row r="84" spans="1:11" x14ac:dyDescent="0.2">
      <c r="A84" s="557" t="s">
        <v>58</v>
      </c>
      <c r="B84" s="557"/>
      <c r="C84" s="557"/>
      <c r="D84" s="105" t="s">
        <v>71</v>
      </c>
      <c r="E84" s="109">
        <v>1.6000000000000001E-3</v>
      </c>
      <c r="F84" s="110" t="s">
        <v>71</v>
      </c>
      <c r="G84" s="109">
        <v>2.9999999999999997E-4</v>
      </c>
      <c r="H84" s="110" t="s">
        <v>71</v>
      </c>
      <c r="I84" s="109">
        <v>4.0000000000000002E-4</v>
      </c>
      <c r="J84" s="112"/>
      <c r="K84" s="112">
        <v>7.6666666666666669E-4</v>
      </c>
    </row>
    <row r="85" spans="1:11" x14ac:dyDescent="0.2">
      <c r="A85" s="557" t="s">
        <v>149</v>
      </c>
      <c r="B85" s="557"/>
      <c r="C85" s="557"/>
      <c r="D85" s="105" t="s">
        <v>71</v>
      </c>
      <c r="E85" s="109">
        <v>1.2121212121212122E-5</v>
      </c>
      <c r="F85" s="110" t="s">
        <v>71</v>
      </c>
      <c r="G85" s="109">
        <v>2.5862068965517237E-6</v>
      </c>
      <c r="H85" s="110" t="s">
        <v>71</v>
      </c>
      <c r="I85" s="109">
        <v>3.0534351145038169E-6</v>
      </c>
      <c r="J85" s="112"/>
      <c r="K85" s="112">
        <v>5.9202847107558877E-6</v>
      </c>
    </row>
    <row r="86" spans="1:11" ht="16" x14ac:dyDescent="0.2">
      <c r="A86" s="563" t="s">
        <v>150</v>
      </c>
      <c r="B86" s="563"/>
      <c r="C86" s="563"/>
      <c r="D86" s="105"/>
      <c r="E86" s="113">
        <f>E85</f>
        <v>1.2121212121212122E-5</v>
      </c>
      <c r="F86" s="110"/>
      <c r="G86" s="113">
        <f>G85</f>
        <v>2.5862068965517237E-6</v>
      </c>
      <c r="H86" s="110"/>
      <c r="I86" s="113">
        <f>I85</f>
        <v>3.0534351145038169E-6</v>
      </c>
      <c r="J86" s="112"/>
      <c r="K86" s="114">
        <f>AVERAGE(E86,G86,I86)</f>
        <v>5.9202847107558877E-6</v>
      </c>
    </row>
    <row r="87" spans="1:11" x14ac:dyDescent="0.2">
      <c r="A87" s="558" t="s">
        <v>158</v>
      </c>
      <c r="B87" s="559"/>
      <c r="C87" s="559"/>
      <c r="D87" s="559"/>
      <c r="E87" s="559"/>
      <c r="F87" s="559"/>
      <c r="G87" s="559"/>
      <c r="H87" s="559"/>
      <c r="I87" s="559"/>
      <c r="J87" s="559"/>
      <c r="K87" s="560"/>
    </row>
    <row r="88" spans="1:11" x14ac:dyDescent="0.2">
      <c r="A88" s="557" t="s">
        <v>142</v>
      </c>
      <c r="B88" s="557"/>
      <c r="C88" s="557"/>
      <c r="D88" s="105" t="s">
        <v>71</v>
      </c>
      <c r="E88" s="98">
        <v>4540</v>
      </c>
      <c r="F88" s="128" t="s">
        <v>71</v>
      </c>
      <c r="G88" s="98">
        <v>519</v>
      </c>
      <c r="H88" s="128" t="s">
        <v>71</v>
      </c>
      <c r="I88" s="98">
        <v>672</v>
      </c>
      <c r="J88" s="98"/>
      <c r="K88" s="98">
        <v>1910.3333333333333</v>
      </c>
    </row>
    <row r="89" spans="1:11" x14ac:dyDescent="0.2">
      <c r="A89" s="557" t="s">
        <v>147</v>
      </c>
      <c r="B89" s="557"/>
      <c r="C89" s="557"/>
      <c r="D89" s="105" t="s">
        <v>71</v>
      </c>
      <c r="E89" s="107">
        <v>51.655999999999999</v>
      </c>
      <c r="F89" s="105" t="s">
        <v>71</v>
      </c>
      <c r="G89" s="107">
        <v>5.6879999999999997</v>
      </c>
      <c r="H89" s="105" t="s">
        <v>71</v>
      </c>
      <c r="I89" s="107">
        <v>9.484</v>
      </c>
      <c r="J89" s="87"/>
      <c r="K89" s="98">
        <v>22.276</v>
      </c>
    </row>
    <row r="90" spans="1:11" x14ac:dyDescent="0.2">
      <c r="A90" s="557" t="s">
        <v>148</v>
      </c>
      <c r="B90" s="557"/>
      <c r="C90" s="557"/>
      <c r="D90" s="105" t="s">
        <v>71</v>
      </c>
      <c r="E90" s="107">
        <v>118.08</v>
      </c>
      <c r="F90" s="105" t="s">
        <v>71</v>
      </c>
      <c r="G90" s="107">
        <v>13</v>
      </c>
      <c r="H90" s="105" t="s">
        <v>71</v>
      </c>
      <c r="I90" s="107">
        <v>21.68</v>
      </c>
      <c r="J90" s="87"/>
      <c r="K90" s="98">
        <v>50.919999999999995</v>
      </c>
    </row>
    <row r="91" spans="1:11" x14ac:dyDescent="0.2">
      <c r="A91" s="557" t="s">
        <v>58</v>
      </c>
      <c r="B91" s="557"/>
      <c r="C91" s="557"/>
      <c r="D91" s="105" t="s">
        <v>71</v>
      </c>
      <c r="E91" s="109">
        <v>0.1668</v>
      </c>
      <c r="F91" s="110" t="s">
        <v>71</v>
      </c>
      <c r="G91" s="109">
        <v>2.01E-2</v>
      </c>
      <c r="H91" s="110" t="s">
        <v>71</v>
      </c>
      <c r="I91" s="109">
        <v>2.47E-2</v>
      </c>
      <c r="J91" s="112"/>
      <c r="K91" s="112">
        <v>7.0533333333333337E-2</v>
      </c>
    </row>
    <row r="92" spans="1:11" x14ac:dyDescent="0.2">
      <c r="A92" s="557" t="s">
        <v>149</v>
      </c>
      <c r="B92" s="557"/>
      <c r="C92" s="557"/>
      <c r="D92" s="105" t="s">
        <v>71</v>
      </c>
      <c r="E92" s="109">
        <v>1.2636363636363637E-3</v>
      </c>
      <c r="F92" s="110" t="s">
        <v>71</v>
      </c>
      <c r="G92" s="109">
        <v>1.7327586206896553E-4</v>
      </c>
      <c r="H92" s="110" t="s">
        <v>71</v>
      </c>
      <c r="I92" s="109">
        <v>1.8854961832061068E-4</v>
      </c>
      <c r="J92" s="112"/>
      <c r="K92" s="112">
        <v>5.4182061467531329E-4</v>
      </c>
    </row>
    <row r="93" spans="1:11" ht="16" x14ac:dyDescent="0.2">
      <c r="A93" s="563" t="s">
        <v>150</v>
      </c>
      <c r="B93" s="563"/>
      <c r="C93" s="563"/>
      <c r="D93" s="105"/>
      <c r="E93" s="113">
        <f>E92</f>
        <v>1.2636363636363637E-3</v>
      </c>
      <c r="F93" s="110"/>
      <c r="G93" s="113">
        <f>G92</f>
        <v>1.7327586206896553E-4</v>
      </c>
      <c r="H93" s="110"/>
      <c r="I93" s="113">
        <f>I92</f>
        <v>1.8854961832061068E-4</v>
      </c>
      <c r="J93" s="112"/>
      <c r="K93" s="114">
        <f>AVERAGE(E93,G93,I93)</f>
        <v>5.4182061467531329E-4</v>
      </c>
    </row>
    <row r="94" spans="1:11" x14ac:dyDescent="0.2">
      <c r="A94" s="558" t="s">
        <v>159</v>
      </c>
      <c r="B94" s="559"/>
      <c r="C94" s="559"/>
      <c r="D94" s="559"/>
      <c r="E94" s="559"/>
      <c r="F94" s="559"/>
      <c r="G94" s="559"/>
      <c r="H94" s="559"/>
      <c r="I94" s="559"/>
      <c r="J94" s="559"/>
      <c r="K94" s="560"/>
    </row>
    <row r="95" spans="1:11" x14ac:dyDescent="0.2">
      <c r="A95" s="557" t="s">
        <v>142</v>
      </c>
      <c r="B95" s="557"/>
      <c r="C95" s="557"/>
      <c r="D95" s="105" t="s">
        <v>71</v>
      </c>
      <c r="E95" s="87">
        <v>19.7</v>
      </c>
      <c r="F95" s="105" t="s">
        <v>71</v>
      </c>
      <c r="G95" s="87">
        <v>6.6</v>
      </c>
      <c r="H95" s="105" t="s">
        <v>71</v>
      </c>
      <c r="I95" s="87">
        <v>8.8000000000000007</v>
      </c>
      <c r="J95" s="87"/>
      <c r="K95" s="98">
        <v>11.699999999999998</v>
      </c>
    </row>
    <row r="96" spans="1:11" x14ac:dyDescent="0.2">
      <c r="A96" s="557" t="s">
        <v>147</v>
      </c>
      <c r="B96" s="557"/>
      <c r="C96" s="557"/>
      <c r="D96" s="105" t="s">
        <v>71</v>
      </c>
      <c r="E96" s="107">
        <v>0.21</v>
      </c>
      <c r="F96" s="105" t="s">
        <v>71</v>
      </c>
      <c r="G96" s="107">
        <v>6.8000000000000005E-2</v>
      </c>
      <c r="H96" s="105" t="s">
        <v>71</v>
      </c>
      <c r="I96" s="107">
        <v>0.11600000000000001</v>
      </c>
      <c r="J96" s="87"/>
      <c r="K96" s="98">
        <v>0.13133333333333333</v>
      </c>
    </row>
    <row r="97" spans="1:27" x14ac:dyDescent="0.2">
      <c r="A97" s="557" t="s">
        <v>148</v>
      </c>
      <c r="B97" s="557"/>
      <c r="C97" s="557"/>
      <c r="D97" s="105" t="s">
        <v>71</v>
      </c>
      <c r="E97" s="107">
        <v>0.51</v>
      </c>
      <c r="F97" s="105" t="s">
        <v>71</v>
      </c>
      <c r="G97" s="107">
        <v>0.17</v>
      </c>
      <c r="H97" s="105" t="s">
        <v>71</v>
      </c>
      <c r="I97" s="107">
        <v>0.28000000000000003</v>
      </c>
      <c r="J97" s="87"/>
      <c r="K97" s="98">
        <v>0.32</v>
      </c>
    </row>
    <row r="98" spans="1:27" x14ac:dyDescent="0.2">
      <c r="A98" s="557" t="s">
        <v>58</v>
      </c>
      <c r="B98" s="557"/>
      <c r="C98" s="557"/>
      <c r="D98" s="105" t="s">
        <v>71</v>
      </c>
      <c r="E98" s="109">
        <v>6.9999999999999999E-4</v>
      </c>
      <c r="F98" s="110" t="s">
        <v>71</v>
      </c>
      <c r="G98" s="109">
        <v>2.9999999999999997E-4</v>
      </c>
      <c r="H98" s="110" t="s">
        <v>71</v>
      </c>
      <c r="I98" s="109">
        <v>2.9999999999999997E-4</v>
      </c>
      <c r="J98" s="112"/>
      <c r="K98" s="112">
        <v>4.3333333333333331E-4</v>
      </c>
    </row>
    <row r="99" spans="1:27" x14ac:dyDescent="0.2">
      <c r="A99" s="557" t="s">
        <v>149</v>
      </c>
      <c r="B99" s="557"/>
      <c r="C99" s="557"/>
      <c r="D99" s="105" t="s">
        <v>71</v>
      </c>
      <c r="E99" s="109">
        <v>5.3030303030303028E-6</v>
      </c>
      <c r="F99" s="110" t="s">
        <v>71</v>
      </c>
      <c r="G99" s="109">
        <v>2.5862068965517237E-6</v>
      </c>
      <c r="H99" s="110" t="s">
        <v>71</v>
      </c>
      <c r="I99" s="109">
        <v>2.2900763358778625E-6</v>
      </c>
      <c r="J99" s="112"/>
      <c r="K99" s="112">
        <v>3.3931045118199627E-6</v>
      </c>
      <c r="O99" s="115" t="e">
        <f>#REF!/#REF!</f>
        <v>#REF!</v>
      </c>
      <c r="P99" s="115"/>
      <c r="Q99" s="115">
        <f t="shared" ref="Q99:U99" si="0">G98/G24</f>
        <v>2.5862068965517237E-6</v>
      </c>
      <c r="R99" s="115"/>
      <c r="S99" s="115">
        <f t="shared" si="0"/>
        <v>2.2900763358778625E-6</v>
      </c>
      <c r="T99" s="115"/>
      <c r="U99" s="115">
        <f t="shared" si="0"/>
        <v>3.4300791556728231E-6</v>
      </c>
    </row>
    <row r="100" spans="1:27" ht="16" x14ac:dyDescent="0.2">
      <c r="A100" s="563" t="s">
        <v>150</v>
      </c>
      <c r="B100" s="563"/>
      <c r="C100" s="563"/>
      <c r="D100" s="105"/>
      <c r="E100" s="113">
        <f>E99</f>
        <v>5.3030303030303028E-6</v>
      </c>
      <c r="F100" s="110"/>
      <c r="G100" s="113">
        <f>G99</f>
        <v>2.5862068965517237E-6</v>
      </c>
      <c r="H100" s="110"/>
      <c r="I100" s="113">
        <f>I99</f>
        <v>2.2900763358778625E-6</v>
      </c>
      <c r="J100" s="112"/>
      <c r="K100" s="114">
        <f>AVERAGE(E100,G100,I100)</f>
        <v>3.3931045118199627E-6</v>
      </c>
    </row>
    <row r="101" spans="1:27" x14ac:dyDescent="0.2">
      <c r="A101" s="558" t="s">
        <v>160</v>
      </c>
      <c r="B101" s="559"/>
      <c r="C101" s="559"/>
      <c r="D101" s="559"/>
      <c r="E101" s="559"/>
      <c r="F101" s="559"/>
      <c r="G101" s="559"/>
      <c r="H101" s="559"/>
      <c r="I101" s="559"/>
      <c r="J101" s="559"/>
      <c r="K101" s="560"/>
    </row>
    <row r="102" spans="1:27" x14ac:dyDescent="0.2">
      <c r="A102" s="557" t="s">
        <v>142</v>
      </c>
      <c r="B102" s="557"/>
      <c r="C102" s="557"/>
      <c r="D102" s="105" t="s">
        <v>71</v>
      </c>
      <c r="E102" s="87">
        <v>103</v>
      </c>
      <c r="F102" s="105" t="s">
        <v>146</v>
      </c>
      <c r="G102" s="87">
        <v>90</v>
      </c>
      <c r="H102" s="105" t="s">
        <v>146</v>
      </c>
      <c r="I102" s="87">
        <v>90</v>
      </c>
      <c r="J102" s="87" t="s">
        <v>146</v>
      </c>
      <c r="K102" s="98">
        <v>94.333333333333329</v>
      </c>
    </row>
    <row r="103" spans="1:27" x14ac:dyDescent="0.2">
      <c r="A103" s="557" t="s">
        <v>147</v>
      </c>
      <c r="B103" s="557"/>
      <c r="C103" s="557"/>
      <c r="D103" s="105" t="s">
        <v>71</v>
      </c>
      <c r="E103" s="107">
        <v>2.0790000000000002</v>
      </c>
      <c r="F103" s="105" t="s">
        <v>146</v>
      </c>
      <c r="G103" s="107">
        <v>1.75</v>
      </c>
      <c r="H103" s="105" t="s">
        <v>146</v>
      </c>
      <c r="I103" s="107">
        <v>2.2530000000000001</v>
      </c>
      <c r="J103" s="87" t="s">
        <v>146</v>
      </c>
      <c r="K103" s="98">
        <v>2.0273333333333334</v>
      </c>
    </row>
    <row r="104" spans="1:27" x14ac:dyDescent="0.2">
      <c r="A104" s="557" t="s">
        <v>148</v>
      </c>
      <c r="B104" s="557"/>
      <c r="C104" s="557"/>
      <c r="D104" s="105" t="s">
        <v>71</v>
      </c>
      <c r="E104" s="107">
        <v>2.68</v>
      </c>
      <c r="F104" s="105" t="s">
        <v>146</v>
      </c>
      <c r="G104" s="107">
        <v>2.25</v>
      </c>
      <c r="H104" s="105" t="s">
        <v>146</v>
      </c>
      <c r="I104" s="107">
        <v>2.9</v>
      </c>
      <c r="J104" s="87" t="s">
        <v>146</v>
      </c>
      <c r="K104" s="98">
        <v>2.61</v>
      </c>
    </row>
    <row r="105" spans="1:27" x14ac:dyDescent="0.2">
      <c r="A105" s="557" t="s">
        <v>58</v>
      </c>
      <c r="B105" s="557"/>
      <c r="C105" s="557"/>
      <c r="D105" s="105" t="s">
        <v>71</v>
      </c>
      <c r="E105" s="109">
        <v>3.8E-3</v>
      </c>
      <c r="F105" s="110" t="s">
        <v>146</v>
      </c>
      <c r="G105" s="109">
        <v>3.5000000000000001E-3</v>
      </c>
      <c r="H105" s="110" t="s">
        <v>146</v>
      </c>
      <c r="I105" s="109">
        <v>3.3E-3</v>
      </c>
      <c r="J105" s="112" t="s">
        <v>146</v>
      </c>
      <c r="K105" s="112">
        <v>3.5333333333333332E-3</v>
      </c>
    </row>
    <row r="106" spans="1:27" x14ac:dyDescent="0.2">
      <c r="A106" s="557" t="s">
        <v>149</v>
      </c>
      <c r="B106" s="557"/>
      <c r="C106" s="557"/>
      <c r="D106" s="105" t="s">
        <v>71</v>
      </c>
      <c r="E106" s="109">
        <v>2.8787878787878788E-5</v>
      </c>
      <c r="F106" s="110" t="s">
        <v>146</v>
      </c>
      <c r="G106" s="109">
        <v>3.0172413793103449E-5</v>
      </c>
      <c r="H106" s="110" t="s">
        <v>146</v>
      </c>
      <c r="I106" s="109">
        <v>2.519083969465649E-5</v>
      </c>
      <c r="J106" s="112" t="s">
        <v>146</v>
      </c>
      <c r="K106" s="112">
        <v>2.805037742521291E-5</v>
      </c>
      <c r="M106" s="115">
        <f>E105/E24</f>
        <v>2.8787878787878788E-5</v>
      </c>
      <c r="X106" s="115"/>
      <c r="Y106" s="115">
        <f t="shared" ref="Y106:AA106" si="1">G105/G24</f>
        <v>3.0172413793103449E-5</v>
      </c>
      <c r="Z106" s="115"/>
      <c r="AA106" s="115">
        <f t="shared" si="1"/>
        <v>2.519083969465649E-5</v>
      </c>
    </row>
    <row r="107" spans="1:27" ht="16" x14ac:dyDescent="0.2">
      <c r="A107" s="563" t="s">
        <v>150</v>
      </c>
      <c r="B107" s="563"/>
      <c r="C107" s="563"/>
      <c r="D107" s="105"/>
      <c r="E107" s="113">
        <f>E106</f>
        <v>2.8787878787878788E-5</v>
      </c>
      <c r="F107" s="110"/>
      <c r="G107" s="113">
        <f>G106*0.5</f>
        <v>1.5086206896551724E-5</v>
      </c>
      <c r="H107" s="110"/>
      <c r="I107" s="113">
        <f>I106*0.5</f>
        <v>1.2595419847328245E-5</v>
      </c>
      <c r="J107" s="112"/>
      <c r="K107" s="114">
        <f>AVERAGE(E107,G107,I107)</f>
        <v>1.8823168510586252E-5</v>
      </c>
    </row>
    <row r="108" spans="1:27" x14ac:dyDescent="0.2">
      <c r="A108" s="558" t="s">
        <v>161</v>
      </c>
      <c r="B108" s="559"/>
      <c r="C108" s="559"/>
      <c r="D108" s="559"/>
      <c r="E108" s="559"/>
      <c r="F108" s="559"/>
      <c r="G108" s="559"/>
      <c r="H108" s="559"/>
      <c r="I108" s="559"/>
      <c r="J108" s="559"/>
      <c r="K108" s="560"/>
    </row>
    <row r="109" spans="1:27" x14ac:dyDescent="0.2">
      <c r="A109" s="557" t="s">
        <v>142</v>
      </c>
      <c r="B109" s="557"/>
      <c r="C109" s="557"/>
      <c r="D109" s="105" t="s">
        <v>71</v>
      </c>
      <c r="E109" s="87">
        <v>2.7</v>
      </c>
      <c r="F109" s="105" t="s">
        <v>146</v>
      </c>
      <c r="G109" s="87">
        <v>2</v>
      </c>
      <c r="H109" s="105" t="s">
        <v>146</v>
      </c>
      <c r="I109" s="87">
        <v>2</v>
      </c>
      <c r="J109" s="87" t="s">
        <v>146</v>
      </c>
      <c r="K109" s="98">
        <v>2.2333333333333334</v>
      </c>
    </row>
    <row r="110" spans="1:27" x14ac:dyDescent="0.2">
      <c r="A110" s="557" t="s">
        <v>147</v>
      </c>
      <c r="B110" s="557"/>
      <c r="C110" s="557"/>
      <c r="D110" s="105" t="s">
        <v>71</v>
      </c>
      <c r="E110" s="107">
        <v>2.1000000000000001E-2</v>
      </c>
      <c r="F110" s="105" t="s">
        <v>146</v>
      </c>
      <c r="G110" s="107">
        <v>1.4999999999999999E-2</v>
      </c>
      <c r="H110" s="105" t="s">
        <v>146</v>
      </c>
      <c r="I110" s="107">
        <v>0.02</v>
      </c>
      <c r="J110" s="87" t="s">
        <v>146</v>
      </c>
      <c r="K110" s="98">
        <v>1.8666666666666668E-2</v>
      </c>
    </row>
    <row r="111" spans="1:27" x14ac:dyDescent="0.2">
      <c r="A111" s="557" t="s">
        <v>148</v>
      </c>
      <c r="B111" s="557"/>
      <c r="C111" s="557"/>
      <c r="D111" s="105" t="s">
        <v>71</v>
      </c>
      <c r="E111" s="107">
        <v>7.0000000000000007E-2</v>
      </c>
      <c r="F111" s="105" t="s">
        <v>146</v>
      </c>
      <c r="G111" s="107">
        <v>0.05</v>
      </c>
      <c r="H111" s="105" t="s">
        <v>146</v>
      </c>
      <c r="I111" s="107">
        <v>0.06</v>
      </c>
      <c r="J111" s="87" t="s">
        <v>146</v>
      </c>
      <c r="K111" s="98">
        <v>0.06</v>
      </c>
    </row>
    <row r="112" spans="1:27" x14ac:dyDescent="0.2">
      <c r="A112" s="557" t="s">
        <v>58</v>
      </c>
      <c r="B112" s="557"/>
      <c r="C112" s="557"/>
      <c r="D112" s="105" t="s">
        <v>71</v>
      </c>
      <c r="E112" s="109">
        <v>1E-4</v>
      </c>
      <c r="F112" s="110" t="s">
        <v>146</v>
      </c>
      <c r="G112" s="109">
        <v>1E-4</v>
      </c>
      <c r="H112" s="110" t="s">
        <v>146</v>
      </c>
      <c r="I112" s="109">
        <v>1E-4</v>
      </c>
      <c r="J112" s="112" t="s">
        <v>146</v>
      </c>
      <c r="K112" s="112">
        <v>1E-4</v>
      </c>
    </row>
    <row r="113" spans="1:27" x14ac:dyDescent="0.2">
      <c r="A113" s="557" t="s">
        <v>149</v>
      </c>
      <c r="B113" s="557"/>
      <c r="C113" s="557"/>
      <c r="D113" s="105" t="s">
        <v>71</v>
      </c>
      <c r="E113" s="109">
        <v>7.5757575757575762E-7</v>
      </c>
      <c r="F113" s="110" t="s">
        <v>146</v>
      </c>
      <c r="G113" s="109">
        <v>8.6206896551724146E-7</v>
      </c>
      <c r="H113" s="110" t="s">
        <v>146</v>
      </c>
      <c r="I113" s="109">
        <v>7.6335877862595421E-7</v>
      </c>
      <c r="J113" s="112" t="s">
        <v>146</v>
      </c>
      <c r="K113" s="112">
        <v>7.943345005729844E-7</v>
      </c>
    </row>
    <row r="114" spans="1:27" ht="16" x14ac:dyDescent="0.2">
      <c r="A114" s="563" t="s">
        <v>150</v>
      </c>
      <c r="B114" s="563"/>
      <c r="C114" s="563"/>
      <c r="D114" s="105"/>
      <c r="E114" s="113">
        <f>E113</f>
        <v>7.5757575757575762E-7</v>
      </c>
      <c r="F114" s="110"/>
      <c r="G114" s="113">
        <f>G113*0.5</f>
        <v>4.3103448275862073E-7</v>
      </c>
      <c r="H114" s="110"/>
      <c r="I114" s="113">
        <f>I113*0.5</f>
        <v>3.8167938931297711E-7</v>
      </c>
      <c r="J114" s="112"/>
      <c r="K114" s="114">
        <f>AVERAGE(E114,G114,I114)</f>
        <v>5.2342987654911854E-7</v>
      </c>
    </row>
    <row r="115" spans="1:27" x14ac:dyDescent="0.2">
      <c r="A115" s="558" t="s">
        <v>162</v>
      </c>
      <c r="B115" s="559"/>
      <c r="C115" s="559"/>
      <c r="D115" s="559"/>
      <c r="E115" s="559"/>
      <c r="F115" s="559"/>
      <c r="G115" s="559"/>
      <c r="H115" s="559"/>
      <c r="I115" s="559"/>
      <c r="J115" s="559"/>
      <c r="K115" s="560"/>
    </row>
    <row r="116" spans="1:27" x14ac:dyDescent="0.2">
      <c r="A116" s="557" t="s">
        <v>142</v>
      </c>
      <c r="B116" s="557"/>
      <c r="C116" s="557"/>
      <c r="D116" s="105" t="s">
        <v>71</v>
      </c>
      <c r="E116" s="98">
        <v>449</v>
      </c>
      <c r="F116" s="128" t="s">
        <v>71</v>
      </c>
      <c r="G116" s="98">
        <v>97</v>
      </c>
      <c r="H116" s="128" t="s">
        <v>71</v>
      </c>
      <c r="I116" s="98">
        <v>119</v>
      </c>
      <c r="J116" s="98"/>
      <c r="K116" s="98">
        <v>221.66666666666666</v>
      </c>
    </row>
    <row r="117" spans="1:27" x14ac:dyDescent="0.2">
      <c r="A117" s="557" t="s">
        <v>147</v>
      </c>
      <c r="B117" s="557"/>
      <c r="C117" s="557"/>
      <c r="D117" s="105" t="s">
        <v>71</v>
      </c>
      <c r="E117" s="107">
        <v>4.2939999999999996</v>
      </c>
      <c r="F117" s="105"/>
      <c r="G117" s="107">
        <v>0.89300000000000002</v>
      </c>
      <c r="H117" s="105" t="s">
        <v>71</v>
      </c>
      <c r="I117" s="107">
        <v>1.4119999999999999</v>
      </c>
      <c r="J117" s="87"/>
      <c r="K117" s="98">
        <v>2.1996666666666664</v>
      </c>
    </row>
    <row r="118" spans="1:27" x14ac:dyDescent="0.2">
      <c r="A118" s="557" t="s">
        <v>148</v>
      </c>
      <c r="B118" s="557"/>
      <c r="C118" s="557"/>
      <c r="D118" s="105" t="s">
        <v>71</v>
      </c>
      <c r="E118" s="107">
        <v>11.68</v>
      </c>
      <c r="F118" s="105" t="s">
        <v>71</v>
      </c>
      <c r="G118" s="107">
        <v>2.4300000000000002</v>
      </c>
      <c r="H118" s="105" t="s">
        <v>71</v>
      </c>
      <c r="I118" s="107">
        <v>3.84</v>
      </c>
      <c r="J118" s="87"/>
      <c r="K118" s="98">
        <v>5.9833333333333334</v>
      </c>
    </row>
    <row r="119" spans="1:27" x14ac:dyDescent="0.2">
      <c r="A119" s="557" t="s">
        <v>58</v>
      </c>
      <c r="B119" s="557"/>
      <c r="C119" s="557"/>
      <c r="D119" s="105" t="s">
        <v>71</v>
      </c>
      <c r="E119" s="109">
        <v>1.6500000000000001E-2</v>
      </c>
      <c r="F119" s="110" t="s">
        <v>71</v>
      </c>
      <c r="G119" s="109">
        <v>3.8E-3</v>
      </c>
      <c r="H119" s="110" t="s">
        <v>71</v>
      </c>
      <c r="I119" s="109">
        <v>4.4000000000000003E-3</v>
      </c>
      <c r="J119" s="112"/>
      <c r="K119" s="112">
        <v>8.2333333333333338E-3</v>
      </c>
    </row>
    <row r="120" spans="1:27" x14ac:dyDescent="0.2">
      <c r="A120" s="557" t="s">
        <v>149</v>
      </c>
      <c r="B120" s="557"/>
      <c r="C120" s="557"/>
      <c r="D120" s="105" t="s">
        <v>71</v>
      </c>
      <c r="E120" s="109">
        <v>1.25E-4</v>
      </c>
      <c r="F120" s="110" t="s">
        <v>71</v>
      </c>
      <c r="G120" s="109">
        <v>3.2758620689655171E-5</v>
      </c>
      <c r="H120" s="110" t="s">
        <v>71</v>
      </c>
      <c r="I120" s="109">
        <v>3.3587786259541987E-5</v>
      </c>
      <c r="J120" s="112"/>
      <c r="K120" s="112">
        <v>6.3782135649732393E-5</v>
      </c>
    </row>
    <row r="121" spans="1:27" ht="16" x14ac:dyDescent="0.2">
      <c r="A121" s="563" t="s">
        <v>150</v>
      </c>
      <c r="B121" s="563"/>
      <c r="C121" s="563"/>
      <c r="D121" s="105"/>
      <c r="E121" s="113">
        <f>E120</f>
        <v>1.25E-4</v>
      </c>
      <c r="F121" s="110"/>
      <c r="G121" s="113">
        <f>G120</f>
        <v>3.2758620689655171E-5</v>
      </c>
      <c r="H121" s="110"/>
      <c r="I121" s="113">
        <f>I120</f>
        <v>3.3587786259541987E-5</v>
      </c>
      <c r="J121" s="112"/>
      <c r="K121" s="114">
        <f>AVERAGE(E121,G121,I121)</f>
        <v>6.3782135649732393E-5</v>
      </c>
    </row>
    <row r="122" spans="1:27" x14ac:dyDescent="0.2">
      <c r="A122" s="553" t="s">
        <v>163</v>
      </c>
      <c r="B122" s="554"/>
      <c r="C122" s="554"/>
      <c r="D122" s="554"/>
      <c r="E122" s="554"/>
      <c r="F122" s="554"/>
      <c r="G122" s="554"/>
      <c r="H122" s="554"/>
      <c r="I122" s="554"/>
      <c r="J122" s="554"/>
      <c r="K122" s="555"/>
    </row>
    <row r="123" spans="1:27" x14ac:dyDescent="0.2">
      <c r="A123" s="556" t="s">
        <v>142</v>
      </c>
      <c r="B123" s="556"/>
      <c r="C123" s="556"/>
      <c r="D123" s="116" t="s">
        <v>71</v>
      </c>
      <c r="E123" s="106">
        <v>0.72</v>
      </c>
      <c r="F123" s="116" t="s">
        <v>146</v>
      </c>
      <c r="G123" s="106">
        <v>0.18</v>
      </c>
      <c r="H123" s="116" t="s">
        <v>71</v>
      </c>
      <c r="I123" s="106">
        <v>0.2</v>
      </c>
      <c r="J123" s="106"/>
      <c r="K123" s="98">
        <v>0.36666666666666664</v>
      </c>
      <c r="M123" s="129" t="s">
        <v>170</v>
      </c>
    </row>
    <row r="124" spans="1:27" x14ac:dyDescent="0.2">
      <c r="A124" s="556" t="s">
        <v>147</v>
      </c>
      <c r="B124" s="556"/>
      <c r="C124" s="556"/>
      <c r="D124" s="116" t="s">
        <v>71</v>
      </c>
      <c r="E124" s="108">
        <v>4.0000000000000001E-3</v>
      </c>
      <c r="F124" s="116" t="s">
        <v>146</v>
      </c>
      <c r="G124" s="108">
        <v>1E-3</v>
      </c>
      <c r="H124" s="116" t="s">
        <v>71</v>
      </c>
      <c r="I124" s="108">
        <v>1E-3</v>
      </c>
      <c r="J124" s="106"/>
      <c r="K124" s="98">
        <v>2E-3</v>
      </c>
    </row>
    <row r="125" spans="1:27" x14ac:dyDescent="0.2">
      <c r="A125" s="556" t="s">
        <v>148</v>
      </c>
      <c r="B125" s="556"/>
      <c r="C125" s="556"/>
      <c r="D125" s="116" t="s">
        <v>71</v>
      </c>
      <c r="E125" s="108">
        <v>0.02</v>
      </c>
      <c r="F125" s="116" t="s">
        <v>146</v>
      </c>
      <c r="G125" s="108">
        <v>5.0000000000000001E-3</v>
      </c>
      <c r="H125" s="116" t="s">
        <v>71</v>
      </c>
      <c r="I125" s="108">
        <v>0.01</v>
      </c>
      <c r="J125" s="106"/>
      <c r="K125" s="98">
        <v>1.1666666666666667E-2</v>
      </c>
    </row>
    <row r="126" spans="1:27" x14ac:dyDescent="0.2">
      <c r="A126" s="556" t="s">
        <v>58</v>
      </c>
      <c r="B126" s="556"/>
      <c r="C126" s="556"/>
      <c r="D126" s="116" t="s">
        <v>71</v>
      </c>
      <c r="E126" s="111">
        <v>2.6449999999999999E-5</v>
      </c>
      <c r="F126" s="116" t="s">
        <v>146</v>
      </c>
      <c r="G126" s="111">
        <v>6.9700000000000002E-6</v>
      </c>
      <c r="H126" s="116" t="s">
        <v>71</v>
      </c>
      <c r="I126" s="111">
        <v>7.3300000000000001E-6</v>
      </c>
      <c r="J126" s="106"/>
      <c r="K126" s="112">
        <v>1.3583333333333334E-5</v>
      </c>
      <c r="M126" s="115"/>
    </row>
    <row r="127" spans="1:27" x14ac:dyDescent="0.2">
      <c r="A127" s="556" t="s">
        <v>149</v>
      </c>
      <c r="B127" s="556"/>
      <c r="C127" s="556"/>
      <c r="D127" s="116" t="s">
        <v>71</v>
      </c>
      <c r="E127" s="111">
        <v>2.0037878787878786E-7</v>
      </c>
      <c r="F127" s="116" t="s">
        <v>146</v>
      </c>
      <c r="G127" s="111">
        <v>6.008620689655173E-8</v>
      </c>
      <c r="H127" s="116" t="s">
        <v>71</v>
      </c>
      <c r="I127" s="111">
        <v>5.5954198473282441E-8</v>
      </c>
      <c r="J127" s="106"/>
      <c r="K127" s="112">
        <v>1.0547306441620736E-7</v>
      </c>
      <c r="M127" s="115">
        <f>E126/E24</f>
        <v>2.0037878787878786E-7</v>
      </c>
      <c r="X127" s="115"/>
      <c r="Y127" s="115">
        <f t="shared" ref="Y127:AA127" si="2">G126/G24</f>
        <v>6.008620689655173E-8</v>
      </c>
      <c r="Z127" s="115"/>
      <c r="AA127" s="115">
        <f t="shared" si="2"/>
        <v>5.5954198473282441E-8</v>
      </c>
    </row>
    <row r="128" spans="1:27" ht="16" x14ac:dyDescent="0.2">
      <c r="A128" s="563" t="s">
        <v>150</v>
      </c>
      <c r="B128" s="563"/>
      <c r="C128" s="563"/>
      <c r="D128" s="105"/>
      <c r="E128" s="113">
        <f>E127</f>
        <v>2.0037878787878786E-7</v>
      </c>
      <c r="F128" s="110"/>
      <c r="G128" s="113">
        <f>G127*0.5</f>
        <v>3.0043103448275865E-8</v>
      </c>
      <c r="H128" s="110"/>
      <c r="I128" s="113">
        <f>I127</f>
        <v>5.5954198473282441E-8</v>
      </c>
      <c r="J128" s="112"/>
      <c r="K128" s="114">
        <f>AVERAGE(E128,G128,I128)</f>
        <v>9.5458696600115396E-8</v>
      </c>
      <c r="M128" s="115"/>
    </row>
    <row r="129" spans="1:27" x14ac:dyDescent="0.2">
      <c r="A129" s="553" t="s">
        <v>164</v>
      </c>
      <c r="B129" s="554"/>
      <c r="C129" s="554"/>
      <c r="D129" s="554"/>
      <c r="E129" s="554"/>
      <c r="F129" s="554"/>
      <c r="G129" s="554"/>
      <c r="H129" s="554"/>
      <c r="I129" s="554"/>
      <c r="J129" s="554"/>
      <c r="K129" s="555"/>
    </row>
    <row r="130" spans="1:27" x14ac:dyDescent="0.2">
      <c r="A130" s="556" t="s">
        <v>142</v>
      </c>
      <c r="B130" s="556"/>
      <c r="C130" s="556"/>
      <c r="D130" s="116" t="s">
        <v>71</v>
      </c>
      <c r="E130" s="106">
        <v>20.7</v>
      </c>
      <c r="F130" s="116" t="s">
        <v>71</v>
      </c>
      <c r="G130" s="106">
        <v>3.4</v>
      </c>
      <c r="H130" s="116" t="s">
        <v>71</v>
      </c>
      <c r="I130" s="106">
        <v>3.96</v>
      </c>
      <c r="J130" s="106"/>
      <c r="K130" s="98">
        <v>9.3533333333333335</v>
      </c>
    </row>
    <row r="131" spans="1:27" x14ac:dyDescent="0.2">
      <c r="A131" s="556" t="s">
        <v>147</v>
      </c>
      <c r="B131" s="556"/>
      <c r="C131" s="556"/>
      <c r="D131" s="116" t="s">
        <v>71</v>
      </c>
      <c r="E131" s="108">
        <v>0.254</v>
      </c>
      <c r="F131" s="116"/>
      <c r="G131" s="108">
        <v>0.04</v>
      </c>
      <c r="H131" s="116" t="s">
        <v>71</v>
      </c>
      <c r="I131" s="108">
        <v>0.06</v>
      </c>
      <c r="J131" s="106"/>
      <c r="K131" s="98">
        <v>0.11799999999999999</v>
      </c>
    </row>
    <row r="132" spans="1:27" x14ac:dyDescent="0.2">
      <c r="A132" s="556" t="s">
        <v>148</v>
      </c>
      <c r="B132" s="556"/>
      <c r="C132" s="556"/>
      <c r="D132" s="116" t="s">
        <v>71</v>
      </c>
      <c r="E132" s="108">
        <v>0.54</v>
      </c>
      <c r="F132" s="116" t="s">
        <v>71</v>
      </c>
      <c r="G132" s="108">
        <v>0.09</v>
      </c>
      <c r="H132" s="116" t="s">
        <v>71</v>
      </c>
      <c r="I132" s="108">
        <v>0.13</v>
      </c>
      <c r="J132" s="106"/>
      <c r="K132" s="98">
        <v>0.25333333333333335</v>
      </c>
    </row>
    <row r="133" spans="1:27" x14ac:dyDescent="0.2">
      <c r="A133" s="556" t="s">
        <v>58</v>
      </c>
      <c r="B133" s="556"/>
      <c r="C133" s="556"/>
      <c r="D133" s="116" t="s">
        <v>71</v>
      </c>
      <c r="E133" s="111">
        <v>8.0000000000000004E-4</v>
      </c>
      <c r="F133" s="116" t="s">
        <v>71</v>
      </c>
      <c r="G133" s="111">
        <v>1E-4</v>
      </c>
      <c r="H133" s="116" t="s">
        <v>71</v>
      </c>
      <c r="I133" s="111">
        <v>1E-4</v>
      </c>
      <c r="J133" s="106"/>
      <c r="K133" s="112">
        <v>3.3333333333333332E-4</v>
      </c>
    </row>
    <row r="134" spans="1:27" x14ac:dyDescent="0.2">
      <c r="A134" s="556" t="s">
        <v>149</v>
      </c>
      <c r="B134" s="556"/>
      <c r="C134" s="556"/>
      <c r="D134" s="116" t="s">
        <v>71</v>
      </c>
      <c r="E134" s="111">
        <v>6.060606060606061E-6</v>
      </c>
      <c r="F134" s="116" t="s">
        <v>71</v>
      </c>
      <c r="G134" s="111">
        <v>8.6206896551724146E-7</v>
      </c>
      <c r="H134" s="116"/>
      <c r="I134" s="111">
        <v>7.6335877862595421E-7</v>
      </c>
      <c r="J134" s="106"/>
      <c r="K134" s="112">
        <v>2.5620112682497523E-6</v>
      </c>
      <c r="M134" s="115">
        <f>E133/E24</f>
        <v>6.060606060606061E-6</v>
      </c>
      <c r="O134" s="115" t="e">
        <f>#REF!/#REF!</f>
        <v>#REF!</v>
      </c>
      <c r="P134" s="115"/>
      <c r="Q134" s="115">
        <f t="shared" ref="Q134:S134" si="3">G133/G24</f>
        <v>8.6206896551724146E-7</v>
      </c>
      <c r="R134" s="115"/>
      <c r="S134" s="115">
        <f t="shared" si="3"/>
        <v>7.6335877862595421E-7</v>
      </c>
      <c r="T134" s="115"/>
      <c r="U134" s="115">
        <f t="shared" ref="U134" si="4">K133/K24</f>
        <v>2.6385224274406333E-6</v>
      </c>
      <c r="X134" s="115"/>
      <c r="Y134" s="115">
        <f t="shared" ref="Y134:AA134" si="5">G133/G24</f>
        <v>8.6206896551724146E-7</v>
      </c>
      <c r="Z134" s="115"/>
      <c r="AA134" s="115">
        <f t="shared" si="5"/>
        <v>7.6335877862595421E-7</v>
      </c>
    </row>
    <row r="135" spans="1:27" ht="16" x14ac:dyDescent="0.2">
      <c r="A135" s="563" t="s">
        <v>150</v>
      </c>
      <c r="B135" s="563"/>
      <c r="C135" s="563"/>
      <c r="D135" s="105"/>
      <c r="E135" s="113">
        <f>E134</f>
        <v>6.060606060606061E-6</v>
      </c>
      <c r="F135" s="110"/>
      <c r="G135" s="113">
        <f>G134</f>
        <v>8.6206896551724146E-7</v>
      </c>
      <c r="H135" s="110"/>
      <c r="I135" s="113">
        <f>I134</f>
        <v>7.6335877862595421E-7</v>
      </c>
      <c r="J135" s="112"/>
      <c r="K135" s="114">
        <f>AVERAGE(E135,G135,I135)</f>
        <v>2.5620112682497523E-6</v>
      </c>
    </row>
  </sheetData>
  <sheetProtection algorithmName="SHA-512" hashValue="RhKnnsi/gmNPgZAPABgrs0b5agj2sxwNmHcyc8ZNDbU1PXocfXr7uiL8oFwGTd5kTpqA0MNAa3+nFzqYyW/Tfg==" saltValue="OFpers7Y7bQ6wUoVzFAnCQ==" spinCount="100000" sheet="1" objects="1" scenarios="1"/>
  <mergeCells count="134">
    <mergeCell ref="A8:C8"/>
    <mergeCell ref="A9:C9"/>
    <mergeCell ref="A10:C10"/>
    <mergeCell ref="A12:K12"/>
    <mergeCell ref="A13:C13"/>
    <mergeCell ref="A14:C14"/>
    <mergeCell ref="A1:M1"/>
    <mergeCell ref="B2:E2"/>
    <mergeCell ref="B3:E3"/>
    <mergeCell ref="B4:E4"/>
    <mergeCell ref="B5:E5"/>
    <mergeCell ref="A7:C7"/>
    <mergeCell ref="D7:K7"/>
    <mergeCell ref="A21:C21"/>
    <mergeCell ref="A22:C22"/>
    <mergeCell ref="A23:C23"/>
    <mergeCell ref="A24:C24"/>
    <mergeCell ref="A25:C25"/>
    <mergeCell ref="A26:K26"/>
    <mergeCell ref="A15:C15"/>
    <mergeCell ref="A16:C16"/>
    <mergeCell ref="A17:C17"/>
    <mergeCell ref="A18:C18"/>
    <mergeCell ref="A19:C19"/>
    <mergeCell ref="A20:C20"/>
    <mergeCell ref="A33:C33"/>
    <mergeCell ref="A34:C34"/>
    <mergeCell ref="A35:C35"/>
    <mergeCell ref="A36:C36"/>
    <mergeCell ref="A37:C37"/>
    <mergeCell ref="A38:K38"/>
    <mergeCell ref="A27:C27"/>
    <mergeCell ref="A28:C28"/>
    <mergeCell ref="A29:C29"/>
    <mergeCell ref="A30:C30"/>
    <mergeCell ref="A31:K31"/>
    <mergeCell ref="A32:C32"/>
    <mergeCell ref="A45:K45"/>
    <mergeCell ref="A46:C46"/>
    <mergeCell ref="A47:C47"/>
    <mergeCell ref="A48:C48"/>
    <mergeCell ref="A49:C49"/>
    <mergeCell ref="A50:C50"/>
    <mergeCell ref="A39:C39"/>
    <mergeCell ref="A40:C40"/>
    <mergeCell ref="A41:C41"/>
    <mergeCell ref="A42:C42"/>
    <mergeCell ref="A43:C43"/>
    <mergeCell ref="A44:C44"/>
    <mergeCell ref="A57:C57"/>
    <mergeCell ref="A58:C58"/>
    <mergeCell ref="A59:K59"/>
    <mergeCell ref="A60:C60"/>
    <mergeCell ref="A61:C61"/>
    <mergeCell ref="A62:C62"/>
    <mergeCell ref="A51:C51"/>
    <mergeCell ref="A52:K52"/>
    <mergeCell ref="A53:C53"/>
    <mergeCell ref="A54:C54"/>
    <mergeCell ref="A55:C55"/>
    <mergeCell ref="A56:C56"/>
    <mergeCell ref="A69:C69"/>
    <mergeCell ref="A70:C70"/>
    <mergeCell ref="A71:C71"/>
    <mergeCell ref="A72:C72"/>
    <mergeCell ref="A73:K73"/>
    <mergeCell ref="A74:C74"/>
    <mergeCell ref="A63:C63"/>
    <mergeCell ref="A64:C64"/>
    <mergeCell ref="A65:C65"/>
    <mergeCell ref="A66:K66"/>
    <mergeCell ref="A67:C67"/>
    <mergeCell ref="A68:C68"/>
    <mergeCell ref="A81:C81"/>
    <mergeCell ref="A82:C82"/>
    <mergeCell ref="A83:C83"/>
    <mergeCell ref="A84:C84"/>
    <mergeCell ref="A85:C85"/>
    <mergeCell ref="A86:C86"/>
    <mergeCell ref="A75:C75"/>
    <mergeCell ref="A76:C76"/>
    <mergeCell ref="A77:C77"/>
    <mergeCell ref="A78:C78"/>
    <mergeCell ref="A79:C79"/>
    <mergeCell ref="A80:K80"/>
    <mergeCell ref="A93:C93"/>
    <mergeCell ref="A94:K94"/>
    <mergeCell ref="A95:C95"/>
    <mergeCell ref="A96:C96"/>
    <mergeCell ref="A97:C97"/>
    <mergeCell ref="A98:C98"/>
    <mergeCell ref="A87:K87"/>
    <mergeCell ref="A88:C88"/>
    <mergeCell ref="A89:C89"/>
    <mergeCell ref="A90:C90"/>
    <mergeCell ref="A91:C91"/>
    <mergeCell ref="A92:C92"/>
    <mergeCell ref="A105:C105"/>
    <mergeCell ref="A106:C106"/>
    <mergeCell ref="A107:C107"/>
    <mergeCell ref="A108:K108"/>
    <mergeCell ref="A109:C109"/>
    <mergeCell ref="A110:C110"/>
    <mergeCell ref="A99:C99"/>
    <mergeCell ref="A100:C100"/>
    <mergeCell ref="A101:K101"/>
    <mergeCell ref="A102:C102"/>
    <mergeCell ref="A103:C103"/>
    <mergeCell ref="A104:C104"/>
    <mergeCell ref="A117:C117"/>
    <mergeCell ref="A118:C118"/>
    <mergeCell ref="A119:C119"/>
    <mergeCell ref="A120:C120"/>
    <mergeCell ref="A121:C121"/>
    <mergeCell ref="A122:K122"/>
    <mergeCell ref="A111:C111"/>
    <mergeCell ref="A112:C112"/>
    <mergeCell ref="A113:C113"/>
    <mergeCell ref="A114:C114"/>
    <mergeCell ref="A115:K115"/>
    <mergeCell ref="A116:C116"/>
    <mergeCell ref="A135:C135"/>
    <mergeCell ref="A129:K129"/>
    <mergeCell ref="A130:C130"/>
    <mergeCell ref="A131:C131"/>
    <mergeCell ref="A132:C132"/>
    <mergeCell ref="A133:C133"/>
    <mergeCell ref="A134:C134"/>
    <mergeCell ref="A123:C123"/>
    <mergeCell ref="A124:C124"/>
    <mergeCell ref="A125:C125"/>
    <mergeCell ref="A126:C126"/>
    <mergeCell ref="A127:C127"/>
    <mergeCell ref="A128:C128"/>
  </mergeCells>
  <conditionalFormatting sqref="A33:C35 A40:C42 A47:C49 A54:C56 A61:C63 E40:E42 G40:G42 I40:I42 E47:E49 G47:G49 I47:I49 E54:E56 G54:G56 I54:I56 E61:E63 G61:G63 I61:I63 K37 E33:E36 I33:I36 G33:G36 A31:K31 A38:K38 A45:K45 A52:K52 A59:K59">
    <cfRule type="cellIs" dxfId="721" priority="238" stopIfTrue="1" operator="equal">
      <formula>0</formula>
    </cfRule>
  </conditionalFormatting>
  <conditionalFormatting sqref="A60:C60">
    <cfRule type="cellIs" dxfId="720" priority="237" stopIfTrue="1" operator="equal">
      <formula>0</formula>
    </cfRule>
  </conditionalFormatting>
  <conditionalFormatting sqref="A64:C64">
    <cfRule type="cellIs" dxfId="719" priority="236" stopIfTrue="1" operator="equal">
      <formula>0</formula>
    </cfRule>
  </conditionalFormatting>
  <conditionalFormatting sqref="A53:C53">
    <cfRule type="cellIs" dxfId="718" priority="235" stopIfTrue="1" operator="equal">
      <formula>0</formula>
    </cfRule>
  </conditionalFormatting>
  <conditionalFormatting sqref="A57:C57">
    <cfRule type="cellIs" dxfId="717" priority="234" stopIfTrue="1" operator="equal">
      <formula>0</formula>
    </cfRule>
  </conditionalFormatting>
  <conditionalFormatting sqref="A50:C50">
    <cfRule type="cellIs" dxfId="716" priority="233" stopIfTrue="1" operator="equal">
      <formula>0</formula>
    </cfRule>
  </conditionalFormatting>
  <conditionalFormatting sqref="A46:C46">
    <cfRule type="cellIs" dxfId="715" priority="232" stopIfTrue="1" operator="equal">
      <formula>0</formula>
    </cfRule>
  </conditionalFormatting>
  <conditionalFormatting sqref="A39:C39">
    <cfRule type="cellIs" dxfId="714" priority="231" stopIfTrue="1" operator="equal">
      <formula>0</formula>
    </cfRule>
  </conditionalFormatting>
  <conditionalFormatting sqref="A36:C36">
    <cfRule type="cellIs" dxfId="713" priority="230" stopIfTrue="1" operator="equal">
      <formula>0</formula>
    </cfRule>
  </conditionalFormatting>
  <conditionalFormatting sqref="A32:C32">
    <cfRule type="cellIs" dxfId="712" priority="229" stopIfTrue="1" operator="equal">
      <formula>0</formula>
    </cfRule>
  </conditionalFormatting>
  <conditionalFormatting sqref="D32">
    <cfRule type="cellIs" dxfId="711" priority="228" stopIfTrue="1" operator="equal">
      <formula>0</formula>
    </cfRule>
  </conditionalFormatting>
  <conditionalFormatting sqref="D33:D37">
    <cfRule type="cellIs" dxfId="710" priority="227" stopIfTrue="1" operator="equal">
      <formula>0</formula>
    </cfRule>
  </conditionalFormatting>
  <conditionalFormatting sqref="E43">
    <cfRule type="cellIs" dxfId="709" priority="226" stopIfTrue="1" operator="equal">
      <formula>0</formula>
    </cfRule>
  </conditionalFormatting>
  <conditionalFormatting sqref="G43">
    <cfRule type="cellIs" dxfId="708" priority="225" stopIfTrue="1" operator="equal">
      <formula>0</formula>
    </cfRule>
  </conditionalFormatting>
  <conditionalFormatting sqref="I43">
    <cfRule type="cellIs" dxfId="707" priority="224" stopIfTrue="1" operator="equal">
      <formula>0</formula>
    </cfRule>
  </conditionalFormatting>
  <conditionalFormatting sqref="E50">
    <cfRule type="cellIs" dxfId="706" priority="223" stopIfTrue="1" operator="equal">
      <formula>0</formula>
    </cfRule>
  </conditionalFormatting>
  <conditionalFormatting sqref="E57">
    <cfRule type="cellIs" dxfId="705" priority="222" stopIfTrue="1" operator="equal">
      <formula>0</formula>
    </cfRule>
  </conditionalFormatting>
  <conditionalFormatting sqref="E64">
    <cfRule type="cellIs" dxfId="704" priority="221" stopIfTrue="1" operator="equal">
      <formula>0</formula>
    </cfRule>
  </conditionalFormatting>
  <conditionalFormatting sqref="G57">
    <cfRule type="cellIs" dxfId="703" priority="220" stopIfTrue="1" operator="equal">
      <formula>0</formula>
    </cfRule>
  </conditionalFormatting>
  <conditionalFormatting sqref="G64">
    <cfRule type="cellIs" dxfId="702" priority="219" stopIfTrue="1" operator="equal">
      <formula>0</formula>
    </cfRule>
  </conditionalFormatting>
  <conditionalFormatting sqref="I50">
    <cfRule type="cellIs" dxfId="701" priority="218" stopIfTrue="1" operator="equal">
      <formula>0</formula>
    </cfRule>
  </conditionalFormatting>
  <conditionalFormatting sqref="I57">
    <cfRule type="cellIs" dxfId="700" priority="217" stopIfTrue="1" operator="equal">
      <formula>0</formula>
    </cfRule>
  </conditionalFormatting>
  <conditionalFormatting sqref="I64">
    <cfRule type="cellIs" dxfId="699" priority="216" stopIfTrue="1" operator="equal">
      <formula>0</formula>
    </cfRule>
  </conditionalFormatting>
  <conditionalFormatting sqref="E28">
    <cfRule type="cellIs" dxfId="698" priority="215" stopIfTrue="1" operator="equal">
      <formula>0</formula>
    </cfRule>
  </conditionalFormatting>
  <conditionalFormatting sqref="E29">
    <cfRule type="cellIs" dxfId="697" priority="214" stopIfTrue="1" operator="equal">
      <formula>0</formula>
    </cfRule>
  </conditionalFormatting>
  <conditionalFormatting sqref="I28:I29">
    <cfRule type="cellIs" dxfId="696" priority="212" stopIfTrue="1" operator="equal">
      <formula>0</formula>
    </cfRule>
  </conditionalFormatting>
  <conditionalFormatting sqref="G28:G29">
    <cfRule type="cellIs" dxfId="695" priority="213" stopIfTrue="1" operator="equal">
      <formula>0</formula>
    </cfRule>
  </conditionalFormatting>
  <conditionalFormatting sqref="H40:H43">
    <cfRule type="cellIs" dxfId="694" priority="202" stopIfTrue="1" operator="equal">
      <formula>0</formula>
    </cfRule>
  </conditionalFormatting>
  <conditionalFormatting sqref="F39">
    <cfRule type="cellIs" dxfId="693" priority="205" stopIfTrue="1" operator="equal">
      <formula>0</formula>
    </cfRule>
  </conditionalFormatting>
  <conditionalFormatting sqref="H33:H37">
    <cfRule type="cellIs" dxfId="692" priority="208" stopIfTrue="1" operator="equal">
      <formula>0</formula>
    </cfRule>
  </conditionalFormatting>
  <conditionalFormatting sqref="F32">
    <cfRule type="cellIs" dxfId="691" priority="211" stopIfTrue="1" operator="equal">
      <formula>0</formula>
    </cfRule>
  </conditionalFormatting>
  <conditionalFormatting sqref="F33:F37">
    <cfRule type="cellIs" dxfId="690" priority="210" stopIfTrue="1" operator="equal">
      <formula>0</formula>
    </cfRule>
  </conditionalFormatting>
  <conditionalFormatting sqref="H32">
    <cfRule type="cellIs" dxfId="689" priority="209" stopIfTrue="1" operator="equal">
      <formula>0</formula>
    </cfRule>
  </conditionalFormatting>
  <conditionalFormatting sqref="D61:D64">
    <cfRule type="cellIs" dxfId="688" priority="188" stopIfTrue="1" operator="equal">
      <formula>0</formula>
    </cfRule>
  </conditionalFormatting>
  <conditionalFormatting sqref="D39">
    <cfRule type="cellIs" dxfId="687" priority="207" stopIfTrue="1" operator="equal">
      <formula>0</formula>
    </cfRule>
  </conditionalFormatting>
  <conditionalFormatting sqref="D40:D43">
    <cfRule type="cellIs" dxfId="686" priority="206" stopIfTrue="1" operator="equal">
      <formula>0</formula>
    </cfRule>
  </conditionalFormatting>
  <conditionalFormatting sqref="H60">
    <cfRule type="cellIs" dxfId="685" priority="185" stopIfTrue="1" operator="equal">
      <formula>0</formula>
    </cfRule>
  </conditionalFormatting>
  <conditionalFormatting sqref="F40:F43">
    <cfRule type="cellIs" dxfId="684" priority="204" stopIfTrue="1" operator="equal">
      <formula>0</formula>
    </cfRule>
  </conditionalFormatting>
  <conditionalFormatting sqref="H39">
    <cfRule type="cellIs" dxfId="683" priority="203" stopIfTrue="1" operator="equal">
      <formula>0</formula>
    </cfRule>
  </conditionalFormatting>
  <conditionalFormatting sqref="A43:C43">
    <cfRule type="cellIs" dxfId="682" priority="182" stopIfTrue="1" operator="equal">
      <formula>0</formula>
    </cfRule>
  </conditionalFormatting>
  <conditionalFormatting sqref="D46">
    <cfRule type="cellIs" dxfId="681" priority="201" stopIfTrue="1" operator="equal">
      <formula>0</formula>
    </cfRule>
  </conditionalFormatting>
  <conditionalFormatting sqref="D47:D50">
    <cfRule type="cellIs" dxfId="680" priority="200" stopIfTrue="1" operator="equal">
      <formula>0</formula>
    </cfRule>
  </conditionalFormatting>
  <conditionalFormatting sqref="F46">
    <cfRule type="cellIs" dxfId="679" priority="199" stopIfTrue="1" operator="equal">
      <formula>0</formula>
    </cfRule>
  </conditionalFormatting>
  <conditionalFormatting sqref="F47:F50">
    <cfRule type="cellIs" dxfId="678" priority="198" stopIfTrue="1" operator="equal">
      <formula>0</formula>
    </cfRule>
  </conditionalFormatting>
  <conditionalFormatting sqref="H46">
    <cfRule type="cellIs" dxfId="677" priority="197" stopIfTrue="1" operator="equal">
      <formula>0</formula>
    </cfRule>
  </conditionalFormatting>
  <conditionalFormatting sqref="H47:H50">
    <cfRule type="cellIs" dxfId="676" priority="196" stopIfTrue="1" operator="equal">
      <formula>0</formula>
    </cfRule>
  </conditionalFormatting>
  <conditionalFormatting sqref="D53">
    <cfRule type="cellIs" dxfId="675" priority="195" stopIfTrue="1" operator="equal">
      <formula>0</formula>
    </cfRule>
  </conditionalFormatting>
  <conditionalFormatting sqref="D54:D57">
    <cfRule type="cellIs" dxfId="674" priority="194" stopIfTrue="1" operator="equal">
      <formula>0</formula>
    </cfRule>
  </conditionalFormatting>
  <conditionalFormatting sqref="F53">
    <cfRule type="cellIs" dxfId="673" priority="193" stopIfTrue="1" operator="equal">
      <formula>0</formula>
    </cfRule>
  </conditionalFormatting>
  <conditionalFormatting sqref="F54:F57">
    <cfRule type="cellIs" dxfId="672" priority="192" stopIfTrue="1" operator="equal">
      <formula>0</formula>
    </cfRule>
  </conditionalFormatting>
  <conditionalFormatting sqref="H53">
    <cfRule type="cellIs" dxfId="671" priority="191" stopIfTrue="1" operator="equal">
      <formula>0</formula>
    </cfRule>
  </conditionalFormatting>
  <conditionalFormatting sqref="H54:H57">
    <cfRule type="cellIs" dxfId="670" priority="190" stopIfTrue="1" operator="equal">
      <formula>0</formula>
    </cfRule>
  </conditionalFormatting>
  <conditionalFormatting sqref="D60">
    <cfRule type="cellIs" dxfId="669" priority="189" stopIfTrue="1" operator="equal">
      <formula>0</formula>
    </cfRule>
  </conditionalFormatting>
  <conditionalFormatting sqref="E92">
    <cfRule type="cellIs" dxfId="668" priority="164" stopIfTrue="1" operator="equal">
      <formula>0</formula>
    </cfRule>
  </conditionalFormatting>
  <conditionalFormatting sqref="F60">
    <cfRule type="cellIs" dxfId="667" priority="187" stopIfTrue="1" operator="equal">
      <formula>0</formula>
    </cfRule>
  </conditionalFormatting>
  <conditionalFormatting sqref="F61:F64">
    <cfRule type="cellIs" dxfId="666" priority="186" stopIfTrue="1" operator="equal">
      <formula>0</formula>
    </cfRule>
  </conditionalFormatting>
  <conditionalFormatting sqref="G92">
    <cfRule type="cellIs" dxfId="665" priority="161" stopIfTrue="1" operator="equal">
      <formula>0</formula>
    </cfRule>
  </conditionalFormatting>
  <conditionalFormatting sqref="H61:H64">
    <cfRule type="cellIs" dxfId="664" priority="184" stopIfTrue="1" operator="equal">
      <formula>0</formula>
    </cfRule>
  </conditionalFormatting>
  <conditionalFormatting sqref="G50">
    <cfRule type="cellIs" dxfId="663" priority="183" stopIfTrue="1" operator="equal">
      <formula>0</formula>
    </cfRule>
  </conditionalFormatting>
  <conditionalFormatting sqref="I92">
    <cfRule type="cellIs" dxfId="662" priority="158" stopIfTrue="1" operator="equal">
      <formula>0</formula>
    </cfRule>
  </conditionalFormatting>
  <conditionalFormatting sqref="A68:C70 A75:C77 A82:C84 A89:C91 A96:C98 E76:E77 G76:G77 I76:I77 E83:E84 G83:G84 I83:I84 E90:E91 G90:G91 I90:I91 E97:E98 G97:G98 I97:I98 E68:E71 I68:I71 G68:G71 A66:K66 A73:K73 A80:K80 A87:K87 A94:K94">
    <cfRule type="cellIs" dxfId="661" priority="181" stopIfTrue="1" operator="equal">
      <formula>0</formula>
    </cfRule>
  </conditionalFormatting>
  <conditionalFormatting sqref="A95:C95">
    <cfRule type="cellIs" dxfId="660" priority="180" stopIfTrue="1" operator="equal">
      <formula>0</formula>
    </cfRule>
  </conditionalFormatting>
  <conditionalFormatting sqref="A99:C99">
    <cfRule type="cellIs" dxfId="659" priority="179" stopIfTrue="1" operator="equal">
      <formula>0</formula>
    </cfRule>
  </conditionalFormatting>
  <conditionalFormatting sqref="A88:C88">
    <cfRule type="cellIs" dxfId="658" priority="178" stopIfTrue="1" operator="equal">
      <formula>0</formula>
    </cfRule>
  </conditionalFormatting>
  <conditionalFormatting sqref="A92:C92">
    <cfRule type="cellIs" dxfId="657" priority="177" stopIfTrue="1" operator="equal">
      <formula>0</formula>
    </cfRule>
  </conditionalFormatting>
  <conditionalFormatting sqref="A85:C85">
    <cfRule type="cellIs" dxfId="656" priority="176" stopIfTrue="1" operator="equal">
      <formula>0</formula>
    </cfRule>
  </conditionalFormatting>
  <conditionalFormatting sqref="A81:C81">
    <cfRule type="cellIs" dxfId="655" priority="175" stopIfTrue="1" operator="equal">
      <formula>0</formula>
    </cfRule>
  </conditionalFormatting>
  <conditionalFormatting sqref="A78:C78">
    <cfRule type="cellIs" dxfId="654" priority="174" stopIfTrue="1" operator="equal">
      <formula>0</formula>
    </cfRule>
  </conditionalFormatting>
  <conditionalFormatting sqref="A74:C74">
    <cfRule type="cellIs" dxfId="653" priority="173" stopIfTrue="1" operator="equal">
      <formula>0</formula>
    </cfRule>
  </conditionalFormatting>
  <conditionalFormatting sqref="A71:C71">
    <cfRule type="cellIs" dxfId="652" priority="172" stopIfTrue="1" operator="equal">
      <formula>0</formula>
    </cfRule>
  </conditionalFormatting>
  <conditionalFormatting sqref="A67:C67">
    <cfRule type="cellIs" dxfId="651" priority="171" stopIfTrue="1" operator="equal">
      <formula>0</formula>
    </cfRule>
  </conditionalFormatting>
  <conditionalFormatting sqref="D67">
    <cfRule type="cellIs" dxfId="650" priority="170" stopIfTrue="1" operator="equal">
      <formula>0</formula>
    </cfRule>
  </conditionalFormatting>
  <conditionalFormatting sqref="D68:D71">
    <cfRule type="cellIs" dxfId="649" priority="169" stopIfTrue="1" operator="equal">
      <formula>0</formula>
    </cfRule>
  </conditionalFormatting>
  <conditionalFormatting sqref="E78">
    <cfRule type="cellIs" dxfId="648" priority="168" stopIfTrue="1" operator="equal">
      <formula>0</formula>
    </cfRule>
  </conditionalFormatting>
  <conditionalFormatting sqref="G78">
    <cfRule type="cellIs" dxfId="647" priority="167" stopIfTrue="1" operator="equal">
      <formula>0</formula>
    </cfRule>
  </conditionalFormatting>
  <conditionalFormatting sqref="I78">
    <cfRule type="cellIs" dxfId="646" priority="166" stopIfTrue="1" operator="equal">
      <formula>0</formula>
    </cfRule>
  </conditionalFormatting>
  <conditionalFormatting sqref="E85">
    <cfRule type="cellIs" dxfId="645" priority="165" stopIfTrue="1" operator="equal">
      <formula>0</formula>
    </cfRule>
  </conditionalFormatting>
  <conditionalFormatting sqref="E99">
    <cfRule type="cellIs" dxfId="644" priority="163" stopIfTrue="1" operator="equal">
      <formula>0</formula>
    </cfRule>
  </conditionalFormatting>
  <conditionalFormatting sqref="G85">
    <cfRule type="cellIs" dxfId="643" priority="162" stopIfTrue="1" operator="equal">
      <formula>0</formula>
    </cfRule>
  </conditionalFormatting>
  <conditionalFormatting sqref="G99">
    <cfRule type="cellIs" dxfId="642" priority="160" stopIfTrue="1" operator="equal">
      <formula>0</formula>
    </cfRule>
  </conditionalFormatting>
  <conditionalFormatting sqref="I85">
    <cfRule type="cellIs" dxfId="641" priority="159" stopIfTrue="1" operator="equal">
      <formula>0</formula>
    </cfRule>
  </conditionalFormatting>
  <conditionalFormatting sqref="I99">
    <cfRule type="cellIs" dxfId="640" priority="157" stopIfTrue="1" operator="equal">
      <formula>0</formula>
    </cfRule>
  </conditionalFormatting>
  <conditionalFormatting sqref="H76:H78">
    <cfRule type="cellIs" dxfId="639" priority="147" stopIfTrue="1" operator="equal">
      <formula>0</formula>
    </cfRule>
  </conditionalFormatting>
  <conditionalFormatting sqref="F74">
    <cfRule type="cellIs" dxfId="638" priority="150" stopIfTrue="1" operator="equal">
      <formula>0</formula>
    </cfRule>
  </conditionalFormatting>
  <conditionalFormatting sqref="H68:H71">
    <cfRule type="cellIs" dxfId="637" priority="153" stopIfTrue="1" operator="equal">
      <formula>0</formula>
    </cfRule>
  </conditionalFormatting>
  <conditionalFormatting sqref="F67">
    <cfRule type="cellIs" dxfId="636" priority="156" stopIfTrue="1" operator="equal">
      <formula>0</formula>
    </cfRule>
  </conditionalFormatting>
  <conditionalFormatting sqref="F68:F71">
    <cfRule type="cellIs" dxfId="635" priority="155" stopIfTrue="1" operator="equal">
      <formula>0</formula>
    </cfRule>
  </conditionalFormatting>
  <conditionalFormatting sqref="H67">
    <cfRule type="cellIs" dxfId="634" priority="154" stopIfTrue="1" operator="equal">
      <formula>0</formula>
    </cfRule>
  </conditionalFormatting>
  <conditionalFormatting sqref="H97:H99">
    <cfRule type="cellIs" dxfId="633" priority="129" stopIfTrue="1" operator="equal">
      <formula>0</formula>
    </cfRule>
  </conditionalFormatting>
  <conditionalFormatting sqref="D74">
    <cfRule type="cellIs" dxfId="632" priority="152" stopIfTrue="1" operator="equal">
      <formula>0</formula>
    </cfRule>
  </conditionalFormatting>
  <conditionalFormatting sqref="D75:D78">
    <cfRule type="cellIs" dxfId="631" priority="151" stopIfTrue="1" operator="equal">
      <formula>0</formula>
    </cfRule>
  </conditionalFormatting>
  <conditionalFormatting sqref="H75">
    <cfRule type="cellIs" dxfId="630" priority="126" stopIfTrue="1" operator="equal">
      <formula>0</formula>
    </cfRule>
  </conditionalFormatting>
  <conditionalFormatting sqref="F76:F78">
    <cfRule type="cellIs" dxfId="629" priority="149" stopIfTrue="1" operator="equal">
      <formula>0</formula>
    </cfRule>
  </conditionalFormatting>
  <conditionalFormatting sqref="H74">
    <cfRule type="cellIs" dxfId="628" priority="148" stopIfTrue="1" operator="equal">
      <formula>0</formula>
    </cfRule>
  </conditionalFormatting>
  <conditionalFormatting sqref="H82">
    <cfRule type="cellIs" dxfId="627" priority="123" stopIfTrue="1" operator="equal">
      <formula>0</formula>
    </cfRule>
  </conditionalFormatting>
  <conditionalFormatting sqref="D81">
    <cfRule type="cellIs" dxfId="626" priority="146" stopIfTrue="1" operator="equal">
      <formula>0</formula>
    </cfRule>
  </conditionalFormatting>
  <conditionalFormatting sqref="D82:D85">
    <cfRule type="cellIs" dxfId="625" priority="145" stopIfTrue="1" operator="equal">
      <formula>0</formula>
    </cfRule>
  </conditionalFormatting>
  <conditionalFormatting sqref="F81">
    <cfRule type="cellIs" dxfId="624" priority="144" stopIfTrue="1" operator="equal">
      <formula>0</formula>
    </cfRule>
  </conditionalFormatting>
  <conditionalFormatting sqref="F83:F85">
    <cfRule type="cellIs" dxfId="623" priority="143" stopIfTrue="1" operator="equal">
      <formula>0</formula>
    </cfRule>
  </conditionalFormatting>
  <conditionalFormatting sqref="H81">
    <cfRule type="cellIs" dxfId="622" priority="142" stopIfTrue="1" operator="equal">
      <formula>0</formula>
    </cfRule>
  </conditionalFormatting>
  <conditionalFormatting sqref="H83:H85">
    <cfRule type="cellIs" dxfId="621" priority="141" stopIfTrue="1" operator="equal">
      <formula>0</formula>
    </cfRule>
  </conditionalFormatting>
  <conditionalFormatting sqref="D88">
    <cfRule type="cellIs" dxfId="620" priority="140" stopIfTrue="1" operator="equal">
      <formula>0</formula>
    </cfRule>
  </conditionalFormatting>
  <conditionalFormatting sqref="D89:D92">
    <cfRule type="cellIs" dxfId="619" priority="139" stopIfTrue="1" operator="equal">
      <formula>0</formula>
    </cfRule>
  </conditionalFormatting>
  <conditionalFormatting sqref="F88">
    <cfRule type="cellIs" dxfId="618" priority="138" stopIfTrue="1" operator="equal">
      <formula>0</formula>
    </cfRule>
  </conditionalFormatting>
  <conditionalFormatting sqref="F90:F92">
    <cfRule type="cellIs" dxfId="617" priority="137" stopIfTrue="1" operator="equal">
      <formula>0</formula>
    </cfRule>
  </conditionalFormatting>
  <conditionalFormatting sqref="H88">
    <cfRule type="cellIs" dxfId="616" priority="136" stopIfTrue="1" operator="equal">
      <formula>0</formula>
    </cfRule>
  </conditionalFormatting>
  <conditionalFormatting sqref="H90:H92">
    <cfRule type="cellIs" dxfId="615" priority="135" stopIfTrue="1" operator="equal">
      <formula>0</formula>
    </cfRule>
  </conditionalFormatting>
  <conditionalFormatting sqref="D95">
    <cfRule type="cellIs" dxfId="614" priority="134" stopIfTrue="1" operator="equal">
      <formula>0</formula>
    </cfRule>
  </conditionalFormatting>
  <conditionalFormatting sqref="D96:D99">
    <cfRule type="cellIs" dxfId="613" priority="133" stopIfTrue="1" operator="equal">
      <formula>0</formula>
    </cfRule>
  </conditionalFormatting>
  <conditionalFormatting sqref="F95">
    <cfRule type="cellIs" dxfId="612" priority="132" stopIfTrue="1" operator="equal">
      <formula>0</formula>
    </cfRule>
  </conditionalFormatting>
  <conditionalFormatting sqref="F97:F99">
    <cfRule type="cellIs" dxfId="611" priority="131" stopIfTrue="1" operator="equal">
      <formula>0</formula>
    </cfRule>
  </conditionalFormatting>
  <conditionalFormatting sqref="H95">
    <cfRule type="cellIs" dxfId="610" priority="130" stopIfTrue="1" operator="equal">
      <formula>0</formula>
    </cfRule>
  </conditionalFormatting>
  <conditionalFormatting sqref="E75 G75 I75">
    <cfRule type="cellIs" dxfId="609" priority="128" stopIfTrue="1" operator="equal">
      <formula>0</formula>
    </cfRule>
  </conditionalFormatting>
  <conditionalFormatting sqref="F75">
    <cfRule type="cellIs" dxfId="608" priority="127" stopIfTrue="1" operator="equal">
      <formula>0</formula>
    </cfRule>
  </conditionalFormatting>
  <conditionalFormatting sqref="E82 G82 I82">
    <cfRule type="cellIs" dxfId="607" priority="125" stopIfTrue="1" operator="equal">
      <formula>0</formula>
    </cfRule>
  </conditionalFormatting>
  <conditionalFormatting sqref="F82">
    <cfRule type="cellIs" dxfId="606" priority="124" stopIfTrue="1" operator="equal">
      <formula>0</formula>
    </cfRule>
  </conditionalFormatting>
  <conditionalFormatting sqref="E89 G89 I89">
    <cfRule type="cellIs" dxfId="605" priority="122" stopIfTrue="1" operator="equal">
      <formula>0</formula>
    </cfRule>
  </conditionalFormatting>
  <conditionalFormatting sqref="F89">
    <cfRule type="cellIs" dxfId="604" priority="121" stopIfTrue="1" operator="equal">
      <formula>0</formula>
    </cfRule>
  </conditionalFormatting>
  <conditionalFormatting sqref="H89">
    <cfRule type="cellIs" dxfId="603" priority="120" stopIfTrue="1" operator="equal">
      <formula>0</formula>
    </cfRule>
  </conditionalFormatting>
  <conditionalFormatting sqref="E96 G96 I96">
    <cfRule type="cellIs" dxfId="602" priority="119" stopIfTrue="1" operator="equal">
      <formula>0</formula>
    </cfRule>
  </conditionalFormatting>
  <conditionalFormatting sqref="F96">
    <cfRule type="cellIs" dxfId="601" priority="118" stopIfTrue="1" operator="equal">
      <formula>0</formula>
    </cfRule>
  </conditionalFormatting>
  <conditionalFormatting sqref="H96">
    <cfRule type="cellIs" dxfId="600" priority="117" stopIfTrue="1" operator="equal">
      <formula>0</formula>
    </cfRule>
  </conditionalFormatting>
  <conditionalFormatting sqref="A103:C105 A110:C112 A117:C119 A124:C126 A131:C133 E111:E112 G111:G112 I111:I112 E118:E119 G118:G119 I118:I119 E125:E126 G125:G126 E132:E133 G132:G133 E103:E106 I103:I106 G103:G106 A101:K101 A108:K108 A115:K115 A122:K122 A129:K129">
    <cfRule type="cellIs" dxfId="599" priority="116" stopIfTrue="1" operator="equal">
      <formula>0</formula>
    </cfRule>
  </conditionalFormatting>
  <conditionalFormatting sqref="A130:C130">
    <cfRule type="cellIs" dxfId="598" priority="115" stopIfTrue="1" operator="equal">
      <formula>0</formula>
    </cfRule>
  </conditionalFormatting>
  <conditionalFormatting sqref="A134:C134">
    <cfRule type="cellIs" dxfId="597" priority="114" stopIfTrue="1" operator="equal">
      <formula>0</formula>
    </cfRule>
  </conditionalFormatting>
  <conditionalFormatting sqref="A123:C123">
    <cfRule type="cellIs" dxfId="596" priority="113" stopIfTrue="1" operator="equal">
      <formula>0</formula>
    </cfRule>
  </conditionalFormatting>
  <conditionalFormatting sqref="A127:C127">
    <cfRule type="cellIs" dxfId="595" priority="112" stopIfTrue="1" operator="equal">
      <formula>0</formula>
    </cfRule>
  </conditionalFormatting>
  <conditionalFormatting sqref="A120:C120">
    <cfRule type="cellIs" dxfId="594" priority="111" stopIfTrue="1" operator="equal">
      <formula>0</formula>
    </cfRule>
  </conditionalFormatting>
  <conditionalFormatting sqref="A116:C116">
    <cfRule type="cellIs" dxfId="593" priority="110" stopIfTrue="1" operator="equal">
      <formula>0</formula>
    </cfRule>
  </conditionalFormatting>
  <conditionalFormatting sqref="A113:C113">
    <cfRule type="cellIs" dxfId="592" priority="109" stopIfTrue="1" operator="equal">
      <formula>0</formula>
    </cfRule>
  </conditionalFormatting>
  <conditionalFormatting sqref="A109:C109">
    <cfRule type="cellIs" dxfId="591" priority="108" stopIfTrue="1" operator="equal">
      <formula>0</formula>
    </cfRule>
  </conditionalFormatting>
  <conditionalFormatting sqref="A106:C106">
    <cfRule type="cellIs" dxfId="590" priority="107" stopIfTrue="1" operator="equal">
      <formula>0</formula>
    </cfRule>
  </conditionalFormatting>
  <conditionalFormatting sqref="A102:C102">
    <cfRule type="cellIs" dxfId="589" priority="106" stopIfTrue="1" operator="equal">
      <formula>0</formula>
    </cfRule>
  </conditionalFormatting>
  <conditionalFormatting sqref="E113">
    <cfRule type="cellIs" dxfId="588" priority="105" stopIfTrue="1" operator="equal">
      <formula>0</formula>
    </cfRule>
  </conditionalFormatting>
  <conditionalFormatting sqref="I113">
    <cfRule type="cellIs" dxfId="587" priority="104" stopIfTrue="1" operator="equal">
      <formula>0</formula>
    </cfRule>
  </conditionalFormatting>
  <conditionalFormatting sqref="E120">
    <cfRule type="cellIs" dxfId="586" priority="103" stopIfTrue="1" operator="equal">
      <formula>0</formula>
    </cfRule>
  </conditionalFormatting>
  <conditionalFormatting sqref="E127">
    <cfRule type="cellIs" dxfId="585" priority="102" stopIfTrue="1" operator="equal">
      <formula>0</formula>
    </cfRule>
  </conditionalFormatting>
  <conditionalFormatting sqref="E134">
    <cfRule type="cellIs" dxfId="584" priority="101" stopIfTrue="1" operator="equal">
      <formula>0</formula>
    </cfRule>
  </conditionalFormatting>
  <conditionalFormatting sqref="G127">
    <cfRule type="cellIs" dxfId="583" priority="100" stopIfTrue="1" operator="equal">
      <formula>0</formula>
    </cfRule>
  </conditionalFormatting>
  <conditionalFormatting sqref="G134">
    <cfRule type="cellIs" dxfId="582" priority="99" stopIfTrue="1" operator="equal">
      <formula>0</formula>
    </cfRule>
  </conditionalFormatting>
  <conditionalFormatting sqref="I120">
    <cfRule type="cellIs" dxfId="581" priority="98" stopIfTrue="1" operator="equal">
      <formula>0</formula>
    </cfRule>
  </conditionalFormatting>
  <conditionalFormatting sqref="H116">
    <cfRule type="cellIs" dxfId="580" priority="81" stopIfTrue="1" operator="equal">
      <formula>0</formula>
    </cfRule>
  </conditionalFormatting>
  <conditionalFormatting sqref="D117:D120">
    <cfRule type="cellIs" dxfId="579" priority="84" stopIfTrue="1" operator="equal">
      <formula>0</formula>
    </cfRule>
  </conditionalFormatting>
  <conditionalFormatting sqref="H109">
    <cfRule type="cellIs" dxfId="578" priority="87" stopIfTrue="1" operator="equal">
      <formula>0</formula>
    </cfRule>
  </conditionalFormatting>
  <conditionalFormatting sqref="D110:D113">
    <cfRule type="cellIs" dxfId="577" priority="90" stopIfTrue="1" operator="equal">
      <formula>0</formula>
    </cfRule>
  </conditionalFormatting>
  <conditionalFormatting sqref="D102">
    <cfRule type="cellIs" dxfId="576" priority="97" stopIfTrue="1" operator="equal">
      <formula>0</formula>
    </cfRule>
  </conditionalFormatting>
  <conditionalFormatting sqref="D103:D106">
    <cfRule type="cellIs" dxfId="575" priority="96" stopIfTrue="1" operator="equal">
      <formula>0</formula>
    </cfRule>
  </conditionalFormatting>
  <conditionalFormatting sqref="F102">
    <cfRule type="cellIs" dxfId="574" priority="95" stopIfTrue="1" operator="equal">
      <formula>0</formula>
    </cfRule>
  </conditionalFormatting>
  <conditionalFormatting sqref="F103:F106">
    <cfRule type="cellIs" dxfId="573" priority="94" stopIfTrue="1" operator="equal">
      <formula>0</formula>
    </cfRule>
  </conditionalFormatting>
  <conditionalFormatting sqref="H102">
    <cfRule type="cellIs" dxfId="572" priority="93" stopIfTrue="1" operator="equal">
      <formula>0</formula>
    </cfRule>
  </conditionalFormatting>
  <conditionalFormatting sqref="H103:H106">
    <cfRule type="cellIs" dxfId="571" priority="92" stopIfTrue="1" operator="equal">
      <formula>0</formula>
    </cfRule>
  </conditionalFormatting>
  <conditionalFormatting sqref="D109">
    <cfRule type="cellIs" dxfId="570" priority="91" stopIfTrue="1" operator="equal">
      <formula>0</formula>
    </cfRule>
  </conditionalFormatting>
  <conditionalFormatting sqref="F109">
    <cfRule type="cellIs" dxfId="569" priority="89" stopIfTrue="1" operator="equal">
      <formula>0</formula>
    </cfRule>
  </conditionalFormatting>
  <conditionalFormatting sqref="F111:F113">
    <cfRule type="cellIs" dxfId="568" priority="88" stopIfTrue="1" operator="equal">
      <formula>0</formula>
    </cfRule>
  </conditionalFormatting>
  <conditionalFormatting sqref="H111:H113">
    <cfRule type="cellIs" dxfId="567" priority="86" stopIfTrue="1" operator="equal">
      <formula>0</formula>
    </cfRule>
  </conditionalFormatting>
  <conditionalFormatting sqref="D116">
    <cfRule type="cellIs" dxfId="566" priority="85" stopIfTrue="1" operator="equal">
      <formula>0</formula>
    </cfRule>
  </conditionalFormatting>
  <conditionalFormatting sqref="F116">
    <cfRule type="cellIs" dxfId="565" priority="83" stopIfTrue="1" operator="equal">
      <formula>0</formula>
    </cfRule>
  </conditionalFormatting>
  <conditionalFormatting sqref="F118:F120">
    <cfRule type="cellIs" dxfId="564" priority="82" stopIfTrue="1" operator="equal">
      <formula>0</formula>
    </cfRule>
  </conditionalFormatting>
  <conditionalFormatting sqref="H118:H120">
    <cfRule type="cellIs" dxfId="563" priority="80" stopIfTrue="1" operator="equal">
      <formula>0</formula>
    </cfRule>
  </conditionalFormatting>
  <conditionalFormatting sqref="D123">
    <cfRule type="cellIs" dxfId="562" priority="79" stopIfTrue="1" operator="equal">
      <formula>0</formula>
    </cfRule>
  </conditionalFormatting>
  <conditionalFormatting sqref="D124:D127">
    <cfRule type="cellIs" dxfId="561" priority="78" stopIfTrue="1" operator="equal">
      <formula>0</formula>
    </cfRule>
  </conditionalFormatting>
  <conditionalFormatting sqref="F123">
    <cfRule type="cellIs" dxfId="560" priority="77" stopIfTrue="1" operator="equal">
      <formula>0</formula>
    </cfRule>
  </conditionalFormatting>
  <conditionalFormatting sqref="F125:F127">
    <cfRule type="cellIs" dxfId="559" priority="76" stopIfTrue="1" operator="equal">
      <formula>0</formula>
    </cfRule>
  </conditionalFormatting>
  <conditionalFormatting sqref="H123">
    <cfRule type="cellIs" dxfId="558" priority="75" stopIfTrue="1" operator="equal">
      <formula>0</formula>
    </cfRule>
  </conditionalFormatting>
  <conditionalFormatting sqref="H125:H127">
    <cfRule type="cellIs" dxfId="557" priority="74" stopIfTrue="1" operator="equal">
      <formula>0</formula>
    </cfRule>
  </conditionalFormatting>
  <conditionalFormatting sqref="D130">
    <cfRule type="cellIs" dxfId="556" priority="73" stopIfTrue="1" operator="equal">
      <formula>0</formula>
    </cfRule>
  </conditionalFormatting>
  <conditionalFormatting sqref="D131:D134">
    <cfRule type="cellIs" dxfId="555" priority="72" stopIfTrue="1" operator="equal">
      <formula>0</formula>
    </cfRule>
  </conditionalFormatting>
  <conditionalFormatting sqref="F130">
    <cfRule type="cellIs" dxfId="554" priority="71" stopIfTrue="1" operator="equal">
      <formula>0</formula>
    </cfRule>
  </conditionalFormatting>
  <conditionalFormatting sqref="F132:F134">
    <cfRule type="cellIs" dxfId="553" priority="70" stopIfTrue="1" operator="equal">
      <formula>0</formula>
    </cfRule>
  </conditionalFormatting>
  <conditionalFormatting sqref="H130">
    <cfRule type="cellIs" dxfId="552" priority="69" stopIfTrue="1" operator="equal">
      <formula>0</formula>
    </cfRule>
  </conditionalFormatting>
  <conditionalFormatting sqref="H132:H134">
    <cfRule type="cellIs" dxfId="551" priority="68" stopIfTrue="1" operator="equal">
      <formula>0</formula>
    </cfRule>
  </conditionalFormatting>
  <conditionalFormatting sqref="E131 G131 E124 G124 E117 G117 I117 E110 G110 I110">
    <cfRule type="cellIs" dxfId="550" priority="67" stopIfTrue="1" operator="equal">
      <formula>0</formula>
    </cfRule>
  </conditionalFormatting>
  <conditionalFormatting sqref="F131 F124 F117 F110">
    <cfRule type="cellIs" dxfId="549" priority="66" stopIfTrue="1" operator="equal">
      <formula>0</formula>
    </cfRule>
  </conditionalFormatting>
  <conditionalFormatting sqref="H131 H124 H117 H110">
    <cfRule type="cellIs" dxfId="548" priority="65" stopIfTrue="1" operator="equal">
      <formula>0</formula>
    </cfRule>
  </conditionalFormatting>
  <conditionalFormatting sqref="G113">
    <cfRule type="cellIs" dxfId="547" priority="64" stopIfTrue="1" operator="equal">
      <formula>0</formula>
    </cfRule>
  </conditionalFormatting>
  <conditionalFormatting sqref="G120">
    <cfRule type="cellIs" dxfId="546" priority="63" stopIfTrue="1" operator="equal">
      <formula>0</formula>
    </cfRule>
  </conditionalFormatting>
  <conditionalFormatting sqref="I125:I126">
    <cfRule type="cellIs" dxfId="545" priority="62" stopIfTrue="1" operator="equal">
      <formula>0</formula>
    </cfRule>
  </conditionalFormatting>
  <conditionalFormatting sqref="I124">
    <cfRule type="cellIs" dxfId="544" priority="61" stopIfTrue="1" operator="equal">
      <formula>0</formula>
    </cfRule>
  </conditionalFormatting>
  <conditionalFormatting sqref="I127">
    <cfRule type="cellIs" dxfId="543" priority="60" stopIfTrue="1" operator="equal">
      <formula>0</formula>
    </cfRule>
  </conditionalFormatting>
  <conditionalFormatting sqref="I132:I133">
    <cfRule type="cellIs" dxfId="542" priority="59" stopIfTrue="1" operator="equal">
      <formula>0</formula>
    </cfRule>
  </conditionalFormatting>
  <conditionalFormatting sqref="I131">
    <cfRule type="cellIs" dxfId="541" priority="58" stopIfTrue="1" operator="equal">
      <formula>0</formula>
    </cfRule>
  </conditionalFormatting>
  <conditionalFormatting sqref="I134">
    <cfRule type="cellIs" dxfId="540" priority="57" stopIfTrue="1" operator="equal">
      <formula>0</formula>
    </cfRule>
  </conditionalFormatting>
  <conditionalFormatting sqref="K44">
    <cfRule type="cellIs" dxfId="539" priority="56" stopIfTrue="1" operator="equal">
      <formula>0</formula>
    </cfRule>
  </conditionalFormatting>
  <conditionalFormatting sqref="D44">
    <cfRule type="cellIs" dxfId="538" priority="55" stopIfTrue="1" operator="equal">
      <formula>0</formula>
    </cfRule>
  </conditionalFormatting>
  <conditionalFormatting sqref="F44">
    <cfRule type="cellIs" dxfId="537" priority="54" stopIfTrue="1" operator="equal">
      <formula>0</formula>
    </cfRule>
  </conditionalFormatting>
  <conditionalFormatting sqref="H44">
    <cfRule type="cellIs" dxfId="536" priority="53" stopIfTrue="1" operator="equal">
      <formula>0</formula>
    </cfRule>
  </conditionalFormatting>
  <conditionalFormatting sqref="K51">
    <cfRule type="cellIs" dxfId="535" priority="52" stopIfTrue="1" operator="equal">
      <formula>0</formula>
    </cfRule>
  </conditionalFormatting>
  <conditionalFormatting sqref="D51">
    <cfRule type="cellIs" dxfId="534" priority="51" stopIfTrue="1" operator="equal">
      <formula>0</formula>
    </cfRule>
  </conditionalFormatting>
  <conditionalFormatting sqref="F51">
    <cfRule type="cellIs" dxfId="533" priority="50" stopIfTrue="1" operator="equal">
      <formula>0</formula>
    </cfRule>
  </conditionalFormatting>
  <conditionalFormatting sqref="H51">
    <cfRule type="cellIs" dxfId="532" priority="49" stopIfTrue="1" operator="equal">
      <formula>0</formula>
    </cfRule>
  </conditionalFormatting>
  <conditionalFormatting sqref="K58">
    <cfRule type="cellIs" dxfId="531" priority="48" stopIfTrue="1" operator="equal">
      <formula>0</formula>
    </cfRule>
  </conditionalFormatting>
  <conditionalFormatting sqref="D58">
    <cfRule type="cellIs" dxfId="530" priority="47" stopIfTrue="1" operator="equal">
      <formula>0</formula>
    </cfRule>
  </conditionalFormatting>
  <conditionalFormatting sqref="F58">
    <cfRule type="cellIs" dxfId="529" priority="46" stopIfTrue="1" operator="equal">
      <formula>0</formula>
    </cfRule>
  </conditionalFormatting>
  <conditionalFormatting sqref="H58">
    <cfRule type="cellIs" dxfId="528" priority="45" stopIfTrue="1" operator="equal">
      <formula>0</formula>
    </cfRule>
  </conditionalFormatting>
  <conditionalFormatting sqref="K65">
    <cfRule type="cellIs" dxfId="527" priority="44" stopIfTrue="1" operator="equal">
      <formula>0</formula>
    </cfRule>
  </conditionalFormatting>
  <conditionalFormatting sqref="D65">
    <cfRule type="cellIs" dxfId="526" priority="43" stopIfTrue="1" operator="equal">
      <formula>0</formula>
    </cfRule>
  </conditionalFormatting>
  <conditionalFormatting sqref="H65">
    <cfRule type="cellIs" dxfId="525" priority="41" stopIfTrue="1" operator="equal">
      <formula>0</formula>
    </cfRule>
  </conditionalFormatting>
  <conditionalFormatting sqref="F65">
    <cfRule type="cellIs" dxfId="524" priority="42" stopIfTrue="1" operator="equal">
      <formula>0</formula>
    </cfRule>
  </conditionalFormatting>
  <conditionalFormatting sqref="K72">
    <cfRule type="cellIs" dxfId="523" priority="40" stopIfTrue="1" operator="equal">
      <formula>0</formula>
    </cfRule>
  </conditionalFormatting>
  <conditionalFormatting sqref="D72">
    <cfRule type="cellIs" dxfId="522" priority="39" stopIfTrue="1" operator="equal">
      <formula>0</formula>
    </cfRule>
  </conditionalFormatting>
  <conditionalFormatting sqref="H72">
    <cfRule type="cellIs" dxfId="521" priority="37" stopIfTrue="1" operator="equal">
      <formula>0</formula>
    </cfRule>
  </conditionalFormatting>
  <conditionalFormatting sqref="F72">
    <cfRule type="cellIs" dxfId="520" priority="38" stopIfTrue="1" operator="equal">
      <formula>0</formula>
    </cfRule>
  </conditionalFormatting>
  <conditionalFormatting sqref="K79">
    <cfRule type="cellIs" dxfId="519" priority="36" stopIfTrue="1" operator="equal">
      <formula>0</formula>
    </cfRule>
  </conditionalFormatting>
  <conditionalFormatting sqref="D79">
    <cfRule type="cellIs" dxfId="518" priority="35" stopIfTrue="1" operator="equal">
      <formula>0</formula>
    </cfRule>
  </conditionalFormatting>
  <conditionalFormatting sqref="H79">
    <cfRule type="cellIs" dxfId="517" priority="33" stopIfTrue="1" operator="equal">
      <formula>0</formula>
    </cfRule>
  </conditionalFormatting>
  <conditionalFormatting sqref="F79">
    <cfRule type="cellIs" dxfId="516" priority="34" stopIfTrue="1" operator="equal">
      <formula>0</formula>
    </cfRule>
  </conditionalFormatting>
  <conditionalFormatting sqref="K86">
    <cfRule type="cellIs" dxfId="515" priority="32" stopIfTrue="1" operator="equal">
      <formula>0</formula>
    </cfRule>
  </conditionalFormatting>
  <conditionalFormatting sqref="D86">
    <cfRule type="cellIs" dxfId="514" priority="31" stopIfTrue="1" operator="equal">
      <formula>0</formula>
    </cfRule>
  </conditionalFormatting>
  <conditionalFormatting sqref="H86">
    <cfRule type="cellIs" dxfId="513" priority="29" stopIfTrue="1" operator="equal">
      <formula>0</formula>
    </cfRule>
  </conditionalFormatting>
  <conditionalFormatting sqref="F86">
    <cfRule type="cellIs" dxfId="512" priority="30" stopIfTrue="1" operator="equal">
      <formula>0</formula>
    </cfRule>
  </conditionalFormatting>
  <conditionalFormatting sqref="K93">
    <cfRule type="cellIs" dxfId="511" priority="28" stopIfTrue="1" operator="equal">
      <formula>0</formula>
    </cfRule>
  </conditionalFormatting>
  <conditionalFormatting sqref="D93">
    <cfRule type="cellIs" dxfId="510" priority="27" stopIfTrue="1" operator="equal">
      <formula>0</formula>
    </cfRule>
  </conditionalFormatting>
  <conditionalFormatting sqref="H93">
    <cfRule type="cellIs" dxfId="509" priority="25" stopIfTrue="1" operator="equal">
      <formula>0</formula>
    </cfRule>
  </conditionalFormatting>
  <conditionalFormatting sqref="F93">
    <cfRule type="cellIs" dxfId="508" priority="26" stopIfTrue="1" operator="equal">
      <formula>0</formula>
    </cfRule>
  </conditionalFormatting>
  <conditionalFormatting sqref="K100">
    <cfRule type="cellIs" dxfId="507" priority="24" stopIfTrue="1" operator="equal">
      <formula>0</formula>
    </cfRule>
  </conditionalFormatting>
  <conditionalFormatting sqref="D100">
    <cfRule type="cellIs" dxfId="506" priority="23" stopIfTrue="1" operator="equal">
      <formula>0</formula>
    </cfRule>
  </conditionalFormatting>
  <conditionalFormatting sqref="H100">
    <cfRule type="cellIs" dxfId="505" priority="21" stopIfTrue="1" operator="equal">
      <formula>0</formula>
    </cfRule>
  </conditionalFormatting>
  <conditionalFormatting sqref="F100">
    <cfRule type="cellIs" dxfId="504" priority="22" stopIfTrue="1" operator="equal">
      <formula>0</formula>
    </cfRule>
  </conditionalFormatting>
  <conditionalFormatting sqref="K107">
    <cfRule type="cellIs" dxfId="503" priority="20" stopIfTrue="1" operator="equal">
      <formula>0</formula>
    </cfRule>
  </conditionalFormatting>
  <conditionalFormatting sqref="D107">
    <cfRule type="cellIs" dxfId="502" priority="19" stopIfTrue="1" operator="equal">
      <formula>0</formula>
    </cfRule>
  </conditionalFormatting>
  <conditionalFormatting sqref="H107">
    <cfRule type="cellIs" dxfId="501" priority="17" stopIfTrue="1" operator="equal">
      <formula>0</formula>
    </cfRule>
  </conditionalFormatting>
  <conditionalFormatting sqref="F107">
    <cfRule type="cellIs" dxfId="500" priority="18" stopIfTrue="1" operator="equal">
      <formula>0</formula>
    </cfRule>
  </conditionalFormatting>
  <conditionalFormatting sqref="K114">
    <cfRule type="cellIs" dxfId="499" priority="16" stopIfTrue="1" operator="equal">
      <formula>0</formula>
    </cfRule>
  </conditionalFormatting>
  <conditionalFormatting sqref="D114">
    <cfRule type="cellIs" dxfId="498" priority="15" stopIfTrue="1" operator="equal">
      <formula>0</formula>
    </cfRule>
  </conditionalFormatting>
  <conditionalFormatting sqref="H114">
    <cfRule type="cellIs" dxfId="497" priority="13" stopIfTrue="1" operator="equal">
      <formula>0</formula>
    </cfRule>
  </conditionalFormatting>
  <conditionalFormatting sqref="F114">
    <cfRule type="cellIs" dxfId="496" priority="14" stopIfTrue="1" operator="equal">
      <formula>0</formula>
    </cfRule>
  </conditionalFormatting>
  <conditionalFormatting sqref="K121">
    <cfRule type="cellIs" dxfId="495" priority="12" stopIfTrue="1" operator="equal">
      <formula>0</formula>
    </cfRule>
  </conditionalFormatting>
  <conditionalFormatting sqref="D121">
    <cfRule type="cellIs" dxfId="494" priority="11" stopIfTrue="1" operator="equal">
      <formula>0</formula>
    </cfRule>
  </conditionalFormatting>
  <conditionalFormatting sqref="H121">
    <cfRule type="cellIs" dxfId="493" priority="9" stopIfTrue="1" operator="equal">
      <formula>0</formula>
    </cfRule>
  </conditionalFormatting>
  <conditionalFormatting sqref="F121">
    <cfRule type="cellIs" dxfId="492" priority="10" stopIfTrue="1" operator="equal">
      <formula>0</formula>
    </cfRule>
  </conditionalFormatting>
  <conditionalFormatting sqref="K128">
    <cfRule type="cellIs" dxfId="491" priority="8" stopIfTrue="1" operator="equal">
      <formula>0</formula>
    </cfRule>
  </conditionalFormatting>
  <conditionalFormatting sqref="D128">
    <cfRule type="cellIs" dxfId="490" priority="7" stopIfTrue="1" operator="equal">
      <formula>0</formula>
    </cfRule>
  </conditionalFormatting>
  <conditionalFormatting sqref="H128">
    <cfRule type="cellIs" dxfId="489" priority="5" stopIfTrue="1" operator="equal">
      <formula>0</formula>
    </cfRule>
  </conditionalFormatting>
  <conditionalFormatting sqref="F128">
    <cfRule type="cellIs" dxfId="488" priority="6" stopIfTrue="1" operator="equal">
      <formula>0</formula>
    </cfRule>
  </conditionalFormatting>
  <conditionalFormatting sqref="K135">
    <cfRule type="cellIs" dxfId="487" priority="4" stopIfTrue="1" operator="equal">
      <formula>0</formula>
    </cfRule>
  </conditionalFormatting>
  <conditionalFormatting sqref="D135">
    <cfRule type="cellIs" dxfId="486" priority="3" stopIfTrue="1" operator="equal">
      <formula>0</formula>
    </cfRule>
  </conditionalFormatting>
  <conditionalFormatting sqref="H135">
    <cfRule type="cellIs" dxfId="485" priority="1" stopIfTrue="1" operator="equal">
      <formula>0</formula>
    </cfRule>
  </conditionalFormatting>
  <conditionalFormatting sqref="F135">
    <cfRule type="cellIs" dxfId="484" priority="2" stopIfTrue="1" operator="equal">
      <formula>0</formula>
    </cfRule>
  </conditionalFormatting>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00B0F0"/>
  </sheetPr>
  <dimension ref="A1:Z135"/>
  <sheetViews>
    <sheetView workbookViewId="0">
      <selection sqref="A1:M1"/>
    </sheetView>
  </sheetViews>
  <sheetFormatPr baseColWidth="10" defaultColWidth="8.83203125" defaultRowHeight="15" x14ac:dyDescent="0.2"/>
  <cols>
    <col min="1" max="3" width="13.5" style="68" customWidth="1"/>
    <col min="4" max="4" width="3.5" style="68" customWidth="1"/>
    <col min="5" max="5" width="8.83203125" style="68"/>
    <col min="6" max="6" width="3.5" style="68" customWidth="1"/>
    <col min="7" max="7" width="8.83203125" style="68"/>
    <col min="8" max="8" width="3.5" style="68" customWidth="1"/>
    <col min="9" max="9" width="8.83203125" style="68"/>
    <col min="10" max="10" width="3.5" style="68" customWidth="1"/>
    <col min="11" max="16384" width="8.83203125" style="68"/>
  </cols>
  <sheetData>
    <row r="1" spans="1:24" ht="19" x14ac:dyDescent="0.25">
      <c r="A1" s="567" t="s">
        <v>318</v>
      </c>
      <c r="B1" s="567"/>
      <c r="C1" s="567"/>
      <c r="D1" s="567"/>
      <c r="E1" s="567"/>
      <c r="F1" s="567"/>
      <c r="G1" s="567"/>
      <c r="H1" s="567"/>
      <c r="I1" s="567"/>
      <c r="J1" s="567"/>
      <c r="K1" s="567"/>
      <c r="L1" s="567"/>
      <c r="M1" s="567"/>
      <c r="N1" s="50" t="s">
        <v>314</v>
      </c>
      <c r="X1" s="49"/>
    </row>
    <row r="2" spans="1:24" ht="19" x14ac:dyDescent="0.25">
      <c r="A2" s="69" t="s">
        <v>112</v>
      </c>
      <c r="B2" s="568" t="s">
        <v>0</v>
      </c>
      <c r="C2" s="568"/>
      <c r="D2" s="568"/>
      <c r="E2" s="568"/>
      <c r="F2" s="70"/>
      <c r="G2" s="71"/>
      <c r="H2" s="71"/>
      <c r="I2" s="71"/>
      <c r="J2" s="71"/>
      <c r="K2" s="71"/>
      <c r="N2" s="150" t="s">
        <v>320</v>
      </c>
      <c r="O2" s="49"/>
    </row>
    <row r="3" spans="1:24" x14ac:dyDescent="0.2">
      <c r="A3" s="69" t="s">
        <v>113</v>
      </c>
      <c r="B3" s="568" t="s">
        <v>114</v>
      </c>
      <c r="C3" s="568"/>
      <c r="D3" s="568"/>
      <c r="E3" s="568"/>
      <c r="F3" s="70"/>
      <c r="G3" s="71"/>
      <c r="H3" s="71"/>
      <c r="I3" s="71"/>
      <c r="J3" s="71"/>
      <c r="K3" s="71"/>
      <c r="N3" s="68" t="s">
        <v>459</v>
      </c>
    </row>
    <row r="4" spans="1:24" x14ac:dyDescent="0.2">
      <c r="A4" s="69" t="s">
        <v>115</v>
      </c>
      <c r="B4" s="568" t="s">
        <v>25</v>
      </c>
      <c r="C4" s="568"/>
      <c r="D4" s="568"/>
      <c r="E4" s="568"/>
      <c r="F4" s="70"/>
      <c r="G4" s="71"/>
      <c r="H4" s="71"/>
      <c r="I4" s="71"/>
      <c r="J4" s="71"/>
      <c r="K4" s="71"/>
    </row>
    <row r="5" spans="1:24" x14ac:dyDescent="0.2">
      <c r="A5" s="72" t="s">
        <v>116</v>
      </c>
      <c r="B5" s="569" t="s">
        <v>117</v>
      </c>
      <c r="C5" s="569"/>
      <c r="D5" s="569"/>
      <c r="E5" s="569"/>
      <c r="F5" s="73"/>
      <c r="G5" s="71"/>
      <c r="H5" s="71"/>
      <c r="I5" s="71"/>
      <c r="J5" s="71"/>
      <c r="K5" s="71"/>
    </row>
    <row r="6" spans="1:24" x14ac:dyDescent="0.2">
      <c r="A6" s="74"/>
      <c r="B6" s="75"/>
      <c r="C6" s="74"/>
      <c r="D6" s="74"/>
      <c r="E6" s="74"/>
      <c r="F6" s="74"/>
      <c r="G6" s="71"/>
      <c r="H6" s="71"/>
      <c r="I6" s="71"/>
      <c r="J6" s="71"/>
      <c r="K6" s="71"/>
    </row>
    <row r="7" spans="1:24" x14ac:dyDescent="0.2">
      <c r="A7" s="570" t="s">
        <v>118</v>
      </c>
      <c r="B7" s="570"/>
      <c r="C7" s="570"/>
      <c r="D7" s="571" t="s">
        <v>165</v>
      </c>
      <c r="E7" s="571"/>
      <c r="F7" s="571"/>
      <c r="G7" s="571"/>
      <c r="H7" s="571"/>
      <c r="I7" s="571"/>
      <c r="J7" s="571"/>
      <c r="K7" s="571"/>
    </row>
    <row r="8" spans="1:24" x14ac:dyDescent="0.2">
      <c r="A8" s="563" t="s">
        <v>39</v>
      </c>
      <c r="B8" s="563"/>
      <c r="C8" s="563"/>
      <c r="D8" s="77"/>
      <c r="E8" s="78">
        <v>43683</v>
      </c>
      <c r="F8" s="78"/>
      <c r="G8" s="78">
        <v>43683</v>
      </c>
      <c r="H8" s="78"/>
      <c r="I8" s="78">
        <v>43683</v>
      </c>
      <c r="J8" s="78"/>
      <c r="K8" s="71"/>
    </row>
    <row r="9" spans="1:24" x14ac:dyDescent="0.2">
      <c r="A9" s="563" t="s">
        <v>120</v>
      </c>
      <c r="B9" s="563"/>
      <c r="C9" s="563"/>
      <c r="D9" s="77"/>
      <c r="E9" s="79">
        <v>0.39930555555555558</v>
      </c>
      <c r="F9" s="79"/>
      <c r="G9" s="79">
        <v>0.51250000000000007</v>
      </c>
      <c r="H9" s="79"/>
      <c r="I9" s="79">
        <v>0.56597222222222221</v>
      </c>
      <c r="J9" s="79"/>
      <c r="K9" s="71"/>
    </row>
    <row r="10" spans="1:24" x14ac:dyDescent="0.2">
      <c r="A10" s="563" t="s">
        <v>121</v>
      </c>
      <c r="B10" s="563"/>
      <c r="C10" s="563"/>
      <c r="D10" s="77"/>
      <c r="E10" s="79">
        <v>0.44791666666666669</v>
      </c>
      <c r="F10" s="79"/>
      <c r="G10" s="79">
        <v>0.55833333333333335</v>
      </c>
      <c r="H10" s="79"/>
      <c r="I10" s="79">
        <v>0.61597222222222225</v>
      </c>
      <c r="J10" s="79"/>
      <c r="K10" s="71"/>
    </row>
    <row r="11" spans="1:24" x14ac:dyDescent="0.2">
      <c r="A11" s="77"/>
      <c r="B11" s="77"/>
      <c r="C11" s="77"/>
      <c r="D11" s="77"/>
      <c r="E11" s="80" t="s">
        <v>122</v>
      </c>
      <c r="F11" s="80"/>
      <c r="G11" s="80" t="s">
        <v>123</v>
      </c>
      <c r="H11" s="80"/>
      <c r="I11" s="80" t="s">
        <v>124</v>
      </c>
      <c r="J11" s="80"/>
      <c r="K11" s="80" t="s">
        <v>72</v>
      </c>
    </row>
    <row r="12" spans="1:24" x14ac:dyDescent="0.2">
      <c r="A12" s="564" t="s">
        <v>126</v>
      </c>
      <c r="B12" s="565"/>
      <c r="C12" s="565"/>
      <c r="D12" s="565"/>
      <c r="E12" s="565"/>
      <c r="F12" s="565"/>
      <c r="G12" s="565"/>
      <c r="H12" s="565"/>
      <c r="I12" s="565"/>
      <c r="J12" s="565"/>
      <c r="K12" s="566"/>
    </row>
    <row r="13" spans="1:24" x14ac:dyDescent="0.2">
      <c r="A13" s="563" t="s">
        <v>127</v>
      </c>
      <c r="B13" s="563"/>
      <c r="C13" s="563"/>
      <c r="D13" s="77"/>
      <c r="E13" s="81">
        <v>94</v>
      </c>
      <c r="F13" s="81"/>
      <c r="G13" s="81">
        <v>103.9</v>
      </c>
      <c r="H13" s="81"/>
      <c r="I13" s="81">
        <v>105.3</v>
      </c>
      <c r="J13" s="81"/>
      <c r="K13" s="82">
        <v>101.06666666666666</v>
      </c>
    </row>
    <row r="14" spans="1:24" x14ac:dyDescent="0.2">
      <c r="A14" s="563" t="s">
        <v>128</v>
      </c>
      <c r="B14" s="563"/>
      <c r="C14" s="563"/>
      <c r="D14" s="77"/>
      <c r="E14" s="83">
        <v>1.4E-2</v>
      </c>
      <c r="F14" s="84"/>
      <c r="G14" s="83">
        <v>1.4E-2</v>
      </c>
      <c r="H14" s="84"/>
      <c r="I14" s="83">
        <v>1.4E-2</v>
      </c>
      <c r="J14" s="84"/>
      <c r="K14" s="85">
        <v>1.4E-2</v>
      </c>
    </row>
    <row r="15" spans="1:24" x14ac:dyDescent="0.2">
      <c r="A15" s="563" t="s">
        <v>129</v>
      </c>
      <c r="B15" s="563"/>
      <c r="C15" s="563"/>
      <c r="D15" s="77"/>
      <c r="E15" s="86">
        <v>29.8</v>
      </c>
      <c r="F15" s="86"/>
      <c r="G15" s="86">
        <v>29.8</v>
      </c>
      <c r="H15" s="86"/>
      <c r="I15" s="86">
        <v>29.8</v>
      </c>
      <c r="J15" s="86"/>
      <c r="K15" s="87">
        <v>29.8</v>
      </c>
    </row>
    <row r="16" spans="1:24" x14ac:dyDescent="0.2">
      <c r="A16" s="563" t="s">
        <v>130</v>
      </c>
      <c r="B16" s="563"/>
      <c r="C16" s="563"/>
      <c r="D16" s="77"/>
      <c r="E16" s="88">
        <v>1357.7940000000001</v>
      </c>
      <c r="F16" s="88"/>
      <c r="G16" s="88">
        <v>1409.673</v>
      </c>
      <c r="H16" s="88"/>
      <c r="I16" s="88">
        <v>1094.646</v>
      </c>
      <c r="J16" s="88"/>
      <c r="K16" s="127">
        <v>1287.3710000000001</v>
      </c>
    </row>
    <row r="17" spans="1:11" x14ac:dyDescent="0.2">
      <c r="A17" s="563" t="s">
        <v>131</v>
      </c>
      <c r="B17" s="563"/>
      <c r="C17" s="563"/>
      <c r="D17" s="77"/>
      <c r="E17" s="90">
        <v>8.6300000000000008</v>
      </c>
      <c r="F17" s="90"/>
      <c r="G17" s="90">
        <v>9.6110000000000007</v>
      </c>
      <c r="H17" s="90"/>
      <c r="I17" s="90">
        <v>7.09</v>
      </c>
      <c r="J17" s="90"/>
      <c r="K17" s="89">
        <v>8.4436666666666671</v>
      </c>
    </row>
    <row r="18" spans="1:11" x14ac:dyDescent="0.2">
      <c r="A18" s="563" t="s">
        <v>132</v>
      </c>
      <c r="B18" s="563"/>
      <c r="C18" s="563"/>
      <c r="D18" s="77"/>
      <c r="E18" s="91">
        <v>402862</v>
      </c>
      <c r="F18" s="91"/>
      <c r="G18" s="91">
        <v>448642</v>
      </c>
      <c r="H18" s="91"/>
      <c r="I18" s="91">
        <v>330958</v>
      </c>
      <c r="J18" s="91"/>
      <c r="K18" s="92">
        <v>394154</v>
      </c>
    </row>
    <row r="19" spans="1:11" x14ac:dyDescent="0.2">
      <c r="A19" s="563" t="s">
        <v>133</v>
      </c>
      <c r="B19" s="563"/>
      <c r="C19" s="563"/>
      <c r="D19" s="77"/>
      <c r="E19" s="91">
        <v>377051</v>
      </c>
      <c r="F19" s="91"/>
      <c r="G19" s="91">
        <v>412758</v>
      </c>
      <c r="H19" s="91"/>
      <c r="I19" s="91">
        <v>303468</v>
      </c>
      <c r="J19" s="91"/>
      <c r="K19" s="92">
        <v>364425.66666666669</v>
      </c>
    </row>
    <row r="20" spans="1:11" x14ac:dyDescent="0.2">
      <c r="A20" s="563" t="s">
        <v>134</v>
      </c>
      <c r="B20" s="563"/>
      <c r="C20" s="563"/>
      <c r="D20" s="77"/>
      <c r="E20" s="91">
        <v>382414</v>
      </c>
      <c r="F20" s="91"/>
      <c r="G20" s="91">
        <v>418413</v>
      </c>
      <c r="H20" s="91"/>
      <c r="I20" s="91">
        <v>307907</v>
      </c>
      <c r="J20" s="91"/>
      <c r="K20" s="92">
        <v>369578</v>
      </c>
    </row>
    <row r="21" spans="1:11" x14ac:dyDescent="0.2">
      <c r="A21" s="563" t="s">
        <v>135</v>
      </c>
      <c r="B21" s="563"/>
      <c r="C21" s="563"/>
      <c r="D21" s="77"/>
      <c r="E21" s="81">
        <v>0</v>
      </c>
      <c r="F21" s="81"/>
      <c r="G21" s="81">
        <v>0</v>
      </c>
      <c r="H21" s="81"/>
      <c r="I21" s="81">
        <v>0</v>
      </c>
      <c r="J21" s="81"/>
      <c r="K21" s="82">
        <v>0</v>
      </c>
    </row>
    <row r="22" spans="1:11" x14ac:dyDescent="0.2">
      <c r="A22" s="563" t="s">
        <v>136</v>
      </c>
      <c r="B22" s="563"/>
      <c r="C22" s="563"/>
      <c r="D22" s="77"/>
      <c r="E22" s="81">
        <v>20.9</v>
      </c>
      <c r="F22" s="81"/>
      <c r="G22" s="81">
        <v>20.9</v>
      </c>
      <c r="H22" s="81"/>
      <c r="I22" s="81">
        <v>20.9</v>
      </c>
      <c r="J22" s="81"/>
      <c r="K22" s="82">
        <v>20.9</v>
      </c>
    </row>
    <row r="23" spans="1:11" x14ac:dyDescent="0.2">
      <c r="A23" s="563" t="s">
        <v>137</v>
      </c>
      <c r="B23" s="563"/>
      <c r="C23" s="563"/>
      <c r="D23" s="77"/>
      <c r="E23" s="81">
        <v>101.2</v>
      </c>
      <c r="F23" s="81"/>
      <c r="G23" s="81">
        <v>96</v>
      </c>
      <c r="H23" s="81"/>
      <c r="I23" s="81">
        <v>101.4</v>
      </c>
      <c r="J23" s="81"/>
      <c r="K23" s="82">
        <v>99.533333333333346</v>
      </c>
    </row>
    <row r="24" spans="1:11" x14ac:dyDescent="0.2">
      <c r="A24" s="563" t="s">
        <v>138</v>
      </c>
      <c r="B24" s="563"/>
      <c r="C24" s="563"/>
      <c r="D24" s="93"/>
      <c r="E24" s="93">
        <v>132</v>
      </c>
      <c r="F24" s="82"/>
      <c r="G24" s="93">
        <v>116</v>
      </c>
      <c r="H24" s="93"/>
      <c r="I24" s="93">
        <v>131</v>
      </c>
      <c r="J24" s="93"/>
      <c r="K24" s="82">
        <v>126.33333333333333</v>
      </c>
    </row>
    <row r="25" spans="1:11" hidden="1" x14ac:dyDescent="0.2">
      <c r="A25" s="552" t="s">
        <v>139</v>
      </c>
      <c r="B25" s="552" t="s">
        <v>140</v>
      </c>
      <c r="C25" s="552" t="s">
        <v>140</v>
      </c>
      <c r="D25" s="77"/>
      <c r="E25" s="94" t="s">
        <v>71</v>
      </c>
      <c r="F25" s="81"/>
      <c r="G25" s="94" t="s">
        <v>71</v>
      </c>
      <c r="H25" s="81"/>
      <c r="I25" s="94" t="b">
        <v>0</v>
      </c>
      <c r="J25" s="81"/>
      <c r="K25" s="95" t="e">
        <v>#REF!</v>
      </c>
    </row>
    <row r="26" spans="1:11" hidden="1" x14ac:dyDescent="0.2">
      <c r="A26" s="564" t="s">
        <v>141</v>
      </c>
      <c r="B26" s="565"/>
      <c r="C26" s="565"/>
      <c r="D26" s="565"/>
      <c r="E26" s="565"/>
      <c r="F26" s="565"/>
      <c r="G26" s="565"/>
      <c r="H26" s="565"/>
      <c r="I26" s="565"/>
      <c r="J26" s="565"/>
      <c r="K26" s="566"/>
    </row>
    <row r="27" spans="1:11" hidden="1" x14ac:dyDescent="0.2">
      <c r="A27" s="562" t="s">
        <v>142</v>
      </c>
      <c r="B27" s="562"/>
      <c r="C27" s="562"/>
      <c r="D27" s="96"/>
      <c r="E27" s="86">
        <v>17319.599999999999</v>
      </c>
      <c r="F27" s="96"/>
      <c r="G27" s="87">
        <v>6151.170000000001</v>
      </c>
      <c r="H27" s="96"/>
      <c r="I27" s="87" t="s">
        <v>71</v>
      </c>
      <c r="J27" s="96"/>
      <c r="K27" s="86" t="e">
        <v>#REF!</v>
      </c>
    </row>
    <row r="28" spans="1:11" hidden="1" x14ac:dyDescent="0.2">
      <c r="A28" s="563" t="s">
        <v>58</v>
      </c>
      <c r="B28" s="563"/>
      <c r="C28" s="563"/>
      <c r="D28" s="96"/>
      <c r="E28" s="99">
        <v>0.63619999999999999</v>
      </c>
      <c r="F28" s="96"/>
      <c r="G28" s="99">
        <v>0.2382</v>
      </c>
      <c r="H28" s="96"/>
      <c r="I28" s="99" t="s">
        <v>71</v>
      </c>
      <c r="J28" s="96"/>
      <c r="K28" s="100" t="e">
        <v>#REF!</v>
      </c>
    </row>
    <row r="29" spans="1:11" hidden="1" x14ac:dyDescent="0.2">
      <c r="A29" s="563" t="s">
        <v>143</v>
      </c>
      <c r="B29" s="563"/>
      <c r="C29" s="563"/>
      <c r="D29" s="101"/>
      <c r="E29" s="102">
        <v>4.8196000000000003</v>
      </c>
      <c r="F29" s="81"/>
      <c r="G29" s="102">
        <v>2.0537999999999998</v>
      </c>
      <c r="H29" s="81"/>
      <c r="I29" s="102" t="s">
        <v>71</v>
      </c>
      <c r="J29" s="93"/>
      <c r="K29" s="103" t="e">
        <v>#REF!</v>
      </c>
    </row>
    <row r="30" spans="1:11" hidden="1" x14ac:dyDescent="0.2">
      <c r="A30" s="563" t="s">
        <v>144</v>
      </c>
      <c r="B30" s="563"/>
      <c r="C30" s="563"/>
      <c r="D30" s="101"/>
      <c r="E30" s="104" t="e">
        <v>#DIV/0!</v>
      </c>
      <c r="F30" s="81"/>
      <c r="G30" s="104" t="e">
        <v>#VALUE!</v>
      </c>
      <c r="H30" s="81"/>
      <c r="I30" s="104" t="e">
        <v>#VALUE!</v>
      </c>
      <c r="J30" s="93"/>
      <c r="K30" s="100" t="e">
        <v>#DIV/0!</v>
      </c>
    </row>
    <row r="31" spans="1:11" x14ac:dyDescent="0.2">
      <c r="A31" s="558" t="s">
        <v>145</v>
      </c>
      <c r="B31" s="559"/>
      <c r="C31" s="559"/>
      <c r="D31" s="559"/>
      <c r="E31" s="559"/>
      <c r="F31" s="559"/>
      <c r="G31" s="559"/>
      <c r="H31" s="559"/>
      <c r="I31" s="559"/>
      <c r="J31" s="559"/>
      <c r="K31" s="560"/>
    </row>
    <row r="32" spans="1:11" x14ac:dyDescent="0.2">
      <c r="A32" s="557" t="s">
        <v>142</v>
      </c>
      <c r="B32" s="557"/>
      <c r="C32" s="557"/>
      <c r="D32" s="105" t="s">
        <v>71</v>
      </c>
      <c r="E32" s="98">
        <v>3081</v>
      </c>
      <c r="F32" s="128" t="s">
        <v>71</v>
      </c>
      <c r="G32" s="98">
        <v>901</v>
      </c>
      <c r="H32" s="128" t="s">
        <v>71</v>
      </c>
      <c r="I32" s="98">
        <v>1781</v>
      </c>
      <c r="J32" s="98"/>
      <c r="K32" s="98">
        <v>1921</v>
      </c>
    </row>
    <row r="33" spans="1:11" x14ac:dyDescent="0.2">
      <c r="A33" s="557" t="s">
        <v>147</v>
      </c>
      <c r="B33" s="557"/>
      <c r="C33" s="557"/>
      <c r="D33" s="105" t="s">
        <v>71</v>
      </c>
      <c r="E33" s="107">
        <v>71.385000000000005</v>
      </c>
      <c r="F33" s="105" t="s">
        <v>71</v>
      </c>
      <c r="G33" s="107">
        <v>20.106999999999999</v>
      </c>
      <c r="H33" s="105" t="s">
        <v>71</v>
      </c>
      <c r="I33" s="107">
        <v>51.185000000000002</v>
      </c>
      <c r="J33" s="87"/>
      <c r="K33" s="98">
        <v>47.559000000000005</v>
      </c>
    </row>
    <row r="34" spans="1:11" x14ac:dyDescent="0.2">
      <c r="A34" s="557" t="s">
        <v>148</v>
      </c>
      <c r="B34" s="557"/>
      <c r="C34" s="557"/>
      <c r="D34" s="105" t="s">
        <v>71</v>
      </c>
      <c r="E34" s="107">
        <v>80.13</v>
      </c>
      <c r="F34" s="105" t="s">
        <v>71</v>
      </c>
      <c r="G34" s="107">
        <v>22.57</v>
      </c>
      <c r="H34" s="105" t="s">
        <v>71</v>
      </c>
      <c r="I34" s="107">
        <v>57.46</v>
      </c>
      <c r="J34" s="87"/>
      <c r="K34" s="98">
        <v>53.386666666666663</v>
      </c>
    </row>
    <row r="35" spans="1:11" x14ac:dyDescent="0.2">
      <c r="A35" s="557" t="s">
        <v>58</v>
      </c>
      <c r="B35" s="557"/>
      <c r="C35" s="557"/>
      <c r="D35" s="105" t="s">
        <v>71</v>
      </c>
      <c r="E35" s="109">
        <v>0.11317199999999999</v>
      </c>
      <c r="F35" s="110" t="s">
        <v>71</v>
      </c>
      <c r="G35" s="109">
        <v>3.4896999999999997E-2</v>
      </c>
      <c r="H35" s="110" t="s">
        <v>71</v>
      </c>
      <c r="I35" s="109">
        <v>6.5531000000000006E-2</v>
      </c>
      <c r="J35" s="112"/>
      <c r="K35" s="112">
        <v>7.1199999999999999E-2</v>
      </c>
    </row>
    <row r="36" spans="1:11" x14ac:dyDescent="0.2">
      <c r="A36" s="557" t="s">
        <v>149</v>
      </c>
      <c r="B36" s="557"/>
      <c r="C36" s="557"/>
      <c r="D36" s="105" t="s">
        <v>71</v>
      </c>
      <c r="E36" s="109">
        <v>8.5736363636363636E-4</v>
      </c>
      <c r="F36" s="110" t="s">
        <v>71</v>
      </c>
      <c r="G36" s="109">
        <v>3.0083620689655172E-4</v>
      </c>
      <c r="H36" s="110" t="s">
        <v>71</v>
      </c>
      <c r="I36" s="109">
        <v>5.0023664122137411E-4</v>
      </c>
      <c r="J36" s="112"/>
      <c r="K36" s="112">
        <v>5.5281216149385406E-4</v>
      </c>
    </row>
    <row r="37" spans="1:11" ht="16" x14ac:dyDescent="0.2">
      <c r="A37" s="563" t="s">
        <v>150</v>
      </c>
      <c r="B37" s="563"/>
      <c r="C37" s="563"/>
      <c r="D37" s="105"/>
      <c r="E37" s="113">
        <f>E36</f>
        <v>8.5736363636363636E-4</v>
      </c>
      <c r="F37" s="110"/>
      <c r="G37" s="113">
        <f>G36</f>
        <v>3.0083620689655172E-4</v>
      </c>
      <c r="H37" s="110"/>
      <c r="I37" s="113">
        <f>I36</f>
        <v>5.0023664122137411E-4</v>
      </c>
      <c r="J37" s="112"/>
      <c r="K37" s="114">
        <f>AVERAGE(E37,G37,I37)</f>
        <v>5.5281216149385406E-4</v>
      </c>
    </row>
    <row r="38" spans="1:11" x14ac:dyDescent="0.2">
      <c r="A38" s="558" t="s">
        <v>151</v>
      </c>
      <c r="B38" s="559"/>
      <c r="C38" s="559"/>
      <c r="D38" s="559"/>
      <c r="E38" s="559"/>
      <c r="F38" s="559"/>
      <c r="G38" s="559"/>
      <c r="H38" s="559"/>
      <c r="I38" s="559"/>
      <c r="J38" s="559"/>
      <c r="K38" s="560"/>
    </row>
    <row r="39" spans="1:11" x14ac:dyDescent="0.2">
      <c r="A39" s="557" t="s">
        <v>142</v>
      </c>
      <c r="B39" s="557"/>
      <c r="C39" s="557"/>
      <c r="D39" s="105" t="s">
        <v>71</v>
      </c>
      <c r="E39" s="87">
        <v>7.4</v>
      </c>
      <c r="F39" s="105" t="s">
        <v>71</v>
      </c>
      <c r="G39" s="87">
        <v>6.6</v>
      </c>
      <c r="H39" s="105"/>
      <c r="I39" s="87">
        <v>20</v>
      </c>
      <c r="J39" s="87"/>
      <c r="K39" s="98">
        <v>11.333333333333334</v>
      </c>
    </row>
    <row r="40" spans="1:11" x14ac:dyDescent="0.2">
      <c r="A40" s="557" t="s">
        <v>147</v>
      </c>
      <c r="B40" s="557"/>
      <c r="C40" s="557"/>
      <c r="D40" s="105" t="s">
        <v>71</v>
      </c>
      <c r="E40" s="107">
        <v>3.7999999999999999E-2</v>
      </c>
      <c r="F40" s="105" t="s">
        <v>71</v>
      </c>
      <c r="G40" s="107">
        <v>3.3000000000000002E-2</v>
      </c>
      <c r="H40" s="105"/>
      <c r="I40" s="107">
        <v>0.127</v>
      </c>
      <c r="J40" s="87"/>
      <c r="K40" s="98">
        <v>6.6000000000000003E-2</v>
      </c>
    </row>
    <row r="41" spans="1:11" x14ac:dyDescent="0.2">
      <c r="A41" s="557" t="s">
        <v>148</v>
      </c>
      <c r="B41" s="557"/>
      <c r="C41" s="557"/>
      <c r="D41" s="105" t="s">
        <v>71</v>
      </c>
      <c r="E41" s="107">
        <v>0.19</v>
      </c>
      <c r="F41" s="105" t="s">
        <v>71</v>
      </c>
      <c r="G41" s="107">
        <v>0.17</v>
      </c>
      <c r="H41" s="105"/>
      <c r="I41" s="107">
        <v>0.65</v>
      </c>
      <c r="J41" s="87"/>
      <c r="K41" s="98">
        <v>0.33666666666666667</v>
      </c>
    </row>
    <row r="42" spans="1:11" x14ac:dyDescent="0.2">
      <c r="A42" s="557" t="s">
        <v>58</v>
      </c>
      <c r="B42" s="557"/>
      <c r="C42" s="557"/>
      <c r="D42" s="105" t="s">
        <v>71</v>
      </c>
      <c r="E42" s="109">
        <v>2.72E-4</v>
      </c>
      <c r="F42" s="110" t="s">
        <v>71</v>
      </c>
      <c r="G42" s="109">
        <v>2.5599999999999999E-4</v>
      </c>
      <c r="H42" s="110"/>
      <c r="I42" s="109">
        <v>7.36E-4</v>
      </c>
      <c r="J42" s="112"/>
      <c r="K42" s="112">
        <v>4.2133333333333329E-4</v>
      </c>
    </row>
    <row r="43" spans="1:11" x14ac:dyDescent="0.2">
      <c r="A43" s="557" t="s">
        <v>149</v>
      </c>
      <c r="B43" s="557"/>
      <c r="C43" s="557"/>
      <c r="D43" s="105" t="s">
        <v>71</v>
      </c>
      <c r="E43" s="109">
        <v>2.0606060606060607E-6</v>
      </c>
      <c r="F43" s="110" t="s">
        <v>71</v>
      </c>
      <c r="G43" s="109">
        <v>2.2068965517241377E-6</v>
      </c>
      <c r="H43" s="110"/>
      <c r="I43" s="109">
        <v>5.6183206106870226E-6</v>
      </c>
      <c r="J43" s="112"/>
      <c r="K43" s="112">
        <v>3.295274407672407E-6</v>
      </c>
    </row>
    <row r="44" spans="1:11" ht="16" x14ac:dyDescent="0.2">
      <c r="A44" s="563" t="s">
        <v>150</v>
      </c>
      <c r="B44" s="563"/>
      <c r="C44" s="563"/>
      <c r="D44" s="105"/>
      <c r="E44" s="113">
        <f>E43</f>
        <v>2.0606060606060607E-6</v>
      </c>
      <c r="F44" s="110"/>
      <c r="G44" s="113">
        <f>G43</f>
        <v>2.2068965517241377E-6</v>
      </c>
      <c r="H44" s="110"/>
      <c r="I44" s="113">
        <f>I43</f>
        <v>5.6183206106870226E-6</v>
      </c>
      <c r="J44" s="112"/>
      <c r="K44" s="114">
        <f>AVERAGE(E44,G44,I44)</f>
        <v>3.295274407672407E-6</v>
      </c>
    </row>
    <row r="45" spans="1:11" x14ac:dyDescent="0.2">
      <c r="A45" s="558" t="s">
        <v>152</v>
      </c>
      <c r="B45" s="559"/>
      <c r="C45" s="559"/>
      <c r="D45" s="559"/>
      <c r="E45" s="559"/>
      <c r="F45" s="559"/>
      <c r="G45" s="559"/>
      <c r="H45" s="559"/>
      <c r="I45" s="559"/>
      <c r="J45" s="559"/>
      <c r="K45" s="560"/>
    </row>
    <row r="46" spans="1:11" x14ac:dyDescent="0.2">
      <c r="A46" s="557" t="s">
        <v>142</v>
      </c>
      <c r="B46" s="557"/>
      <c r="C46" s="557"/>
      <c r="D46" s="105" t="s">
        <v>71</v>
      </c>
      <c r="E46" s="87">
        <v>13</v>
      </c>
      <c r="F46" s="105" t="s">
        <v>71</v>
      </c>
      <c r="G46" s="87">
        <v>12</v>
      </c>
      <c r="H46" s="105"/>
      <c r="I46" s="87">
        <v>31</v>
      </c>
      <c r="J46" s="87"/>
      <c r="K46" s="98">
        <v>18.666666666666668</v>
      </c>
    </row>
    <row r="47" spans="1:11" x14ac:dyDescent="0.2">
      <c r="A47" s="557" t="s">
        <v>147</v>
      </c>
      <c r="B47" s="557"/>
      <c r="C47" s="557"/>
      <c r="D47" s="105" t="s">
        <v>71</v>
      </c>
      <c r="E47" s="107">
        <v>0.108</v>
      </c>
      <c r="F47" s="105" t="s">
        <v>71</v>
      </c>
      <c r="G47" s="107">
        <v>9.6000000000000002E-2</v>
      </c>
      <c r="H47" s="105"/>
      <c r="I47" s="107">
        <v>0.32100000000000001</v>
      </c>
      <c r="J47" s="87"/>
      <c r="K47" s="98">
        <v>0.17500000000000002</v>
      </c>
    </row>
    <row r="48" spans="1:11" x14ac:dyDescent="0.2">
      <c r="A48" s="557" t="s">
        <v>148</v>
      </c>
      <c r="B48" s="557"/>
      <c r="C48" s="557"/>
      <c r="D48" s="105" t="s">
        <v>71</v>
      </c>
      <c r="E48" s="107">
        <v>0.34</v>
      </c>
      <c r="F48" s="105" t="s">
        <v>71</v>
      </c>
      <c r="G48" s="107">
        <v>0.3</v>
      </c>
      <c r="H48" s="105"/>
      <c r="I48" s="107">
        <v>1</v>
      </c>
      <c r="J48" s="87"/>
      <c r="K48" s="98">
        <v>0.54666666666666675</v>
      </c>
    </row>
    <row r="49" spans="1:11" x14ac:dyDescent="0.2">
      <c r="A49" s="557" t="s">
        <v>58</v>
      </c>
      <c r="B49" s="557"/>
      <c r="C49" s="557"/>
      <c r="D49" s="105" t="s">
        <v>71</v>
      </c>
      <c r="E49" s="109">
        <v>4.7800000000000002E-4</v>
      </c>
      <c r="F49" s="110" t="s">
        <v>71</v>
      </c>
      <c r="G49" s="109">
        <v>4.6500000000000003E-4</v>
      </c>
      <c r="H49" s="110"/>
      <c r="I49" s="109">
        <v>1.1410000000000001E-3</v>
      </c>
      <c r="J49" s="112"/>
      <c r="K49" s="112">
        <v>6.9466666666666667E-4</v>
      </c>
    </row>
    <row r="50" spans="1:11" x14ac:dyDescent="0.2">
      <c r="A50" s="557" t="s">
        <v>149</v>
      </c>
      <c r="B50" s="557"/>
      <c r="C50" s="557"/>
      <c r="D50" s="105" t="s">
        <v>71</v>
      </c>
      <c r="E50" s="109">
        <v>3.6212121212121212E-6</v>
      </c>
      <c r="F50" s="110" t="s">
        <v>71</v>
      </c>
      <c r="G50" s="109">
        <v>4.0086206896551724E-6</v>
      </c>
      <c r="H50" s="110"/>
      <c r="I50" s="109">
        <v>8.7099236641221376E-6</v>
      </c>
      <c r="J50" s="112"/>
      <c r="K50" s="112">
        <v>5.4465854916631434E-6</v>
      </c>
    </row>
    <row r="51" spans="1:11" ht="16" x14ac:dyDescent="0.2">
      <c r="A51" s="563" t="s">
        <v>150</v>
      </c>
      <c r="B51" s="563"/>
      <c r="C51" s="563"/>
      <c r="D51" s="105"/>
      <c r="E51" s="113">
        <f>E50</f>
        <v>3.6212121212121212E-6</v>
      </c>
      <c r="F51" s="110"/>
      <c r="G51" s="113">
        <f>G50</f>
        <v>4.0086206896551724E-6</v>
      </c>
      <c r="H51" s="110"/>
      <c r="I51" s="113">
        <f>I50</f>
        <v>8.7099236641221376E-6</v>
      </c>
      <c r="J51" s="112"/>
      <c r="K51" s="114">
        <f>AVERAGE(E51,G51,I51)</f>
        <v>5.4465854916631434E-6</v>
      </c>
    </row>
    <row r="52" spans="1:11" x14ac:dyDescent="0.2">
      <c r="A52" s="558" t="s">
        <v>153</v>
      </c>
      <c r="B52" s="559"/>
      <c r="C52" s="559"/>
      <c r="D52" s="559"/>
      <c r="E52" s="559"/>
      <c r="F52" s="559"/>
      <c r="G52" s="559"/>
      <c r="H52" s="559"/>
      <c r="I52" s="559"/>
      <c r="J52" s="559"/>
      <c r="K52" s="560"/>
    </row>
    <row r="53" spans="1:11" x14ac:dyDescent="0.2">
      <c r="A53" s="557" t="s">
        <v>142</v>
      </c>
      <c r="B53" s="557"/>
      <c r="C53" s="557"/>
      <c r="D53" s="105" t="s">
        <v>146</v>
      </c>
      <c r="E53" s="87">
        <v>2.7</v>
      </c>
      <c r="F53" s="105" t="s">
        <v>146</v>
      </c>
      <c r="G53" s="87">
        <v>0.27</v>
      </c>
      <c r="H53" s="105" t="s">
        <v>146</v>
      </c>
      <c r="I53" s="87">
        <v>2.7</v>
      </c>
      <c r="J53" s="87" t="s">
        <v>146</v>
      </c>
      <c r="K53" s="98">
        <v>1.89</v>
      </c>
    </row>
    <row r="54" spans="1:11" x14ac:dyDescent="0.2">
      <c r="A54" s="557" t="s">
        <v>147</v>
      </c>
      <c r="B54" s="557"/>
      <c r="C54" s="557"/>
      <c r="D54" s="105" t="s">
        <v>146</v>
      </c>
      <c r="E54" s="107">
        <v>0.187</v>
      </c>
      <c r="F54" s="105" t="s">
        <v>146</v>
      </c>
      <c r="G54" s="107">
        <v>1.7999999999999999E-2</v>
      </c>
      <c r="H54" s="105" t="s">
        <v>146</v>
      </c>
      <c r="I54" s="107">
        <v>0.23200000000000001</v>
      </c>
      <c r="J54" s="87" t="s">
        <v>146</v>
      </c>
      <c r="K54" s="98">
        <v>0.14566666666666667</v>
      </c>
    </row>
    <row r="55" spans="1:11" x14ac:dyDescent="0.2">
      <c r="A55" s="557" t="s">
        <v>148</v>
      </c>
      <c r="B55" s="557"/>
      <c r="C55" s="557"/>
      <c r="D55" s="105" t="s">
        <v>146</v>
      </c>
      <c r="E55" s="107">
        <v>7.0000000000000007E-2</v>
      </c>
      <c r="F55" s="105" t="s">
        <v>146</v>
      </c>
      <c r="G55" s="107">
        <v>7.0000000000000001E-3</v>
      </c>
      <c r="H55" s="105" t="s">
        <v>146</v>
      </c>
      <c r="I55" s="107">
        <v>0.09</v>
      </c>
      <c r="J55" s="87" t="s">
        <v>146</v>
      </c>
      <c r="K55" s="98">
        <v>5.566666666666667E-2</v>
      </c>
    </row>
    <row r="56" spans="1:11" x14ac:dyDescent="0.2">
      <c r="A56" s="557" t="s">
        <v>58</v>
      </c>
      <c r="B56" s="557"/>
      <c r="C56" s="557"/>
      <c r="D56" s="105" t="s">
        <v>146</v>
      </c>
      <c r="E56" s="109">
        <v>9.8999999999999994E-5</v>
      </c>
      <c r="F56" s="110" t="s">
        <v>146</v>
      </c>
      <c r="G56" s="109">
        <v>1.0000000000000001E-5</v>
      </c>
      <c r="H56" s="110" t="s">
        <v>146</v>
      </c>
      <c r="I56" s="109">
        <v>9.8999999999999994E-5</v>
      </c>
      <c r="J56" s="112" t="s">
        <v>146</v>
      </c>
      <c r="K56" s="112">
        <v>6.9333333333333329E-5</v>
      </c>
    </row>
    <row r="57" spans="1:11" x14ac:dyDescent="0.2">
      <c r="A57" s="557" t="s">
        <v>149</v>
      </c>
      <c r="B57" s="557"/>
      <c r="C57" s="557"/>
      <c r="D57" s="105" t="s">
        <v>146</v>
      </c>
      <c r="E57" s="109">
        <v>7.4999999999999991E-7</v>
      </c>
      <c r="F57" s="110" t="s">
        <v>146</v>
      </c>
      <c r="G57" s="109">
        <v>8.620689655172414E-8</v>
      </c>
      <c r="H57" s="110" t="s">
        <v>146</v>
      </c>
      <c r="I57" s="109">
        <v>7.557251908396946E-7</v>
      </c>
      <c r="J57" s="112" t="s">
        <v>146</v>
      </c>
      <c r="K57" s="112">
        <v>5.3064402913047282E-7</v>
      </c>
    </row>
    <row r="58" spans="1:11" ht="16" x14ac:dyDescent="0.2">
      <c r="A58" s="563" t="s">
        <v>150</v>
      </c>
      <c r="B58" s="563"/>
      <c r="C58" s="563"/>
      <c r="D58" s="105"/>
      <c r="E58" s="113">
        <v>0</v>
      </c>
      <c r="F58" s="110"/>
      <c r="G58" s="113">
        <v>0</v>
      </c>
      <c r="H58" s="110"/>
      <c r="I58" s="113">
        <v>0</v>
      </c>
      <c r="J58" s="112"/>
      <c r="K58" s="114">
        <f>AVERAGE(E58,G58,I58)</f>
        <v>0</v>
      </c>
    </row>
    <row r="59" spans="1:11" x14ac:dyDescent="0.2">
      <c r="A59" s="558" t="s">
        <v>154</v>
      </c>
      <c r="B59" s="559"/>
      <c r="C59" s="559"/>
      <c r="D59" s="559"/>
      <c r="E59" s="559"/>
      <c r="F59" s="559"/>
      <c r="G59" s="559"/>
      <c r="H59" s="559"/>
      <c r="I59" s="559"/>
      <c r="J59" s="559"/>
      <c r="K59" s="560"/>
    </row>
    <row r="60" spans="1:11" x14ac:dyDescent="0.2">
      <c r="A60" s="557" t="s">
        <v>142</v>
      </c>
      <c r="B60" s="557"/>
      <c r="C60" s="557"/>
      <c r="D60" s="105" t="s">
        <v>71</v>
      </c>
      <c r="E60" s="87">
        <v>40.6</v>
      </c>
      <c r="F60" s="105" t="s">
        <v>71</v>
      </c>
      <c r="G60" s="87">
        <v>32.6</v>
      </c>
      <c r="H60" s="105" t="s">
        <v>71</v>
      </c>
      <c r="I60" s="87">
        <v>95.6</v>
      </c>
      <c r="J60" s="87"/>
      <c r="K60" s="98">
        <v>56.266666666666673</v>
      </c>
    </row>
    <row r="61" spans="1:11" x14ac:dyDescent="0.2">
      <c r="A61" s="557" t="s">
        <v>147</v>
      </c>
      <c r="B61" s="557"/>
      <c r="C61" s="557"/>
      <c r="D61" s="105" t="s">
        <v>71</v>
      </c>
      <c r="E61" s="107">
        <v>0.48799999999999999</v>
      </c>
      <c r="F61" s="105" t="s">
        <v>71</v>
      </c>
      <c r="G61" s="107">
        <v>0.378</v>
      </c>
      <c r="H61" s="105" t="s">
        <v>71</v>
      </c>
      <c r="I61" s="107">
        <v>1.4259999999999999</v>
      </c>
      <c r="J61" s="87"/>
      <c r="K61" s="98">
        <v>0.7639999999999999</v>
      </c>
    </row>
    <row r="62" spans="1:11" x14ac:dyDescent="0.2">
      <c r="A62" s="557" t="s">
        <v>148</v>
      </c>
      <c r="B62" s="557"/>
      <c r="C62" s="557"/>
      <c r="D62" s="105" t="s">
        <v>71</v>
      </c>
      <c r="E62" s="107">
        <v>1.06</v>
      </c>
      <c r="F62" s="105" t="s">
        <v>71</v>
      </c>
      <c r="G62" s="107">
        <v>0.82</v>
      </c>
      <c r="H62" s="105" t="s">
        <v>71</v>
      </c>
      <c r="I62" s="107">
        <v>3.08</v>
      </c>
      <c r="J62" s="87"/>
      <c r="K62" s="98">
        <v>1.6533333333333333</v>
      </c>
    </row>
    <row r="63" spans="1:11" x14ac:dyDescent="0.2">
      <c r="A63" s="557" t="s">
        <v>58</v>
      </c>
      <c r="B63" s="557"/>
      <c r="C63" s="557"/>
      <c r="D63" s="105" t="s">
        <v>71</v>
      </c>
      <c r="E63" s="109">
        <v>1.4909999999999999E-3</v>
      </c>
      <c r="F63" s="110" t="s">
        <v>71</v>
      </c>
      <c r="G63" s="109">
        <v>1.263E-3</v>
      </c>
      <c r="H63" s="110" t="s">
        <v>71</v>
      </c>
      <c r="I63" s="109">
        <v>3.5179999999999999E-3</v>
      </c>
      <c r="J63" s="112"/>
      <c r="K63" s="112">
        <v>2.0906666666666665E-3</v>
      </c>
    </row>
    <row r="64" spans="1:11" x14ac:dyDescent="0.2">
      <c r="A64" s="557" t="s">
        <v>149</v>
      </c>
      <c r="B64" s="557"/>
      <c r="C64" s="557"/>
      <c r="D64" s="105" t="s">
        <v>71</v>
      </c>
      <c r="E64" s="109">
        <v>1.1295454545454545E-5</v>
      </c>
      <c r="F64" s="110" t="s">
        <v>71</v>
      </c>
      <c r="G64" s="109">
        <v>1.0887931034482758E-5</v>
      </c>
      <c r="H64" s="110" t="s">
        <v>71</v>
      </c>
      <c r="I64" s="109">
        <v>2.6854961832061067E-5</v>
      </c>
      <c r="J64" s="112"/>
      <c r="K64" s="112">
        <v>1.6346115803999456E-5</v>
      </c>
    </row>
    <row r="65" spans="1:11" ht="16" x14ac:dyDescent="0.2">
      <c r="A65" s="563" t="s">
        <v>150</v>
      </c>
      <c r="B65" s="563"/>
      <c r="C65" s="563"/>
      <c r="D65" s="105"/>
      <c r="E65" s="113">
        <f>E64</f>
        <v>1.1295454545454545E-5</v>
      </c>
      <c r="F65" s="110"/>
      <c r="G65" s="113">
        <f>G64</f>
        <v>1.0887931034482758E-5</v>
      </c>
      <c r="H65" s="110"/>
      <c r="I65" s="113">
        <f>I64</f>
        <v>2.6854961832061067E-5</v>
      </c>
      <c r="J65" s="112"/>
      <c r="K65" s="114">
        <f>AVERAGE(E65,G65,I65)</f>
        <v>1.6346115803999456E-5</v>
      </c>
    </row>
    <row r="66" spans="1:11" x14ac:dyDescent="0.2">
      <c r="A66" s="558" t="s">
        <v>155</v>
      </c>
      <c r="B66" s="559"/>
      <c r="C66" s="559"/>
      <c r="D66" s="559"/>
      <c r="E66" s="559"/>
      <c r="F66" s="559"/>
      <c r="G66" s="559"/>
      <c r="H66" s="559"/>
      <c r="I66" s="559"/>
      <c r="J66" s="559"/>
      <c r="K66" s="560"/>
    </row>
    <row r="67" spans="1:11" x14ac:dyDescent="0.2">
      <c r="A67" s="557" t="s">
        <v>142</v>
      </c>
      <c r="B67" s="557"/>
      <c r="C67" s="557"/>
      <c r="D67" s="105" t="s">
        <v>71</v>
      </c>
      <c r="E67" s="87">
        <v>9.9</v>
      </c>
      <c r="F67" s="105" t="s">
        <v>71</v>
      </c>
      <c r="G67" s="87">
        <v>3.8</v>
      </c>
      <c r="H67" s="105" t="s">
        <v>71</v>
      </c>
      <c r="I67" s="87">
        <v>8.1999999999999993</v>
      </c>
      <c r="J67" s="87"/>
      <c r="K67" s="98">
        <v>7.3</v>
      </c>
    </row>
    <row r="68" spans="1:11" x14ac:dyDescent="0.2">
      <c r="A68" s="557" t="s">
        <v>147</v>
      </c>
      <c r="B68" s="557"/>
      <c r="C68" s="557"/>
      <c r="D68" s="105" t="s">
        <v>71</v>
      </c>
      <c r="E68" s="107">
        <v>0.105</v>
      </c>
      <c r="F68" s="105" t="s">
        <v>71</v>
      </c>
      <c r="G68" s="107">
        <v>3.9E-2</v>
      </c>
      <c r="H68" s="105" t="s">
        <v>71</v>
      </c>
      <c r="I68" s="107">
        <v>0.108</v>
      </c>
      <c r="J68" s="87"/>
      <c r="K68" s="98">
        <v>8.4000000000000005E-2</v>
      </c>
    </row>
    <row r="69" spans="1:11" x14ac:dyDescent="0.2">
      <c r="A69" s="557" t="s">
        <v>148</v>
      </c>
      <c r="B69" s="557"/>
      <c r="C69" s="557"/>
      <c r="D69" s="105" t="s">
        <v>71</v>
      </c>
      <c r="E69" s="107">
        <v>0.26</v>
      </c>
      <c r="F69" s="105" t="s">
        <v>71</v>
      </c>
      <c r="G69" s="107">
        <v>0.1</v>
      </c>
      <c r="H69" s="105" t="s">
        <v>71</v>
      </c>
      <c r="I69" s="107">
        <v>0.26</v>
      </c>
      <c r="J69" s="87"/>
      <c r="K69" s="98">
        <v>0.20666666666666667</v>
      </c>
    </row>
    <row r="70" spans="1:11" x14ac:dyDescent="0.2">
      <c r="A70" s="557" t="s">
        <v>58</v>
      </c>
      <c r="B70" s="557"/>
      <c r="C70" s="557"/>
      <c r="D70" s="105" t="s">
        <v>71</v>
      </c>
      <c r="E70" s="109">
        <v>4.0000000000000002E-4</v>
      </c>
      <c r="F70" s="110" t="s">
        <v>71</v>
      </c>
      <c r="G70" s="109">
        <v>1.3957999999999999E-4</v>
      </c>
      <c r="H70" s="110" t="s">
        <v>71</v>
      </c>
      <c r="I70" s="109">
        <v>2.9999999999999997E-4</v>
      </c>
      <c r="J70" s="112"/>
      <c r="K70" s="112">
        <v>2.7985999999999999E-4</v>
      </c>
    </row>
    <row r="71" spans="1:11" x14ac:dyDescent="0.2">
      <c r="A71" s="557" t="s">
        <v>149</v>
      </c>
      <c r="B71" s="557"/>
      <c r="C71" s="557"/>
      <c r="D71" s="105" t="s">
        <v>71</v>
      </c>
      <c r="E71" s="109">
        <v>3.0303030303030305E-6</v>
      </c>
      <c r="F71" s="110" t="s">
        <v>71</v>
      </c>
      <c r="G71" s="109">
        <v>1.2032758620689655E-6</v>
      </c>
      <c r="H71" s="110" t="s">
        <v>71</v>
      </c>
      <c r="I71" s="109">
        <v>2.2900763358778625E-6</v>
      </c>
      <c r="J71" s="112"/>
      <c r="K71" s="112">
        <v>2.1745517427499528E-6</v>
      </c>
    </row>
    <row r="72" spans="1:11" ht="16" x14ac:dyDescent="0.2">
      <c r="A72" s="563" t="s">
        <v>150</v>
      </c>
      <c r="B72" s="563"/>
      <c r="C72" s="563"/>
      <c r="D72" s="105"/>
      <c r="E72" s="113">
        <f>E71</f>
        <v>3.0303030303030305E-6</v>
      </c>
      <c r="F72" s="110"/>
      <c r="G72" s="113">
        <f>G71</f>
        <v>1.2032758620689655E-6</v>
      </c>
      <c r="H72" s="110"/>
      <c r="I72" s="113">
        <f>I71</f>
        <v>2.2900763358778625E-6</v>
      </c>
      <c r="J72" s="112"/>
      <c r="K72" s="114">
        <f>AVERAGE(E72,G72,I72)</f>
        <v>2.1745517427499528E-6</v>
      </c>
    </row>
    <row r="73" spans="1:11" x14ac:dyDescent="0.2">
      <c r="A73" s="558" t="s">
        <v>156</v>
      </c>
      <c r="B73" s="559"/>
      <c r="C73" s="559"/>
      <c r="D73" s="559"/>
      <c r="E73" s="559"/>
      <c r="F73" s="559"/>
      <c r="G73" s="559"/>
      <c r="H73" s="559"/>
      <c r="I73" s="559"/>
      <c r="J73" s="559"/>
      <c r="K73" s="560"/>
    </row>
    <row r="74" spans="1:11" x14ac:dyDescent="0.2">
      <c r="A74" s="557" t="s">
        <v>142</v>
      </c>
      <c r="B74" s="557"/>
      <c r="C74" s="557"/>
      <c r="D74" s="105" t="s">
        <v>71</v>
      </c>
      <c r="E74" s="87">
        <v>340</v>
      </c>
      <c r="F74" s="105" t="s">
        <v>71</v>
      </c>
      <c r="G74" s="87">
        <v>360</v>
      </c>
      <c r="H74" s="105" t="s">
        <v>71</v>
      </c>
      <c r="I74" s="87">
        <v>670</v>
      </c>
      <c r="J74" s="87"/>
      <c r="K74" s="98">
        <v>456.66666666666669</v>
      </c>
    </row>
    <row r="75" spans="1:11" x14ac:dyDescent="0.2">
      <c r="A75" s="557" t="s">
        <v>147</v>
      </c>
      <c r="B75" s="557"/>
      <c r="C75" s="557"/>
      <c r="D75" s="105" t="s">
        <v>71</v>
      </c>
      <c r="E75" s="107">
        <v>3.3439999999999999</v>
      </c>
      <c r="F75" s="105" t="s">
        <v>71</v>
      </c>
      <c r="G75" s="107">
        <v>3.411</v>
      </c>
      <c r="H75" s="105" t="s">
        <v>71</v>
      </c>
      <c r="I75" s="107">
        <v>8.1750000000000007</v>
      </c>
      <c r="J75" s="87"/>
      <c r="K75" s="98">
        <v>4.9766666666666666</v>
      </c>
    </row>
    <row r="76" spans="1:11" x14ac:dyDescent="0.2">
      <c r="A76" s="557" t="s">
        <v>148</v>
      </c>
      <c r="B76" s="557"/>
      <c r="C76" s="557"/>
      <c r="D76" s="105" t="s">
        <v>71</v>
      </c>
      <c r="E76" s="107">
        <v>8.84</v>
      </c>
      <c r="F76" s="105" t="s">
        <v>71</v>
      </c>
      <c r="G76" s="107">
        <v>9.02</v>
      </c>
      <c r="H76" s="105" t="s">
        <v>71</v>
      </c>
      <c r="I76" s="107">
        <v>21.62</v>
      </c>
      <c r="J76" s="87"/>
      <c r="K76" s="98">
        <v>13.160000000000002</v>
      </c>
    </row>
    <row r="77" spans="1:11" x14ac:dyDescent="0.2">
      <c r="A77" s="557" t="s">
        <v>58</v>
      </c>
      <c r="B77" s="557"/>
      <c r="C77" s="557"/>
      <c r="D77" s="105" t="s">
        <v>71</v>
      </c>
      <c r="E77" s="109">
        <v>1.2500000000000001E-2</v>
      </c>
      <c r="F77" s="110" t="s">
        <v>71</v>
      </c>
      <c r="G77" s="109">
        <v>1.3899999999999999E-2</v>
      </c>
      <c r="H77" s="110" t="s">
        <v>71</v>
      </c>
      <c r="I77" s="109">
        <v>2.47E-2</v>
      </c>
      <c r="J77" s="112"/>
      <c r="K77" s="112">
        <v>1.7033333333333334E-2</v>
      </c>
    </row>
    <row r="78" spans="1:11" x14ac:dyDescent="0.2">
      <c r="A78" s="557" t="s">
        <v>149</v>
      </c>
      <c r="B78" s="557"/>
      <c r="C78" s="557"/>
      <c r="D78" s="105" t="s">
        <v>71</v>
      </c>
      <c r="E78" s="109">
        <v>9.4696969696969697E-5</v>
      </c>
      <c r="F78" s="110" t="s">
        <v>71</v>
      </c>
      <c r="G78" s="109">
        <v>1.1982758620689654E-4</v>
      </c>
      <c r="H78" s="110" t="s">
        <v>71</v>
      </c>
      <c r="I78" s="109">
        <v>1.8854961832061068E-4</v>
      </c>
      <c r="J78" s="112"/>
      <c r="K78" s="112">
        <v>1.3435805807482563E-4</v>
      </c>
    </row>
    <row r="79" spans="1:11" ht="16" x14ac:dyDescent="0.2">
      <c r="A79" s="563" t="s">
        <v>150</v>
      </c>
      <c r="B79" s="563"/>
      <c r="C79" s="563"/>
      <c r="D79" s="105"/>
      <c r="E79" s="113">
        <f>E78</f>
        <v>9.4696969696969697E-5</v>
      </c>
      <c r="F79" s="110"/>
      <c r="G79" s="113">
        <f>G78</f>
        <v>1.1982758620689654E-4</v>
      </c>
      <c r="H79" s="110"/>
      <c r="I79" s="113">
        <f>I78</f>
        <v>1.8854961832061068E-4</v>
      </c>
      <c r="J79" s="112"/>
      <c r="K79" s="114">
        <f>AVERAGE(E79,G79,I79)</f>
        <v>1.3435805807482563E-4</v>
      </c>
    </row>
    <row r="80" spans="1:11" x14ac:dyDescent="0.2">
      <c r="A80" s="558" t="s">
        <v>157</v>
      </c>
      <c r="B80" s="559"/>
      <c r="C80" s="559"/>
      <c r="D80" s="559"/>
      <c r="E80" s="559"/>
      <c r="F80" s="559"/>
      <c r="G80" s="559"/>
      <c r="H80" s="559"/>
      <c r="I80" s="559"/>
      <c r="J80" s="559"/>
      <c r="K80" s="560"/>
    </row>
    <row r="81" spans="1:11" x14ac:dyDescent="0.2">
      <c r="A81" s="557" t="s">
        <v>142</v>
      </c>
      <c r="B81" s="557"/>
      <c r="C81" s="557"/>
      <c r="D81" s="105" t="s">
        <v>71</v>
      </c>
      <c r="E81" s="98">
        <v>1300</v>
      </c>
      <c r="F81" s="105" t="s">
        <v>71</v>
      </c>
      <c r="G81" s="87">
        <v>250</v>
      </c>
      <c r="H81" s="105" t="s">
        <v>71</v>
      </c>
      <c r="I81" s="87">
        <v>970</v>
      </c>
      <c r="J81" s="87"/>
      <c r="K81" s="98">
        <v>840</v>
      </c>
    </row>
    <row r="82" spans="1:11" x14ac:dyDescent="0.2">
      <c r="A82" s="557" t="s">
        <v>147</v>
      </c>
      <c r="B82" s="557"/>
      <c r="C82" s="557"/>
      <c r="D82" s="105" t="s">
        <v>71</v>
      </c>
      <c r="E82" s="107">
        <v>3.9220000000000002</v>
      </c>
      <c r="F82" s="105" t="s">
        <v>71</v>
      </c>
      <c r="G82" s="107">
        <v>0.72699999999999998</v>
      </c>
      <c r="H82" s="105" t="s">
        <v>71</v>
      </c>
      <c r="I82" s="107">
        <v>3.63</v>
      </c>
      <c r="J82" s="87"/>
      <c r="K82" s="98">
        <v>2.7596666666666665</v>
      </c>
    </row>
    <row r="83" spans="1:11" x14ac:dyDescent="0.2">
      <c r="A83" s="557" t="s">
        <v>148</v>
      </c>
      <c r="B83" s="557"/>
      <c r="C83" s="557"/>
      <c r="D83" s="105" t="s">
        <v>71</v>
      </c>
      <c r="E83" s="107">
        <v>33.81</v>
      </c>
      <c r="F83" s="105" t="s">
        <v>71</v>
      </c>
      <c r="G83" s="107">
        <v>6.26</v>
      </c>
      <c r="H83" s="105" t="s">
        <v>71</v>
      </c>
      <c r="I83" s="107">
        <v>31.29</v>
      </c>
      <c r="J83" s="87"/>
      <c r="K83" s="98">
        <v>23.786666666666665</v>
      </c>
    </row>
    <row r="84" spans="1:11" x14ac:dyDescent="0.2">
      <c r="A84" s="557" t="s">
        <v>58</v>
      </c>
      <c r="B84" s="557"/>
      <c r="C84" s="557"/>
      <c r="D84" s="105" t="s">
        <v>71</v>
      </c>
      <c r="E84" s="109">
        <v>4.7800000000000002E-2</v>
      </c>
      <c r="F84" s="110" t="s">
        <v>71</v>
      </c>
      <c r="G84" s="109">
        <v>9.7000000000000003E-3</v>
      </c>
      <c r="H84" s="110" t="s">
        <v>71</v>
      </c>
      <c r="I84" s="109">
        <v>3.5700000000000003E-2</v>
      </c>
      <c r="J84" s="112"/>
      <c r="K84" s="112">
        <v>3.106666666666667E-2</v>
      </c>
    </row>
    <row r="85" spans="1:11" x14ac:dyDescent="0.2">
      <c r="A85" s="557" t="s">
        <v>149</v>
      </c>
      <c r="B85" s="557"/>
      <c r="C85" s="557"/>
      <c r="D85" s="105" t="s">
        <v>71</v>
      </c>
      <c r="E85" s="109">
        <v>3.6212121212121211E-4</v>
      </c>
      <c r="F85" s="110" t="s">
        <v>71</v>
      </c>
      <c r="G85" s="109">
        <v>8.3620689655172423E-5</v>
      </c>
      <c r="H85" s="110" t="s">
        <v>71</v>
      </c>
      <c r="I85" s="109">
        <v>2.7251908396946564E-4</v>
      </c>
      <c r="J85" s="112"/>
      <c r="K85" s="112">
        <v>2.3942032858195004E-4</v>
      </c>
    </row>
    <row r="86" spans="1:11" ht="16" x14ac:dyDescent="0.2">
      <c r="A86" s="563" t="s">
        <v>150</v>
      </c>
      <c r="B86" s="563"/>
      <c r="C86" s="563"/>
      <c r="D86" s="105"/>
      <c r="E86" s="113">
        <f>E85</f>
        <v>3.6212121212121211E-4</v>
      </c>
      <c r="F86" s="110"/>
      <c r="G86" s="113">
        <f>G85</f>
        <v>8.3620689655172423E-5</v>
      </c>
      <c r="H86" s="110"/>
      <c r="I86" s="113">
        <f>I85</f>
        <v>2.7251908396946564E-4</v>
      </c>
      <c r="J86" s="112"/>
      <c r="K86" s="114">
        <f>AVERAGE(E86,G86,I86)</f>
        <v>2.3942032858195004E-4</v>
      </c>
    </row>
    <row r="87" spans="1:11" x14ac:dyDescent="0.2">
      <c r="A87" s="558" t="s">
        <v>158</v>
      </c>
      <c r="B87" s="559"/>
      <c r="C87" s="559"/>
      <c r="D87" s="559"/>
      <c r="E87" s="559"/>
      <c r="F87" s="559"/>
      <c r="G87" s="559"/>
      <c r="H87" s="559"/>
      <c r="I87" s="559"/>
      <c r="J87" s="559"/>
      <c r="K87" s="560"/>
    </row>
    <row r="88" spans="1:11" x14ac:dyDescent="0.2">
      <c r="A88" s="557" t="s">
        <v>142</v>
      </c>
      <c r="B88" s="557"/>
      <c r="C88" s="557"/>
      <c r="D88" s="105" t="s">
        <v>71</v>
      </c>
      <c r="E88" s="98">
        <v>7200</v>
      </c>
      <c r="F88" s="128" t="s">
        <v>71</v>
      </c>
      <c r="G88" s="98">
        <v>2700</v>
      </c>
      <c r="H88" s="128" t="s">
        <v>71</v>
      </c>
      <c r="I88" s="98">
        <v>4200</v>
      </c>
      <c r="J88" s="98"/>
      <c r="K88" s="98">
        <v>4700</v>
      </c>
    </row>
    <row r="89" spans="1:11" x14ac:dyDescent="0.2">
      <c r="A89" s="557" t="s">
        <v>147</v>
      </c>
      <c r="B89" s="557"/>
      <c r="C89" s="557"/>
      <c r="D89" s="105" t="s">
        <v>71</v>
      </c>
      <c r="E89" s="107">
        <v>81.921999999999997</v>
      </c>
      <c r="F89" s="105" t="s">
        <v>71</v>
      </c>
      <c r="G89" s="107">
        <v>29.59</v>
      </c>
      <c r="H89" s="105" t="s">
        <v>71</v>
      </c>
      <c r="I89" s="107">
        <v>59.276000000000003</v>
      </c>
      <c r="J89" s="87"/>
      <c r="K89" s="98">
        <v>56.929333333333339</v>
      </c>
    </row>
    <row r="90" spans="1:11" x14ac:dyDescent="0.2">
      <c r="A90" s="557" t="s">
        <v>148</v>
      </c>
      <c r="B90" s="557"/>
      <c r="C90" s="557"/>
      <c r="D90" s="105" t="s">
        <v>71</v>
      </c>
      <c r="E90" s="107">
        <v>187.26</v>
      </c>
      <c r="F90" s="105" t="s">
        <v>71</v>
      </c>
      <c r="G90" s="107">
        <v>67.64</v>
      </c>
      <c r="H90" s="105" t="s">
        <v>71</v>
      </c>
      <c r="I90" s="107">
        <v>135.5</v>
      </c>
      <c r="J90" s="87"/>
      <c r="K90" s="98">
        <v>130.13333333333333</v>
      </c>
    </row>
    <row r="91" spans="1:11" x14ac:dyDescent="0.2">
      <c r="A91" s="557" t="s">
        <v>58</v>
      </c>
      <c r="B91" s="557"/>
      <c r="C91" s="557"/>
      <c r="D91" s="105" t="s">
        <v>71</v>
      </c>
      <c r="E91" s="109">
        <v>0.26450000000000001</v>
      </c>
      <c r="F91" s="110" t="s">
        <v>71</v>
      </c>
      <c r="G91" s="109">
        <v>0.1046</v>
      </c>
      <c r="H91" s="110" t="s">
        <v>71</v>
      </c>
      <c r="I91" s="109">
        <v>0.1545</v>
      </c>
      <c r="J91" s="112"/>
      <c r="K91" s="112">
        <v>0.17453333333333332</v>
      </c>
    </row>
    <row r="92" spans="1:11" x14ac:dyDescent="0.2">
      <c r="A92" s="557" t="s">
        <v>149</v>
      </c>
      <c r="B92" s="557"/>
      <c r="C92" s="557"/>
      <c r="D92" s="105" t="s">
        <v>71</v>
      </c>
      <c r="E92" s="109">
        <v>2.0037878787878788E-3</v>
      </c>
      <c r="F92" s="110" t="s">
        <v>71</v>
      </c>
      <c r="G92" s="109">
        <v>9.0172413793103445E-4</v>
      </c>
      <c r="H92" s="110" t="s">
        <v>71</v>
      </c>
      <c r="I92" s="109">
        <v>1.1793893129770992E-3</v>
      </c>
      <c r="J92" s="112"/>
      <c r="K92" s="112">
        <v>1.3616337765653375E-3</v>
      </c>
    </row>
    <row r="93" spans="1:11" ht="16" x14ac:dyDescent="0.2">
      <c r="A93" s="563" t="s">
        <v>150</v>
      </c>
      <c r="B93" s="563"/>
      <c r="C93" s="563"/>
      <c r="D93" s="105"/>
      <c r="E93" s="113">
        <f>E92</f>
        <v>2.0037878787878788E-3</v>
      </c>
      <c r="F93" s="110"/>
      <c r="G93" s="113">
        <f>G92</f>
        <v>9.0172413793103445E-4</v>
      </c>
      <c r="H93" s="110"/>
      <c r="I93" s="113">
        <f>I92</f>
        <v>1.1793893129770992E-3</v>
      </c>
      <c r="J93" s="112"/>
      <c r="K93" s="114">
        <f>AVERAGE(E93,G93,I93)</f>
        <v>1.3616337765653375E-3</v>
      </c>
    </row>
    <row r="94" spans="1:11" x14ac:dyDescent="0.2">
      <c r="A94" s="558" t="s">
        <v>159</v>
      </c>
      <c r="B94" s="559"/>
      <c r="C94" s="559"/>
      <c r="D94" s="559"/>
      <c r="E94" s="559"/>
      <c r="F94" s="559"/>
      <c r="G94" s="559"/>
      <c r="H94" s="559"/>
      <c r="I94" s="559"/>
      <c r="J94" s="559"/>
      <c r="K94" s="560"/>
    </row>
    <row r="95" spans="1:11" x14ac:dyDescent="0.2">
      <c r="A95" s="557" t="s">
        <v>142</v>
      </c>
      <c r="B95" s="557"/>
      <c r="C95" s="557"/>
      <c r="D95" s="105" t="s">
        <v>71</v>
      </c>
      <c r="E95" s="87">
        <v>35</v>
      </c>
      <c r="F95" s="105" t="s">
        <v>71</v>
      </c>
      <c r="G95" s="87">
        <v>39</v>
      </c>
      <c r="H95" s="105" t="s">
        <v>71</v>
      </c>
      <c r="I95" s="87">
        <v>85</v>
      </c>
      <c r="J95" s="87"/>
      <c r="K95" s="98">
        <v>53</v>
      </c>
    </row>
    <row r="96" spans="1:11" x14ac:dyDescent="0.2">
      <c r="A96" s="557" t="s">
        <v>147</v>
      </c>
      <c r="B96" s="557"/>
      <c r="C96" s="557"/>
      <c r="D96" s="105" t="s">
        <v>71</v>
      </c>
      <c r="E96" s="107">
        <v>0.373</v>
      </c>
      <c r="F96" s="105" t="s">
        <v>71</v>
      </c>
      <c r="G96" s="107">
        <v>0.4</v>
      </c>
      <c r="H96" s="105" t="s">
        <v>71</v>
      </c>
      <c r="I96" s="107">
        <v>1.123</v>
      </c>
      <c r="J96" s="87"/>
      <c r="K96" s="98">
        <v>0.63200000000000001</v>
      </c>
    </row>
    <row r="97" spans="1:23" x14ac:dyDescent="0.2">
      <c r="A97" s="557" t="s">
        <v>148</v>
      </c>
      <c r="B97" s="557"/>
      <c r="C97" s="557"/>
      <c r="D97" s="105" t="s">
        <v>71</v>
      </c>
      <c r="E97" s="107">
        <v>0.91</v>
      </c>
      <c r="F97" s="105" t="s">
        <v>71</v>
      </c>
      <c r="G97" s="107">
        <v>0.98</v>
      </c>
      <c r="H97" s="105" t="s">
        <v>71</v>
      </c>
      <c r="I97" s="107">
        <v>2.74</v>
      </c>
      <c r="J97" s="87"/>
      <c r="K97" s="98">
        <v>1.5433333333333337</v>
      </c>
    </row>
    <row r="98" spans="1:23" x14ac:dyDescent="0.2">
      <c r="A98" s="557" t="s">
        <v>58</v>
      </c>
      <c r="B98" s="557"/>
      <c r="C98" s="557"/>
      <c r="D98" s="105" t="s">
        <v>71</v>
      </c>
      <c r="E98" s="109">
        <v>1.2999999999999999E-3</v>
      </c>
      <c r="F98" s="110" t="s">
        <v>71</v>
      </c>
      <c r="G98" s="109">
        <v>1.5E-3</v>
      </c>
      <c r="H98" s="110" t="s">
        <v>71</v>
      </c>
      <c r="I98" s="109">
        <v>3.0999999999999999E-3</v>
      </c>
      <c r="J98" s="112"/>
      <c r="K98" s="112">
        <v>1.9666666666666665E-3</v>
      </c>
    </row>
    <row r="99" spans="1:23" x14ac:dyDescent="0.2">
      <c r="A99" s="557" t="s">
        <v>149</v>
      </c>
      <c r="B99" s="557"/>
      <c r="C99" s="557"/>
      <c r="D99" s="105" t="s">
        <v>71</v>
      </c>
      <c r="E99" s="109">
        <v>9.8484848484848483E-6</v>
      </c>
      <c r="F99" s="110" t="s">
        <v>71</v>
      </c>
      <c r="G99" s="109">
        <v>1.293103448275862E-5</v>
      </c>
      <c r="H99" s="110" t="s">
        <v>71</v>
      </c>
      <c r="I99" s="109">
        <v>2.366412213740458E-5</v>
      </c>
      <c r="J99" s="112"/>
      <c r="K99" s="112">
        <v>1.5481213822882682E-5</v>
      </c>
      <c r="N99" s="115" t="e">
        <f>#REF!/#REF!</f>
        <v>#REF!</v>
      </c>
      <c r="O99" s="115"/>
      <c r="P99" s="115">
        <f t="shared" ref="P99:T99" si="0">G98/G24</f>
        <v>1.293103448275862E-5</v>
      </c>
      <c r="Q99" s="115"/>
      <c r="R99" s="115">
        <f t="shared" si="0"/>
        <v>2.366412213740458E-5</v>
      </c>
      <c r="S99" s="115"/>
      <c r="T99" s="115">
        <f t="shared" si="0"/>
        <v>1.5567282321899737E-5</v>
      </c>
    </row>
    <row r="100" spans="1:23" ht="16" x14ac:dyDescent="0.2">
      <c r="A100" s="563" t="s">
        <v>150</v>
      </c>
      <c r="B100" s="563"/>
      <c r="C100" s="563"/>
      <c r="D100" s="105"/>
      <c r="E100" s="113">
        <f>E99</f>
        <v>9.8484848484848483E-6</v>
      </c>
      <c r="F100" s="110"/>
      <c r="G100" s="113">
        <f>G99</f>
        <v>1.293103448275862E-5</v>
      </c>
      <c r="H100" s="110"/>
      <c r="I100" s="113">
        <f>I99</f>
        <v>2.366412213740458E-5</v>
      </c>
      <c r="J100" s="112"/>
      <c r="K100" s="114">
        <f>AVERAGE(E100,G100,I100)</f>
        <v>1.5481213822882682E-5</v>
      </c>
    </row>
    <row r="101" spans="1:23" x14ac:dyDescent="0.2">
      <c r="A101" s="558" t="s">
        <v>160</v>
      </c>
      <c r="B101" s="559"/>
      <c r="C101" s="559"/>
      <c r="D101" s="559"/>
      <c r="E101" s="559"/>
      <c r="F101" s="559"/>
      <c r="G101" s="559"/>
      <c r="H101" s="559"/>
      <c r="I101" s="559"/>
      <c r="J101" s="559"/>
      <c r="K101" s="560"/>
    </row>
    <row r="102" spans="1:23" x14ac:dyDescent="0.2">
      <c r="A102" s="557" t="s">
        <v>142</v>
      </c>
      <c r="B102" s="557"/>
      <c r="C102" s="557"/>
      <c r="D102" s="105" t="s">
        <v>71</v>
      </c>
      <c r="E102" s="87">
        <v>61</v>
      </c>
      <c r="F102" s="105" t="s">
        <v>71</v>
      </c>
      <c r="G102" s="87">
        <v>27</v>
      </c>
      <c r="H102" s="105"/>
      <c r="I102" s="87">
        <v>72</v>
      </c>
      <c r="J102" s="87"/>
      <c r="K102" s="98">
        <v>53.333333333333336</v>
      </c>
    </row>
    <row r="103" spans="1:23" x14ac:dyDescent="0.2">
      <c r="A103" s="557" t="s">
        <v>147</v>
      </c>
      <c r="B103" s="557"/>
      <c r="C103" s="557"/>
      <c r="D103" s="105" t="s">
        <v>71</v>
      </c>
      <c r="E103" s="107">
        <v>1.2310000000000001</v>
      </c>
      <c r="F103" s="105" t="s">
        <v>71</v>
      </c>
      <c r="G103" s="107">
        <v>0.52500000000000002</v>
      </c>
      <c r="H103" s="105"/>
      <c r="I103" s="107">
        <v>1.8029999999999999</v>
      </c>
      <c r="J103" s="87"/>
      <c r="K103" s="98">
        <v>1.1863333333333335</v>
      </c>
    </row>
    <row r="104" spans="1:23" x14ac:dyDescent="0.2">
      <c r="A104" s="557" t="s">
        <v>148</v>
      </c>
      <c r="B104" s="557"/>
      <c r="C104" s="557"/>
      <c r="D104" s="105" t="s">
        <v>71</v>
      </c>
      <c r="E104" s="107">
        <v>1.59</v>
      </c>
      <c r="F104" s="105" t="s">
        <v>71</v>
      </c>
      <c r="G104" s="107">
        <v>0.68</v>
      </c>
      <c r="H104" s="105"/>
      <c r="I104" s="107">
        <v>2.3199999999999998</v>
      </c>
      <c r="J104" s="87"/>
      <c r="K104" s="98">
        <v>1.53</v>
      </c>
    </row>
    <row r="105" spans="1:23" x14ac:dyDescent="0.2">
      <c r="A105" s="557" t="s">
        <v>58</v>
      </c>
      <c r="B105" s="557"/>
      <c r="C105" s="557"/>
      <c r="D105" s="105" t="s">
        <v>71</v>
      </c>
      <c r="E105" s="109">
        <v>2.2000000000000001E-3</v>
      </c>
      <c r="F105" s="110" t="s">
        <v>71</v>
      </c>
      <c r="G105" s="109">
        <v>1E-3</v>
      </c>
      <c r="H105" s="110"/>
      <c r="I105" s="109">
        <v>2.5999999999999999E-3</v>
      </c>
      <c r="J105" s="112"/>
      <c r="K105" s="112">
        <v>1.9333333333333331E-3</v>
      </c>
    </row>
    <row r="106" spans="1:23" x14ac:dyDescent="0.2">
      <c r="A106" s="557" t="s">
        <v>149</v>
      </c>
      <c r="B106" s="557"/>
      <c r="C106" s="557"/>
      <c r="D106" s="105" t="s">
        <v>71</v>
      </c>
      <c r="E106" s="109">
        <v>1.6666666666666667E-5</v>
      </c>
      <c r="F106" s="110" t="s">
        <v>71</v>
      </c>
      <c r="G106" s="109">
        <v>8.6206896551724141E-6</v>
      </c>
      <c r="H106" s="110"/>
      <c r="I106" s="109">
        <v>1.9847328244274807E-5</v>
      </c>
      <c r="J106" s="112"/>
      <c r="K106" s="112">
        <v>1.5044894855371296E-5</v>
      </c>
      <c r="W106" s="115"/>
    </row>
    <row r="107" spans="1:23" ht="16" x14ac:dyDescent="0.2">
      <c r="A107" s="563" t="s">
        <v>150</v>
      </c>
      <c r="B107" s="563"/>
      <c r="C107" s="563"/>
      <c r="D107" s="105"/>
      <c r="E107" s="113">
        <f>E106</f>
        <v>1.6666666666666667E-5</v>
      </c>
      <c r="F107" s="110"/>
      <c r="G107" s="113">
        <f>G106</f>
        <v>8.6206896551724141E-6</v>
      </c>
      <c r="H107" s="110"/>
      <c r="I107" s="113">
        <f>I106</f>
        <v>1.9847328244274807E-5</v>
      </c>
      <c r="J107" s="112"/>
      <c r="K107" s="114">
        <f>AVERAGE(E107,G107,I107)</f>
        <v>1.5044894855371296E-5</v>
      </c>
    </row>
    <row r="108" spans="1:23" x14ac:dyDescent="0.2">
      <c r="A108" s="558" t="s">
        <v>161</v>
      </c>
      <c r="B108" s="559"/>
      <c r="C108" s="559"/>
      <c r="D108" s="559"/>
      <c r="E108" s="559"/>
      <c r="F108" s="559"/>
      <c r="G108" s="559"/>
      <c r="H108" s="559"/>
      <c r="I108" s="559"/>
      <c r="J108" s="559"/>
      <c r="K108" s="560"/>
    </row>
    <row r="109" spans="1:23" x14ac:dyDescent="0.2">
      <c r="A109" s="557" t="s">
        <v>142</v>
      </c>
      <c r="B109" s="557"/>
      <c r="C109" s="557"/>
      <c r="D109" s="105" t="s">
        <v>71</v>
      </c>
      <c r="E109" s="87">
        <v>13</v>
      </c>
      <c r="F109" s="105" t="s">
        <v>71</v>
      </c>
      <c r="G109" s="87">
        <v>13</v>
      </c>
      <c r="H109" s="105"/>
      <c r="I109" s="87">
        <v>29</v>
      </c>
      <c r="J109" s="87"/>
      <c r="K109" s="98">
        <v>18.333333333333332</v>
      </c>
    </row>
    <row r="110" spans="1:23" x14ac:dyDescent="0.2">
      <c r="A110" s="557" t="s">
        <v>147</v>
      </c>
      <c r="B110" s="557"/>
      <c r="C110" s="557"/>
      <c r="D110" s="105" t="s">
        <v>71</v>
      </c>
      <c r="E110" s="107">
        <v>0.10299999999999999</v>
      </c>
      <c r="F110" s="105" t="s">
        <v>71</v>
      </c>
      <c r="G110" s="107">
        <v>9.9000000000000005E-2</v>
      </c>
      <c r="H110" s="105"/>
      <c r="I110" s="107">
        <v>0.28499999999999998</v>
      </c>
      <c r="J110" s="87"/>
      <c r="K110" s="98">
        <v>0.16233333333333333</v>
      </c>
    </row>
    <row r="111" spans="1:23" x14ac:dyDescent="0.2">
      <c r="A111" s="557" t="s">
        <v>148</v>
      </c>
      <c r="B111" s="557"/>
      <c r="C111" s="557"/>
      <c r="D111" s="105" t="s">
        <v>71</v>
      </c>
      <c r="E111" s="107">
        <v>0.34</v>
      </c>
      <c r="F111" s="105" t="s">
        <v>71</v>
      </c>
      <c r="G111" s="107">
        <v>0.33</v>
      </c>
      <c r="H111" s="105"/>
      <c r="I111" s="107">
        <v>0.94</v>
      </c>
      <c r="J111" s="87"/>
      <c r="K111" s="98">
        <v>0.53666666666666663</v>
      </c>
    </row>
    <row r="112" spans="1:23" x14ac:dyDescent="0.2">
      <c r="A112" s="557" t="s">
        <v>58</v>
      </c>
      <c r="B112" s="557"/>
      <c r="C112" s="557"/>
      <c r="D112" s="105" t="s">
        <v>71</v>
      </c>
      <c r="E112" s="109">
        <v>5.0000000000000001E-4</v>
      </c>
      <c r="F112" s="110" t="s">
        <v>71</v>
      </c>
      <c r="G112" s="109">
        <v>5.0000000000000001E-4</v>
      </c>
      <c r="H112" s="110"/>
      <c r="I112" s="109">
        <v>1.1000000000000001E-3</v>
      </c>
      <c r="J112" s="112"/>
      <c r="K112" s="112">
        <v>7.000000000000001E-4</v>
      </c>
    </row>
    <row r="113" spans="1:23" x14ac:dyDescent="0.2">
      <c r="A113" s="557" t="s">
        <v>149</v>
      </c>
      <c r="B113" s="557"/>
      <c r="C113" s="557"/>
      <c r="D113" s="105" t="s">
        <v>71</v>
      </c>
      <c r="E113" s="109">
        <v>3.7878787878787878E-6</v>
      </c>
      <c r="F113" s="110" t="s">
        <v>71</v>
      </c>
      <c r="G113" s="109">
        <v>4.3103448275862071E-6</v>
      </c>
      <c r="H113" s="110"/>
      <c r="I113" s="109">
        <v>8.3969465648854967E-6</v>
      </c>
      <c r="J113" s="112"/>
      <c r="K113" s="112">
        <v>5.4983900601168301E-6</v>
      </c>
    </row>
    <row r="114" spans="1:23" ht="16" x14ac:dyDescent="0.2">
      <c r="A114" s="563" t="s">
        <v>150</v>
      </c>
      <c r="B114" s="563"/>
      <c r="C114" s="563"/>
      <c r="D114" s="105"/>
      <c r="E114" s="113">
        <f>E113</f>
        <v>3.7878787878787878E-6</v>
      </c>
      <c r="F114" s="110"/>
      <c r="G114" s="113">
        <f>G113</f>
        <v>4.3103448275862071E-6</v>
      </c>
      <c r="H114" s="110"/>
      <c r="I114" s="113">
        <f>I113</f>
        <v>8.3969465648854967E-6</v>
      </c>
      <c r="J114" s="112"/>
      <c r="K114" s="114">
        <f>AVERAGE(E114,G114,I114)</f>
        <v>5.4983900601168301E-6</v>
      </c>
    </row>
    <row r="115" spans="1:23" x14ac:dyDescent="0.2">
      <c r="A115" s="558" t="s">
        <v>162</v>
      </c>
      <c r="B115" s="559"/>
      <c r="C115" s="559"/>
      <c r="D115" s="559"/>
      <c r="E115" s="559"/>
      <c r="F115" s="559"/>
      <c r="G115" s="559"/>
      <c r="H115" s="559"/>
      <c r="I115" s="559"/>
      <c r="J115" s="559"/>
      <c r="K115" s="560"/>
    </row>
    <row r="116" spans="1:23" x14ac:dyDescent="0.2">
      <c r="A116" s="557" t="s">
        <v>142</v>
      </c>
      <c r="B116" s="557"/>
      <c r="C116" s="557"/>
      <c r="D116" s="105" t="s">
        <v>71</v>
      </c>
      <c r="E116" s="98">
        <v>5200</v>
      </c>
      <c r="F116" s="128" t="s">
        <v>71</v>
      </c>
      <c r="G116" s="98">
        <v>1800</v>
      </c>
      <c r="H116" s="128" t="s">
        <v>71</v>
      </c>
      <c r="I116" s="98">
        <v>8500</v>
      </c>
      <c r="J116" s="98"/>
      <c r="K116" s="98">
        <v>5166.666666666667</v>
      </c>
    </row>
    <row r="117" spans="1:23" x14ac:dyDescent="0.2">
      <c r="A117" s="557" t="s">
        <v>147</v>
      </c>
      <c r="B117" s="557"/>
      <c r="C117" s="557"/>
      <c r="D117" s="105" t="s">
        <v>71</v>
      </c>
      <c r="E117" s="107">
        <v>49.725999999999999</v>
      </c>
      <c r="F117" s="105"/>
      <c r="G117" s="107">
        <v>16.579000000000001</v>
      </c>
      <c r="H117" s="105" t="s">
        <v>71</v>
      </c>
      <c r="I117" s="107">
        <v>100.822</v>
      </c>
      <c r="J117" s="87"/>
      <c r="K117" s="98">
        <v>55.709000000000003</v>
      </c>
    </row>
    <row r="118" spans="1:23" x14ac:dyDescent="0.2">
      <c r="A118" s="557" t="s">
        <v>148</v>
      </c>
      <c r="B118" s="557"/>
      <c r="C118" s="557"/>
      <c r="D118" s="105" t="s">
        <v>71</v>
      </c>
      <c r="E118" s="107">
        <v>135.25</v>
      </c>
      <c r="F118" s="105" t="s">
        <v>71</v>
      </c>
      <c r="G118" s="107">
        <v>45.09</v>
      </c>
      <c r="H118" s="105" t="s">
        <v>71</v>
      </c>
      <c r="I118" s="107">
        <v>274.22000000000003</v>
      </c>
      <c r="J118" s="87"/>
      <c r="K118" s="98">
        <v>151.52000000000001</v>
      </c>
    </row>
    <row r="119" spans="1:23" x14ac:dyDescent="0.2">
      <c r="A119" s="557" t="s">
        <v>58</v>
      </c>
      <c r="B119" s="557"/>
      <c r="C119" s="557"/>
      <c r="D119" s="105" t="s">
        <v>71</v>
      </c>
      <c r="E119" s="109">
        <v>0.191</v>
      </c>
      <c r="F119" s="110" t="s">
        <v>71</v>
      </c>
      <c r="G119" s="109">
        <v>6.9699999999999998E-2</v>
      </c>
      <c r="H119" s="110" t="s">
        <v>71</v>
      </c>
      <c r="I119" s="109">
        <v>0.31280000000000002</v>
      </c>
      <c r="J119" s="112"/>
      <c r="K119" s="112">
        <v>0.19116666666666668</v>
      </c>
    </row>
    <row r="120" spans="1:23" x14ac:dyDescent="0.2">
      <c r="A120" s="557" t="s">
        <v>149</v>
      </c>
      <c r="B120" s="557"/>
      <c r="C120" s="557"/>
      <c r="D120" s="105" t="s">
        <v>71</v>
      </c>
      <c r="E120" s="109">
        <v>1.446969696969697E-3</v>
      </c>
      <c r="F120" s="110" t="s">
        <v>71</v>
      </c>
      <c r="G120" s="109">
        <v>6.0086206896551718E-4</v>
      </c>
      <c r="H120" s="110" t="s">
        <v>71</v>
      </c>
      <c r="I120" s="109">
        <v>2.3877862595419849E-3</v>
      </c>
      <c r="J120" s="112"/>
      <c r="K120" s="112">
        <v>1.4785393418257329E-3</v>
      </c>
    </row>
    <row r="121" spans="1:23" ht="16" x14ac:dyDescent="0.2">
      <c r="A121" s="563" t="s">
        <v>150</v>
      </c>
      <c r="B121" s="563"/>
      <c r="C121" s="563"/>
      <c r="D121" s="105"/>
      <c r="E121" s="113">
        <f>E120</f>
        <v>1.446969696969697E-3</v>
      </c>
      <c r="F121" s="110"/>
      <c r="G121" s="113">
        <f>G120</f>
        <v>6.0086206896551718E-4</v>
      </c>
      <c r="H121" s="110"/>
      <c r="I121" s="113">
        <f>I120</f>
        <v>2.3877862595419849E-3</v>
      </c>
      <c r="J121" s="112"/>
      <c r="K121" s="114">
        <f>AVERAGE(E121,G121,I121)</f>
        <v>1.4785393418257329E-3</v>
      </c>
    </row>
    <row r="122" spans="1:23" x14ac:dyDescent="0.2">
      <c r="A122" s="553" t="s">
        <v>163</v>
      </c>
      <c r="B122" s="554"/>
      <c r="C122" s="554"/>
      <c r="D122" s="554"/>
      <c r="E122" s="554"/>
      <c r="F122" s="554"/>
      <c r="G122" s="554"/>
      <c r="H122" s="554"/>
      <c r="I122" s="554"/>
      <c r="J122" s="554"/>
      <c r="K122" s="555"/>
      <c r="M122" s="129" t="s">
        <v>170</v>
      </c>
    </row>
    <row r="123" spans="1:23" x14ac:dyDescent="0.2">
      <c r="A123" s="556" t="s">
        <v>142</v>
      </c>
      <c r="B123" s="556"/>
      <c r="C123" s="556"/>
      <c r="D123" s="116" t="s">
        <v>71</v>
      </c>
      <c r="E123" s="106">
        <v>1</v>
      </c>
      <c r="F123" s="116" t="s">
        <v>71</v>
      </c>
      <c r="G123" s="106">
        <v>1.3</v>
      </c>
      <c r="H123" s="116" t="s">
        <v>71</v>
      </c>
      <c r="I123" s="106">
        <v>1.2</v>
      </c>
      <c r="J123" s="106"/>
      <c r="K123" s="98">
        <v>1.1666666666666667</v>
      </c>
    </row>
    <row r="124" spans="1:23" x14ac:dyDescent="0.2">
      <c r="A124" s="556" t="s">
        <v>147</v>
      </c>
      <c r="B124" s="556"/>
      <c r="C124" s="556"/>
      <c r="D124" s="116" t="s">
        <v>71</v>
      </c>
      <c r="E124" s="108">
        <v>6.0000000000000001E-3</v>
      </c>
      <c r="F124" s="116" t="s">
        <v>71</v>
      </c>
      <c r="G124" s="108">
        <v>7.0000000000000001E-3</v>
      </c>
      <c r="H124" s="116" t="s">
        <v>71</v>
      </c>
      <c r="I124" s="108">
        <v>8.0000000000000002E-3</v>
      </c>
      <c r="J124" s="106"/>
      <c r="K124" s="98">
        <v>7.0000000000000001E-3</v>
      </c>
    </row>
    <row r="125" spans="1:23" x14ac:dyDescent="0.2">
      <c r="A125" s="556" t="s">
        <v>148</v>
      </c>
      <c r="B125" s="556"/>
      <c r="C125" s="556"/>
      <c r="D125" s="116" t="s">
        <v>71</v>
      </c>
      <c r="E125" s="108">
        <v>0.03</v>
      </c>
      <c r="F125" s="116" t="s">
        <v>71</v>
      </c>
      <c r="G125" s="108">
        <v>3.3000000000000002E-2</v>
      </c>
      <c r="H125" s="116" t="s">
        <v>71</v>
      </c>
      <c r="I125" s="108">
        <v>0.04</v>
      </c>
      <c r="J125" s="106"/>
      <c r="K125" s="98">
        <v>3.4333333333333334E-2</v>
      </c>
    </row>
    <row r="126" spans="1:23" x14ac:dyDescent="0.2">
      <c r="A126" s="556" t="s">
        <v>58</v>
      </c>
      <c r="B126" s="556"/>
      <c r="C126" s="556"/>
      <c r="D126" s="116" t="s">
        <v>71</v>
      </c>
      <c r="E126" s="111">
        <v>3.6730000000000002E-5</v>
      </c>
      <c r="F126" s="116" t="s">
        <v>71</v>
      </c>
      <c r="G126" s="111">
        <v>5.0349999999999997E-5</v>
      </c>
      <c r="H126" s="116" t="s">
        <v>71</v>
      </c>
      <c r="I126" s="111">
        <v>4.3999999999999999E-5</v>
      </c>
      <c r="J126" s="106"/>
      <c r="K126" s="112">
        <v>4.3693333333333331E-5</v>
      </c>
    </row>
    <row r="127" spans="1:23" x14ac:dyDescent="0.2">
      <c r="A127" s="556" t="s">
        <v>149</v>
      </c>
      <c r="B127" s="556"/>
      <c r="C127" s="556"/>
      <c r="D127" s="116" t="s">
        <v>71</v>
      </c>
      <c r="E127" s="111">
        <v>2.7825757575757578E-7</v>
      </c>
      <c r="F127" s="116" t="s">
        <v>71</v>
      </c>
      <c r="G127" s="111">
        <v>4.3405172413793101E-7</v>
      </c>
      <c r="H127" s="116" t="s">
        <v>71</v>
      </c>
      <c r="I127" s="111">
        <v>3.3587786259541984E-7</v>
      </c>
      <c r="J127" s="106"/>
      <c r="K127" s="135">
        <v>2.3677862595419843E-4</v>
      </c>
      <c r="W127" s="115"/>
    </row>
    <row r="128" spans="1:23" ht="16" x14ac:dyDescent="0.2">
      <c r="A128" s="563" t="s">
        <v>150</v>
      </c>
      <c r="B128" s="563"/>
      <c r="C128" s="563"/>
      <c r="D128" s="105"/>
      <c r="E128" s="113">
        <f>E127</f>
        <v>2.7825757575757578E-7</v>
      </c>
      <c r="F128" s="110"/>
      <c r="G128" s="113">
        <f>G127</f>
        <v>4.3405172413793101E-7</v>
      </c>
      <c r="H128" s="110"/>
      <c r="I128" s="113">
        <f>I127</f>
        <v>3.3587786259541984E-7</v>
      </c>
      <c r="J128" s="112"/>
      <c r="K128" s="114">
        <f>AVERAGE(E128,G128,I128)</f>
        <v>3.4939572083030889E-7</v>
      </c>
    </row>
    <row r="129" spans="1:26" x14ac:dyDescent="0.2">
      <c r="A129" s="553" t="s">
        <v>164</v>
      </c>
      <c r="B129" s="554"/>
      <c r="C129" s="554"/>
      <c r="D129" s="554"/>
      <c r="E129" s="554"/>
      <c r="F129" s="554"/>
      <c r="G129" s="554"/>
      <c r="H129" s="554"/>
      <c r="I129" s="554"/>
      <c r="J129" s="554"/>
      <c r="K129" s="555"/>
    </row>
    <row r="130" spans="1:26" x14ac:dyDescent="0.2">
      <c r="A130" s="556" t="s">
        <v>142</v>
      </c>
      <c r="B130" s="556"/>
      <c r="C130" s="556"/>
      <c r="D130" s="116" t="s">
        <v>71</v>
      </c>
      <c r="E130" s="106">
        <v>15</v>
      </c>
      <c r="F130" s="116" t="s">
        <v>71</v>
      </c>
      <c r="G130" s="106">
        <v>4.5999999999999996</v>
      </c>
      <c r="H130" s="116" t="s">
        <v>71</v>
      </c>
      <c r="I130" s="106">
        <v>9.6999999999999993</v>
      </c>
      <c r="J130" s="106"/>
      <c r="K130" s="98">
        <v>9.7666666666666675</v>
      </c>
    </row>
    <row r="131" spans="1:26" x14ac:dyDescent="0.2">
      <c r="A131" s="556" t="s">
        <v>147</v>
      </c>
      <c r="B131" s="556"/>
      <c r="C131" s="556"/>
      <c r="D131" s="116" t="s">
        <v>71</v>
      </c>
      <c r="E131" s="108">
        <v>0.184</v>
      </c>
      <c r="F131" s="116"/>
      <c r="G131" s="108">
        <v>5.3999999999999999E-2</v>
      </c>
      <c r="H131" s="116" t="s">
        <v>71</v>
      </c>
      <c r="I131" s="108">
        <v>0.14799999999999999</v>
      </c>
      <c r="J131" s="106"/>
      <c r="K131" s="98">
        <v>0.12866666666666668</v>
      </c>
    </row>
    <row r="132" spans="1:26" x14ac:dyDescent="0.2">
      <c r="A132" s="556" t="s">
        <v>148</v>
      </c>
      <c r="B132" s="556"/>
      <c r="C132" s="556"/>
      <c r="D132" s="116" t="s">
        <v>71</v>
      </c>
      <c r="E132" s="108">
        <v>0.39</v>
      </c>
      <c r="F132" s="116" t="s">
        <v>71</v>
      </c>
      <c r="G132" s="108">
        <v>0.12</v>
      </c>
      <c r="H132" s="116" t="s">
        <v>71</v>
      </c>
      <c r="I132" s="108">
        <v>0.31</v>
      </c>
      <c r="J132" s="106"/>
      <c r="K132" s="98">
        <v>0.27333333333333337</v>
      </c>
    </row>
    <row r="133" spans="1:26" x14ac:dyDescent="0.2">
      <c r="A133" s="556" t="s">
        <v>58</v>
      </c>
      <c r="B133" s="556"/>
      <c r="C133" s="556"/>
      <c r="D133" s="116" t="s">
        <v>71</v>
      </c>
      <c r="E133" s="111">
        <v>5.9999999999999995E-4</v>
      </c>
      <c r="F133" s="116" t="s">
        <v>71</v>
      </c>
      <c r="G133" s="111">
        <v>2.0000000000000001E-4</v>
      </c>
      <c r="H133" s="116" t="s">
        <v>71</v>
      </c>
      <c r="I133" s="111">
        <v>4.0000000000000002E-4</v>
      </c>
      <c r="J133" s="106"/>
      <c r="K133" s="112">
        <v>3.9999999999999996E-4</v>
      </c>
    </row>
    <row r="134" spans="1:26" x14ac:dyDescent="0.2">
      <c r="A134" s="556" t="s">
        <v>149</v>
      </c>
      <c r="B134" s="556"/>
      <c r="C134" s="556"/>
      <c r="D134" s="116" t="s">
        <v>71</v>
      </c>
      <c r="E134" s="111">
        <v>4.5454545454545447E-6</v>
      </c>
      <c r="F134" s="116" t="s">
        <v>71</v>
      </c>
      <c r="G134" s="111">
        <v>1.7241379310344829E-6</v>
      </c>
      <c r="H134" s="116" t="s">
        <v>71</v>
      </c>
      <c r="I134" s="111">
        <v>3.0534351145038169E-6</v>
      </c>
      <c r="J134" s="106"/>
      <c r="K134" s="135">
        <v>1.9043511450381678E-3</v>
      </c>
      <c r="M134" s="115">
        <f>E133/E24</f>
        <v>4.5454545454545447E-6</v>
      </c>
      <c r="N134" s="115" t="e">
        <f>#REF!/#REF!</f>
        <v>#REF!</v>
      </c>
      <c r="O134" s="115"/>
      <c r="P134" s="115">
        <f t="shared" ref="P134:R134" si="1">G133/G24</f>
        <v>1.7241379310344829E-6</v>
      </c>
      <c r="Q134" s="115"/>
      <c r="R134" s="115">
        <f t="shared" si="1"/>
        <v>3.0534351145038169E-6</v>
      </c>
      <c r="S134" s="115"/>
      <c r="T134" s="115">
        <f t="shared" ref="T134" si="2">K133/K24</f>
        <v>3.1662269129287598E-6</v>
      </c>
      <c r="W134" s="115"/>
      <c r="X134" s="115">
        <f>G133/G24</f>
        <v>1.7241379310344829E-6</v>
      </c>
      <c r="Y134" s="115">
        <f>I133/I24</f>
        <v>3.0534351145038169E-6</v>
      </c>
      <c r="Z134" s="115"/>
    </row>
    <row r="135" spans="1:26" ht="16" x14ac:dyDescent="0.2">
      <c r="A135" s="563" t="s">
        <v>150</v>
      </c>
      <c r="B135" s="563"/>
      <c r="C135" s="563"/>
      <c r="D135" s="105"/>
      <c r="E135" s="113">
        <f>E134</f>
        <v>4.5454545454545447E-6</v>
      </c>
      <c r="F135" s="110"/>
      <c r="G135" s="113">
        <f>G134</f>
        <v>1.7241379310344829E-6</v>
      </c>
      <c r="H135" s="110"/>
      <c r="I135" s="113">
        <f>I134</f>
        <v>3.0534351145038169E-6</v>
      </c>
      <c r="J135" s="112"/>
      <c r="K135" s="114">
        <f>AVERAGE(E135,G135,I135)</f>
        <v>3.1076758636642819E-6</v>
      </c>
    </row>
  </sheetData>
  <mergeCells count="134">
    <mergeCell ref="A8:C8"/>
    <mergeCell ref="A9:C9"/>
    <mergeCell ref="A10:C10"/>
    <mergeCell ref="A12:K12"/>
    <mergeCell ref="A13:C13"/>
    <mergeCell ref="A14:C14"/>
    <mergeCell ref="A1:M1"/>
    <mergeCell ref="B2:E2"/>
    <mergeCell ref="B3:E3"/>
    <mergeCell ref="B4:E4"/>
    <mergeCell ref="B5:E5"/>
    <mergeCell ref="A7:C7"/>
    <mergeCell ref="D7:K7"/>
    <mergeCell ref="A21:C21"/>
    <mergeCell ref="A22:C22"/>
    <mergeCell ref="A23:C23"/>
    <mergeCell ref="A24:C24"/>
    <mergeCell ref="A25:C25"/>
    <mergeCell ref="A26:K26"/>
    <mergeCell ref="A15:C15"/>
    <mergeCell ref="A16:C16"/>
    <mergeCell ref="A17:C17"/>
    <mergeCell ref="A18:C18"/>
    <mergeCell ref="A19:C19"/>
    <mergeCell ref="A20:C20"/>
    <mergeCell ref="A33:C33"/>
    <mergeCell ref="A34:C34"/>
    <mergeCell ref="A35:C35"/>
    <mergeCell ref="A36:C36"/>
    <mergeCell ref="A37:C37"/>
    <mergeCell ref="A38:K38"/>
    <mergeCell ref="A27:C27"/>
    <mergeCell ref="A28:C28"/>
    <mergeCell ref="A29:C29"/>
    <mergeCell ref="A30:C30"/>
    <mergeCell ref="A31:K31"/>
    <mergeCell ref="A32:C32"/>
    <mergeCell ref="A45:K45"/>
    <mergeCell ref="A46:C46"/>
    <mergeCell ref="A47:C47"/>
    <mergeCell ref="A48:C48"/>
    <mergeCell ref="A49:C49"/>
    <mergeCell ref="A50:C50"/>
    <mergeCell ref="A39:C39"/>
    <mergeCell ref="A40:C40"/>
    <mergeCell ref="A41:C41"/>
    <mergeCell ref="A42:C42"/>
    <mergeCell ref="A43:C43"/>
    <mergeCell ref="A44:C44"/>
    <mergeCell ref="A57:C57"/>
    <mergeCell ref="A58:C58"/>
    <mergeCell ref="A59:K59"/>
    <mergeCell ref="A60:C60"/>
    <mergeCell ref="A61:C61"/>
    <mergeCell ref="A62:C62"/>
    <mergeCell ref="A51:C51"/>
    <mergeCell ref="A52:K52"/>
    <mergeCell ref="A53:C53"/>
    <mergeCell ref="A54:C54"/>
    <mergeCell ref="A55:C55"/>
    <mergeCell ref="A56:C56"/>
    <mergeCell ref="A69:C69"/>
    <mergeCell ref="A70:C70"/>
    <mergeCell ref="A71:C71"/>
    <mergeCell ref="A72:C72"/>
    <mergeCell ref="A73:K73"/>
    <mergeCell ref="A74:C74"/>
    <mergeCell ref="A63:C63"/>
    <mergeCell ref="A64:C64"/>
    <mergeCell ref="A65:C65"/>
    <mergeCell ref="A66:K66"/>
    <mergeCell ref="A67:C67"/>
    <mergeCell ref="A68:C68"/>
    <mergeCell ref="A81:C81"/>
    <mergeCell ref="A82:C82"/>
    <mergeCell ref="A83:C83"/>
    <mergeCell ref="A84:C84"/>
    <mergeCell ref="A85:C85"/>
    <mergeCell ref="A86:C86"/>
    <mergeCell ref="A75:C75"/>
    <mergeCell ref="A76:C76"/>
    <mergeCell ref="A77:C77"/>
    <mergeCell ref="A78:C78"/>
    <mergeCell ref="A79:C79"/>
    <mergeCell ref="A80:K80"/>
    <mergeCell ref="A93:C93"/>
    <mergeCell ref="A94:K94"/>
    <mergeCell ref="A95:C95"/>
    <mergeCell ref="A96:C96"/>
    <mergeCell ref="A97:C97"/>
    <mergeCell ref="A98:C98"/>
    <mergeCell ref="A87:K87"/>
    <mergeCell ref="A88:C88"/>
    <mergeCell ref="A89:C89"/>
    <mergeCell ref="A90:C90"/>
    <mergeCell ref="A91:C91"/>
    <mergeCell ref="A92:C92"/>
    <mergeCell ref="A105:C105"/>
    <mergeCell ref="A106:C106"/>
    <mergeCell ref="A107:C107"/>
    <mergeCell ref="A108:K108"/>
    <mergeCell ref="A109:C109"/>
    <mergeCell ref="A110:C110"/>
    <mergeCell ref="A99:C99"/>
    <mergeCell ref="A100:C100"/>
    <mergeCell ref="A101:K101"/>
    <mergeCell ref="A102:C102"/>
    <mergeCell ref="A103:C103"/>
    <mergeCell ref="A104:C104"/>
    <mergeCell ref="A117:C117"/>
    <mergeCell ref="A118:C118"/>
    <mergeCell ref="A119:C119"/>
    <mergeCell ref="A120:C120"/>
    <mergeCell ref="A121:C121"/>
    <mergeCell ref="A122:K122"/>
    <mergeCell ref="A111:C111"/>
    <mergeCell ref="A112:C112"/>
    <mergeCell ref="A113:C113"/>
    <mergeCell ref="A114:C114"/>
    <mergeCell ref="A115:K115"/>
    <mergeCell ref="A116:C116"/>
    <mergeCell ref="A135:C135"/>
    <mergeCell ref="A129:K129"/>
    <mergeCell ref="A130:C130"/>
    <mergeCell ref="A131:C131"/>
    <mergeCell ref="A132:C132"/>
    <mergeCell ref="A133:C133"/>
    <mergeCell ref="A134:C134"/>
    <mergeCell ref="A123:C123"/>
    <mergeCell ref="A124:C124"/>
    <mergeCell ref="A125:C125"/>
    <mergeCell ref="A126:C126"/>
    <mergeCell ref="A127:C127"/>
    <mergeCell ref="A128:C128"/>
  </mergeCells>
  <conditionalFormatting sqref="A33:C35 A40:C42 A47:C49 A54:C56 A61:C63 E40:E42 G40:G42 I40:I42 E47:E49 G47:G49 I47:I49 E54:E56 G54:G56 I54:I56 E61:E63 G61:G63 I61:I63 E33:E36 I33:I36 G33:G36 A31:K31 A38:K38 A45:K45 A52:K52 A59:K59">
    <cfRule type="cellIs" dxfId="483" priority="242" stopIfTrue="1" operator="equal">
      <formula>0</formula>
    </cfRule>
  </conditionalFormatting>
  <conditionalFormatting sqref="A60:C60">
    <cfRule type="cellIs" dxfId="482" priority="241" stopIfTrue="1" operator="equal">
      <formula>0</formula>
    </cfRule>
  </conditionalFormatting>
  <conditionalFormatting sqref="A64:C64">
    <cfRule type="cellIs" dxfId="481" priority="240" stopIfTrue="1" operator="equal">
      <formula>0</formula>
    </cfRule>
  </conditionalFormatting>
  <conditionalFormatting sqref="A53:C53">
    <cfRule type="cellIs" dxfId="480" priority="239" stopIfTrue="1" operator="equal">
      <formula>0</formula>
    </cfRule>
  </conditionalFormatting>
  <conditionalFormatting sqref="A57:C57">
    <cfRule type="cellIs" dxfId="479" priority="238" stopIfTrue="1" operator="equal">
      <formula>0</formula>
    </cfRule>
  </conditionalFormatting>
  <conditionalFormatting sqref="A50:C50">
    <cfRule type="cellIs" dxfId="478" priority="237" stopIfTrue="1" operator="equal">
      <formula>0</formula>
    </cfRule>
  </conditionalFormatting>
  <conditionalFormatting sqref="A46:C46">
    <cfRule type="cellIs" dxfId="477" priority="236" stopIfTrue="1" operator="equal">
      <formula>0</formula>
    </cfRule>
  </conditionalFormatting>
  <conditionalFormatting sqref="A39:C39">
    <cfRule type="cellIs" dxfId="476" priority="235" stopIfTrue="1" operator="equal">
      <formula>0</formula>
    </cfRule>
  </conditionalFormatting>
  <conditionalFormatting sqref="A36:C36">
    <cfRule type="cellIs" dxfId="475" priority="234" stopIfTrue="1" operator="equal">
      <formula>0</formula>
    </cfRule>
  </conditionalFormatting>
  <conditionalFormatting sqref="A32:C32">
    <cfRule type="cellIs" dxfId="474" priority="233" stopIfTrue="1" operator="equal">
      <formula>0</formula>
    </cfRule>
  </conditionalFormatting>
  <conditionalFormatting sqref="D32">
    <cfRule type="cellIs" dxfId="473" priority="232" stopIfTrue="1" operator="equal">
      <formula>0</formula>
    </cfRule>
  </conditionalFormatting>
  <conditionalFormatting sqref="D33:D36">
    <cfRule type="cellIs" dxfId="472" priority="231" stopIfTrue="1" operator="equal">
      <formula>0</formula>
    </cfRule>
  </conditionalFormatting>
  <conditionalFormatting sqref="E43">
    <cfRule type="cellIs" dxfId="471" priority="230" stopIfTrue="1" operator="equal">
      <formula>0</formula>
    </cfRule>
  </conditionalFormatting>
  <conditionalFormatting sqref="G43">
    <cfRule type="cellIs" dxfId="470" priority="229" stopIfTrue="1" operator="equal">
      <formula>0</formula>
    </cfRule>
  </conditionalFormatting>
  <conditionalFormatting sqref="I43">
    <cfRule type="cellIs" dxfId="469" priority="228" stopIfTrue="1" operator="equal">
      <formula>0</formula>
    </cfRule>
  </conditionalFormatting>
  <conditionalFormatting sqref="E50">
    <cfRule type="cellIs" dxfId="468" priority="227" stopIfTrue="1" operator="equal">
      <formula>0</formula>
    </cfRule>
  </conditionalFormatting>
  <conditionalFormatting sqref="E57">
    <cfRule type="cellIs" dxfId="467" priority="226" stopIfTrue="1" operator="equal">
      <formula>0</formula>
    </cfRule>
  </conditionalFormatting>
  <conditionalFormatting sqref="E64">
    <cfRule type="cellIs" dxfId="466" priority="225" stopIfTrue="1" operator="equal">
      <formula>0</formula>
    </cfRule>
  </conditionalFormatting>
  <conditionalFormatting sqref="G57">
    <cfRule type="cellIs" dxfId="465" priority="224" stopIfTrue="1" operator="equal">
      <formula>0</formula>
    </cfRule>
  </conditionalFormatting>
  <conditionalFormatting sqref="G64">
    <cfRule type="cellIs" dxfId="464" priority="223" stopIfTrue="1" operator="equal">
      <formula>0</formula>
    </cfRule>
  </conditionalFormatting>
  <conditionalFormatting sqref="I50">
    <cfRule type="cellIs" dxfId="463" priority="222" stopIfTrue="1" operator="equal">
      <formula>0</formula>
    </cfRule>
  </conditionalFormatting>
  <conditionalFormatting sqref="I57">
    <cfRule type="cellIs" dxfId="462" priority="221" stopIfTrue="1" operator="equal">
      <formula>0</formula>
    </cfRule>
  </conditionalFormatting>
  <conditionalFormatting sqref="I64">
    <cfRule type="cellIs" dxfId="461" priority="220" stopIfTrue="1" operator="equal">
      <formula>0</formula>
    </cfRule>
  </conditionalFormatting>
  <conditionalFormatting sqref="E28">
    <cfRule type="cellIs" dxfId="460" priority="219" stopIfTrue="1" operator="equal">
      <formula>0</formula>
    </cfRule>
  </conditionalFormatting>
  <conditionalFormatting sqref="E29">
    <cfRule type="cellIs" dxfId="459" priority="218" stopIfTrue="1" operator="equal">
      <formula>0</formula>
    </cfRule>
  </conditionalFormatting>
  <conditionalFormatting sqref="I28:I29">
    <cfRule type="cellIs" dxfId="458" priority="216" stopIfTrue="1" operator="equal">
      <formula>0</formula>
    </cfRule>
  </conditionalFormatting>
  <conditionalFormatting sqref="G28:G29">
    <cfRule type="cellIs" dxfId="457" priority="217" stopIfTrue="1" operator="equal">
      <formula>0</formula>
    </cfRule>
  </conditionalFormatting>
  <conditionalFormatting sqref="H40:H43">
    <cfRule type="cellIs" dxfId="456" priority="206" stopIfTrue="1" operator="equal">
      <formula>0</formula>
    </cfRule>
  </conditionalFormatting>
  <conditionalFormatting sqref="F39">
    <cfRule type="cellIs" dxfId="455" priority="209" stopIfTrue="1" operator="equal">
      <formula>0</formula>
    </cfRule>
  </conditionalFormatting>
  <conditionalFormatting sqref="H33:H36">
    <cfRule type="cellIs" dxfId="454" priority="212" stopIfTrue="1" operator="equal">
      <formula>0</formula>
    </cfRule>
  </conditionalFormatting>
  <conditionalFormatting sqref="F32">
    <cfRule type="cellIs" dxfId="453" priority="215" stopIfTrue="1" operator="equal">
      <formula>0</formula>
    </cfRule>
  </conditionalFormatting>
  <conditionalFormatting sqref="F33:F36">
    <cfRule type="cellIs" dxfId="452" priority="214" stopIfTrue="1" operator="equal">
      <formula>0</formula>
    </cfRule>
  </conditionalFormatting>
  <conditionalFormatting sqref="H32">
    <cfRule type="cellIs" dxfId="451" priority="213" stopIfTrue="1" operator="equal">
      <formula>0</formula>
    </cfRule>
  </conditionalFormatting>
  <conditionalFormatting sqref="D61:D64">
    <cfRule type="cellIs" dxfId="450" priority="192" stopIfTrue="1" operator="equal">
      <formula>0</formula>
    </cfRule>
  </conditionalFormatting>
  <conditionalFormatting sqref="D39">
    <cfRule type="cellIs" dxfId="449" priority="211" stopIfTrue="1" operator="equal">
      <formula>0</formula>
    </cfRule>
  </conditionalFormatting>
  <conditionalFormatting sqref="D40:D43">
    <cfRule type="cellIs" dxfId="448" priority="210" stopIfTrue="1" operator="equal">
      <formula>0</formula>
    </cfRule>
  </conditionalFormatting>
  <conditionalFormatting sqref="H60">
    <cfRule type="cellIs" dxfId="447" priority="189" stopIfTrue="1" operator="equal">
      <formula>0</formula>
    </cfRule>
  </conditionalFormatting>
  <conditionalFormatting sqref="F40:F43">
    <cfRule type="cellIs" dxfId="446" priority="208" stopIfTrue="1" operator="equal">
      <formula>0</formula>
    </cfRule>
  </conditionalFormatting>
  <conditionalFormatting sqref="H39">
    <cfRule type="cellIs" dxfId="445" priority="207" stopIfTrue="1" operator="equal">
      <formula>0</formula>
    </cfRule>
  </conditionalFormatting>
  <conditionalFormatting sqref="A43:C43">
    <cfRule type="cellIs" dxfId="444" priority="186" stopIfTrue="1" operator="equal">
      <formula>0</formula>
    </cfRule>
  </conditionalFormatting>
  <conditionalFormatting sqref="D46">
    <cfRule type="cellIs" dxfId="443" priority="205" stopIfTrue="1" operator="equal">
      <formula>0</formula>
    </cfRule>
  </conditionalFormatting>
  <conditionalFormatting sqref="D47:D50">
    <cfRule type="cellIs" dxfId="442" priority="204" stopIfTrue="1" operator="equal">
      <formula>0</formula>
    </cfRule>
  </conditionalFormatting>
  <conditionalFormatting sqref="F46">
    <cfRule type="cellIs" dxfId="441" priority="203" stopIfTrue="1" operator="equal">
      <formula>0</formula>
    </cfRule>
  </conditionalFormatting>
  <conditionalFormatting sqref="F47:F50">
    <cfRule type="cellIs" dxfId="440" priority="202" stopIfTrue="1" operator="equal">
      <formula>0</formula>
    </cfRule>
  </conditionalFormatting>
  <conditionalFormatting sqref="H46">
    <cfRule type="cellIs" dxfId="439" priority="201" stopIfTrue="1" operator="equal">
      <formula>0</formula>
    </cfRule>
  </conditionalFormatting>
  <conditionalFormatting sqref="H47:H50">
    <cfRule type="cellIs" dxfId="438" priority="200" stopIfTrue="1" operator="equal">
      <formula>0</formula>
    </cfRule>
  </conditionalFormatting>
  <conditionalFormatting sqref="D53">
    <cfRule type="cellIs" dxfId="437" priority="199" stopIfTrue="1" operator="equal">
      <formula>0</formula>
    </cfRule>
  </conditionalFormatting>
  <conditionalFormatting sqref="D54:D57">
    <cfRule type="cellIs" dxfId="436" priority="198" stopIfTrue="1" operator="equal">
      <formula>0</formula>
    </cfRule>
  </conditionalFormatting>
  <conditionalFormatting sqref="F53">
    <cfRule type="cellIs" dxfId="435" priority="197" stopIfTrue="1" operator="equal">
      <formula>0</formula>
    </cfRule>
  </conditionalFormatting>
  <conditionalFormatting sqref="F54:F57">
    <cfRule type="cellIs" dxfId="434" priority="196" stopIfTrue="1" operator="equal">
      <formula>0</formula>
    </cfRule>
  </conditionalFormatting>
  <conditionalFormatting sqref="H53">
    <cfRule type="cellIs" dxfId="433" priority="195" stopIfTrue="1" operator="equal">
      <formula>0</formula>
    </cfRule>
  </conditionalFormatting>
  <conditionalFormatting sqref="H54:H57">
    <cfRule type="cellIs" dxfId="432" priority="194" stopIfTrue="1" operator="equal">
      <formula>0</formula>
    </cfRule>
  </conditionalFormatting>
  <conditionalFormatting sqref="D60">
    <cfRule type="cellIs" dxfId="431" priority="193" stopIfTrue="1" operator="equal">
      <formula>0</formula>
    </cfRule>
  </conditionalFormatting>
  <conditionalFormatting sqref="E92">
    <cfRule type="cellIs" dxfId="430" priority="168" stopIfTrue="1" operator="equal">
      <formula>0</formula>
    </cfRule>
  </conditionalFormatting>
  <conditionalFormatting sqref="F60">
    <cfRule type="cellIs" dxfId="429" priority="191" stopIfTrue="1" operator="equal">
      <formula>0</formula>
    </cfRule>
  </conditionalFormatting>
  <conditionalFormatting sqref="F61:F64">
    <cfRule type="cellIs" dxfId="428" priority="190" stopIfTrue="1" operator="equal">
      <formula>0</formula>
    </cfRule>
  </conditionalFormatting>
  <conditionalFormatting sqref="G92">
    <cfRule type="cellIs" dxfId="427" priority="165" stopIfTrue="1" operator="equal">
      <formula>0</formula>
    </cfRule>
  </conditionalFormatting>
  <conditionalFormatting sqref="H61:H64">
    <cfRule type="cellIs" dxfId="426" priority="188" stopIfTrue="1" operator="equal">
      <formula>0</formula>
    </cfRule>
  </conditionalFormatting>
  <conditionalFormatting sqref="G50">
    <cfRule type="cellIs" dxfId="425" priority="187" stopIfTrue="1" operator="equal">
      <formula>0</formula>
    </cfRule>
  </conditionalFormatting>
  <conditionalFormatting sqref="I92">
    <cfRule type="cellIs" dxfId="424" priority="162" stopIfTrue="1" operator="equal">
      <formula>0</formula>
    </cfRule>
  </conditionalFormatting>
  <conditionalFormatting sqref="A68:C70 A75:C77 A82:C84 A89:C91 A96:C98 E76:E77 G76:G77 I76:I77 E83:E84 G83:G84 I83:I84 E90:E91 G90:G91 I90:I91 E97:E98 G97:G98 I97:I98 E68:E71 I68:I71 G68:G71 A66:K66 A73:K73 A80:K80 A87:K87 A94:K94">
    <cfRule type="cellIs" dxfId="423" priority="185" stopIfTrue="1" operator="equal">
      <formula>0</formula>
    </cfRule>
  </conditionalFormatting>
  <conditionalFormatting sqref="A95:C95">
    <cfRule type="cellIs" dxfId="422" priority="184" stopIfTrue="1" operator="equal">
      <formula>0</formula>
    </cfRule>
  </conditionalFormatting>
  <conditionalFormatting sqref="A99:C99">
    <cfRule type="cellIs" dxfId="421" priority="183" stopIfTrue="1" operator="equal">
      <formula>0</formula>
    </cfRule>
  </conditionalFormatting>
  <conditionalFormatting sqref="A88:C88">
    <cfRule type="cellIs" dxfId="420" priority="182" stopIfTrue="1" operator="equal">
      <formula>0</formula>
    </cfRule>
  </conditionalFormatting>
  <conditionalFormatting sqref="A92:C92">
    <cfRule type="cellIs" dxfId="419" priority="181" stopIfTrue="1" operator="equal">
      <formula>0</formula>
    </cfRule>
  </conditionalFormatting>
  <conditionalFormatting sqref="A85:C85">
    <cfRule type="cellIs" dxfId="418" priority="180" stopIfTrue="1" operator="equal">
      <formula>0</formula>
    </cfRule>
  </conditionalFormatting>
  <conditionalFormatting sqref="A81:C81">
    <cfRule type="cellIs" dxfId="417" priority="179" stopIfTrue="1" operator="equal">
      <formula>0</formula>
    </cfRule>
  </conditionalFormatting>
  <conditionalFormatting sqref="A78:C78">
    <cfRule type="cellIs" dxfId="416" priority="178" stopIfTrue="1" operator="equal">
      <formula>0</formula>
    </cfRule>
  </conditionalFormatting>
  <conditionalFormatting sqref="A74:C74">
    <cfRule type="cellIs" dxfId="415" priority="177" stopIfTrue="1" operator="equal">
      <formula>0</formula>
    </cfRule>
  </conditionalFormatting>
  <conditionalFormatting sqref="A71:C71">
    <cfRule type="cellIs" dxfId="414" priority="176" stopIfTrue="1" operator="equal">
      <formula>0</formula>
    </cfRule>
  </conditionalFormatting>
  <conditionalFormatting sqref="A67:C67">
    <cfRule type="cellIs" dxfId="413" priority="175" stopIfTrue="1" operator="equal">
      <formula>0</formula>
    </cfRule>
  </conditionalFormatting>
  <conditionalFormatting sqref="D67">
    <cfRule type="cellIs" dxfId="412" priority="174" stopIfTrue="1" operator="equal">
      <formula>0</formula>
    </cfRule>
  </conditionalFormatting>
  <conditionalFormatting sqref="D68:D71">
    <cfRule type="cellIs" dxfId="411" priority="173" stopIfTrue="1" operator="equal">
      <formula>0</formula>
    </cfRule>
  </conditionalFormatting>
  <conditionalFormatting sqref="E78">
    <cfRule type="cellIs" dxfId="410" priority="172" stopIfTrue="1" operator="equal">
      <formula>0</formula>
    </cfRule>
  </conditionalFormatting>
  <conditionalFormatting sqref="G78">
    <cfRule type="cellIs" dxfId="409" priority="171" stopIfTrue="1" operator="equal">
      <formula>0</formula>
    </cfRule>
  </conditionalFormatting>
  <conditionalFormatting sqref="I78">
    <cfRule type="cellIs" dxfId="408" priority="170" stopIfTrue="1" operator="equal">
      <formula>0</formula>
    </cfRule>
  </conditionalFormatting>
  <conditionalFormatting sqref="E85">
    <cfRule type="cellIs" dxfId="407" priority="169" stopIfTrue="1" operator="equal">
      <formula>0</formula>
    </cfRule>
  </conditionalFormatting>
  <conditionalFormatting sqref="E99">
    <cfRule type="cellIs" dxfId="406" priority="167" stopIfTrue="1" operator="equal">
      <formula>0</formula>
    </cfRule>
  </conditionalFormatting>
  <conditionalFormatting sqref="G85">
    <cfRule type="cellIs" dxfId="405" priority="166" stopIfTrue="1" operator="equal">
      <formula>0</formula>
    </cfRule>
  </conditionalFormatting>
  <conditionalFormatting sqref="G99">
    <cfRule type="cellIs" dxfId="404" priority="164" stopIfTrue="1" operator="equal">
      <formula>0</formula>
    </cfRule>
  </conditionalFormatting>
  <conditionalFormatting sqref="I85">
    <cfRule type="cellIs" dxfId="403" priority="163" stopIfTrue="1" operator="equal">
      <formula>0</formula>
    </cfRule>
  </conditionalFormatting>
  <conditionalFormatting sqref="I99">
    <cfRule type="cellIs" dxfId="402" priority="161" stopIfTrue="1" operator="equal">
      <formula>0</formula>
    </cfRule>
  </conditionalFormatting>
  <conditionalFormatting sqref="H76:H78">
    <cfRule type="cellIs" dxfId="401" priority="151" stopIfTrue="1" operator="equal">
      <formula>0</formula>
    </cfRule>
  </conditionalFormatting>
  <conditionalFormatting sqref="F74">
    <cfRule type="cellIs" dxfId="400" priority="154" stopIfTrue="1" operator="equal">
      <formula>0</formula>
    </cfRule>
  </conditionalFormatting>
  <conditionalFormatting sqref="H68:H71">
    <cfRule type="cellIs" dxfId="399" priority="157" stopIfTrue="1" operator="equal">
      <formula>0</formula>
    </cfRule>
  </conditionalFormatting>
  <conditionalFormatting sqref="F67">
    <cfRule type="cellIs" dxfId="398" priority="160" stopIfTrue="1" operator="equal">
      <formula>0</formula>
    </cfRule>
  </conditionalFormatting>
  <conditionalFormatting sqref="F68:F71">
    <cfRule type="cellIs" dxfId="397" priority="159" stopIfTrue="1" operator="equal">
      <formula>0</formula>
    </cfRule>
  </conditionalFormatting>
  <conditionalFormatting sqref="H67">
    <cfRule type="cellIs" dxfId="396" priority="158" stopIfTrue="1" operator="equal">
      <formula>0</formula>
    </cfRule>
  </conditionalFormatting>
  <conditionalFormatting sqref="H97:H99">
    <cfRule type="cellIs" dxfId="395" priority="133" stopIfTrue="1" operator="equal">
      <formula>0</formula>
    </cfRule>
  </conditionalFormatting>
  <conditionalFormatting sqref="D74">
    <cfRule type="cellIs" dxfId="394" priority="156" stopIfTrue="1" operator="equal">
      <formula>0</formula>
    </cfRule>
  </conditionalFormatting>
  <conditionalFormatting sqref="D75:D78">
    <cfRule type="cellIs" dxfId="393" priority="155" stopIfTrue="1" operator="equal">
      <formula>0</formula>
    </cfRule>
  </conditionalFormatting>
  <conditionalFormatting sqref="H75">
    <cfRule type="cellIs" dxfId="392" priority="130" stopIfTrue="1" operator="equal">
      <formula>0</formula>
    </cfRule>
  </conditionalFormatting>
  <conditionalFormatting sqref="F76:F78">
    <cfRule type="cellIs" dxfId="391" priority="153" stopIfTrue="1" operator="equal">
      <formula>0</formula>
    </cfRule>
  </conditionalFormatting>
  <conditionalFormatting sqref="H74">
    <cfRule type="cellIs" dxfId="390" priority="152" stopIfTrue="1" operator="equal">
      <formula>0</formula>
    </cfRule>
  </conditionalFormatting>
  <conditionalFormatting sqref="H82">
    <cfRule type="cellIs" dxfId="389" priority="127" stopIfTrue="1" operator="equal">
      <formula>0</formula>
    </cfRule>
  </conditionalFormatting>
  <conditionalFormatting sqref="D81">
    <cfRule type="cellIs" dxfId="388" priority="150" stopIfTrue="1" operator="equal">
      <formula>0</formula>
    </cfRule>
  </conditionalFormatting>
  <conditionalFormatting sqref="D82:D85">
    <cfRule type="cellIs" dxfId="387" priority="149" stopIfTrue="1" operator="equal">
      <formula>0</formula>
    </cfRule>
  </conditionalFormatting>
  <conditionalFormatting sqref="F81">
    <cfRule type="cellIs" dxfId="386" priority="148" stopIfTrue="1" operator="equal">
      <formula>0</formula>
    </cfRule>
  </conditionalFormatting>
  <conditionalFormatting sqref="F83:F85">
    <cfRule type="cellIs" dxfId="385" priority="147" stopIfTrue="1" operator="equal">
      <formula>0</formula>
    </cfRule>
  </conditionalFormatting>
  <conditionalFormatting sqref="H81">
    <cfRule type="cellIs" dxfId="384" priority="146" stopIfTrue="1" operator="equal">
      <formula>0</formula>
    </cfRule>
  </conditionalFormatting>
  <conditionalFormatting sqref="H83:H85">
    <cfRule type="cellIs" dxfId="383" priority="145" stopIfTrue="1" operator="equal">
      <formula>0</formula>
    </cfRule>
  </conditionalFormatting>
  <conditionalFormatting sqref="D88">
    <cfRule type="cellIs" dxfId="382" priority="144" stopIfTrue="1" operator="equal">
      <formula>0</formula>
    </cfRule>
  </conditionalFormatting>
  <conditionalFormatting sqref="D89:D92">
    <cfRule type="cellIs" dxfId="381" priority="143" stopIfTrue="1" operator="equal">
      <formula>0</formula>
    </cfRule>
  </conditionalFormatting>
  <conditionalFormatting sqref="F88">
    <cfRule type="cellIs" dxfId="380" priority="142" stopIfTrue="1" operator="equal">
      <formula>0</formula>
    </cfRule>
  </conditionalFormatting>
  <conditionalFormatting sqref="F90:F92">
    <cfRule type="cellIs" dxfId="379" priority="141" stopIfTrue="1" operator="equal">
      <formula>0</formula>
    </cfRule>
  </conditionalFormatting>
  <conditionalFormatting sqref="H88">
    <cfRule type="cellIs" dxfId="378" priority="140" stopIfTrue="1" operator="equal">
      <formula>0</formula>
    </cfRule>
  </conditionalFormatting>
  <conditionalFormatting sqref="H90:H92">
    <cfRule type="cellIs" dxfId="377" priority="139" stopIfTrue="1" operator="equal">
      <formula>0</formula>
    </cfRule>
  </conditionalFormatting>
  <conditionalFormatting sqref="D95">
    <cfRule type="cellIs" dxfId="376" priority="138" stopIfTrue="1" operator="equal">
      <formula>0</formula>
    </cfRule>
  </conditionalFormatting>
  <conditionalFormatting sqref="D96:D99">
    <cfRule type="cellIs" dxfId="375" priority="137" stopIfTrue="1" operator="equal">
      <formula>0</formula>
    </cfRule>
  </conditionalFormatting>
  <conditionalFormatting sqref="F95">
    <cfRule type="cellIs" dxfId="374" priority="136" stopIfTrue="1" operator="equal">
      <formula>0</formula>
    </cfRule>
  </conditionalFormatting>
  <conditionalFormatting sqref="F97:F99">
    <cfRule type="cellIs" dxfId="373" priority="135" stopIfTrue="1" operator="equal">
      <formula>0</formula>
    </cfRule>
  </conditionalFormatting>
  <conditionalFormatting sqref="H95">
    <cfRule type="cellIs" dxfId="372" priority="134" stopIfTrue="1" operator="equal">
      <formula>0</formula>
    </cfRule>
  </conditionalFormatting>
  <conditionalFormatting sqref="E75 G75 I75">
    <cfRule type="cellIs" dxfId="371" priority="132" stopIfTrue="1" operator="equal">
      <formula>0</formula>
    </cfRule>
  </conditionalFormatting>
  <conditionalFormatting sqref="F75">
    <cfRule type="cellIs" dxfId="370" priority="131" stopIfTrue="1" operator="equal">
      <formula>0</formula>
    </cfRule>
  </conditionalFormatting>
  <conditionalFormatting sqref="E82 G82 I82">
    <cfRule type="cellIs" dxfId="369" priority="129" stopIfTrue="1" operator="equal">
      <formula>0</formula>
    </cfRule>
  </conditionalFormatting>
  <conditionalFormatting sqref="F82">
    <cfRule type="cellIs" dxfId="368" priority="128" stopIfTrue="1" operator="equal">
      <formula>0</formula>
    </cfRule>
  </conditionalFormatting>
  <conditionalFormatting sqref="E89 G89 I89">
    <cfRule type="cellIs" dxfId="367" priority="126" stopIfTrue="1" operator="equal">
      <formula>0</formula>
    </cfRule>
  </conditionalFormatting>
  <conditionalFormatting sqref="F89">
    <cfRule type="cellIs" dxfId="366" priority="125" stopIfTrue="1" operator="equal">
      <formula>0</formula>
    </cfRule>
  </conditionalFormatting>
  <conditionalFormatting sqref="H89">
    <cfRule type="cellIs" dxfId="365" priority="124" stopIfTrue="1" operator="equal">
      <formula>0</formula>
    </cfRule>
  </conditionalFormatting>
  <conditionalFormatting sqref="E96 G96 I96">
    <cfRule type="cellIs" dxfId="364" priority="123" stopIfTrue="1" operator="equal">
      <formula>0</formula>
    </cfRule>
  </conditionalFormatting>
  <conditionalFormatting sqref="F96">
    <cfRule type="cellIs" dxfId="363" priority="122" stopIfTrue="1" operator="equal">
      <formula>0</formula>
    </cfRule>
  </conditionalFormatting>
  <conditionalFormatting sqref="H96">
    <cfRule type="cellIs" dxfId="362" priority="121" stopIfTrue="1" operator="equal">
      <formula>0</formula>
    </cfRule>
  </conditionalFormatting>
  <conditionalFormatting sqref="A103:C105 A110:C112 A117:C119 A124:C126 A131:C133 E111:E112 G111:G112 I111:I112 E118:E119 G118:G119 I118:I119 E125:E126 G125:G126 E132:E133 G132:G133 E103:E106 I103:I106 G103:G106 A101:K101 A108:K108 A115:K115 A122:K122 A129:K129">
    <cfRule type="cellIs" dxfId="361" priority="120" stopIfTrue="1" operator="equal">
      <formula>0</formula>
    </cfRule>
  </conditionalFormatting>
  <conditionalFormatting sqref="A130:C130">
    <cfRule type="cellIs" dxfId="360" priority="119" stopIfTrue="1" operator="equal">
      <formula>0</formula>
    </cfRule>
  </conditionalFormatting>
  <conditionalFormatting sqref="A134:C134">
    <cfRule type="cellIs" dxfId="359" priority="118" stopIfTrue="1" operator="equal">
      <formula>0</formula>
    </cfRule>
  </conditionalFormatting>
  <conditionalFormatting sqref="A123:C123">
    <cfRule type="cellIs" dxfId="358" priority="117" stopIfTrue="1" operator="equal">
      <formula>0</formula>
    </cfRule>
  </conditionalFormatting>
  <conditionalFormatting sqref="A127:C127">
    <cfRule type="cellIs" dxfId="357" priority="116" stopIfTrue="1" operator="equal">
      <formula>0</formula>
    </cfRule>
  </conditionalFormatting>
  <conditionalFormatting sqref="A120:C120">
    <cfRule type="cellIs" dxfId="356" priority="115" stopIfTrue="1" operator="equal">
      <formula>0</formula>
    </cfRule>
  </conditionalFormatting>
  <conditionalFormatting sqref="A116:C116">
    <cfRule type="cellIs" dxfId="355" priority="114" stopIfTrue="1" operator="equal">
      <formula>0</formula>
    </cfRule>
  </conditionalFormatting>
  <conditionalFormatting sqref="A113:C113">
    <cfRule type="cellIs" dxfId="354" priority="113" stopIfTrue="1" operator="equal">
      <formula>0</formula>
    </cfRule>
  </conditionalFormatting>
  <conditionalFormatting sqref="A109:C109">
    <cfRule type="cellIs" dxfId="353" priority="112" stopIfTrue="1" operator="equal">
      <formula>0</formula>
    </cfRule>
  </conditionalFormatting>
  <conditionalFormatting sqref="A106:C106">
    <cfRule type="cellIs" dxfId="352" priority="111" stopIfTrue="1" operator="equal">
      <formula>0</formula>
    </cfRule>
  </conditionalFormatting>
  <conditionalFormatting sqref="A102:C102">
    <cfRule type="cellIs" dxfId="351" priority="110" stopIfTrue="1" operator="equal">
      <formula>0</formula>
    </cfRule>
  </conditionalFormatting>
  <conditionalFormatting sqref="E113">
    <cfRule type="cellIs" dxfId="350" priority="109" stopIfTrue="1" operator="equal">
      <formula>0</formula>
    </cfRule>
  </conditionalFormatting>
  <conditionalFormatting sqref="I113">
    <cfRule type="cellIs" dxfId="349" priority="108" stopIfTrue="1" operator="equal">
      <formula>0</formula>
    </cfRule>
  </conditionalFormatting>
  <conditionalFormatting sqref="E120">
    <cfRule type="cellIs" dxfId="348" priority="107" stopIfTrue="1" operator="equal">
      <formula>0</formula>
    </cfRule>
  </conditionalFormatting>
  <conditionalFormatting sqref="E127">
    <cfRule type="cellIs" dxfId="347" priority="106" stopIfTrue="1" operator="equal">
      <formula>0</formula>
    </cfRule>
  </conditionalFormatting>
  <conditionalFormatting sqref="E134">
    <cfRule type="cellIs" dxfId="346" priority="105" stopIfTrue="1" operator="equal">
      <formula>0</formula>
    </cfRule>
  </conditionalFormatting>
  <conditionalFormatting sqref="G127">
    <cfRule type="cellIs" dxfId="345" priority="104" stopIfTrue="1" operator="equal">
      <formula>0</formula>
    </cfRule>
  </conditionalFormatting>
  <conditionalFormatting sqref="G134">
    <cfRule type="cellIs" dxfId="344" priority="103" stopIfTrue="1" operator="equal">
      <formula>0</formula>
    </cfRule>
  </conditionalFormatting>
  <conditionalFormatting sqref="I120">
    <cfRule type="cellIs" dxfId="343" priority="102" stopIfTrue="1" operator="equal">
      <formula>0</formula>
    </cfRule>
  </conditionalFormatting>
  <conditionalFormatting sqref="H116">
    <cfRule type="cellIs" dxfId="342" priority="85" stopIfTrue="1" operator="equal">
      <formula>0</formula>
    </cfRule>
  </conditionalFormatting>
  <conditionalFormatting sqref="D117:D120">
    <cfRule type="cellIs" dxfId="341" priority="88" stopIfTrue="1" operator="equal">
      <formula>0</formula>
    </cfRule>
  </conditionalFormatting>
  <conditionalFormatting sqref="H109">
    <cfRule type="cellIs" dxfId="340" priority="91" stopIfTrue="1" operator="equal">
      <formula>0</formula>
    </cfRule>
  </conditionalFormatting>
  <conditionalFormatting sqref="D110:D113">
    <cfRule type="cellIs" dxfId="339" priority="94" stopIfTrue="1" operator="equal">
      <formula>0</formula>
    </cfRule>
  </conditionalFormatting>
  <conditionalFormatting sqref="D102">
    <cfRule type="cellIs" dxfId="338" priority="101" stopIfTrue="1" operator="equal">
      <formula>0</formula>
    </cfRule>
  </conditionalFormatting>
  <conditionalFormatting sqref="D103:D106">
    <cfRule type="cellIs" dxfId="337" priority="100" stopIfTrue="1" operator="equal">
      <formula>0</formula>
    </cfRule>
  </conditionalFormatting>
  <conditionalFormatting sqref="F102">
    <cfRule type="cellIs" dxfId="336" priority="99" stopIfTrue="1" operator="equal">
      <formula>0</formula>
    </cfRule>
  </conditionalFormatting>
  <conditionalFormatting sqref="F103:F106">
    <cfRule type="cellIs" dxfId="335" priority="98" stopIfTrue="1" operator="equal">
      <formula>0</formula>
    </cfRule>
  </conditionalFormatting>
  <conditionalFormatting sqref="H102">
    <cfRule type="cellIs" dxfId="334" priority="97" stopIfTrue="1" operator="equal">
      <formula>0</formula>
    </cfRule>
  </conditionalFormatting>
  <conditionalFormatting sqref="H103:H106">
    <cfRule type="cellIs" dxfId="333" priority="96" stopIfTrue="1" operator="equal">
      <formula>0</formula>
    </cfRule>
  </conditionalFormatting>
  <conditionalFormatting sqref="D109">
    <cfRule type="cellIs" dxfId="332" priority="95" stopIfTrue="1" operator="equal">
      <formula>0</formula>
    </cfRule>
  </conditionalFormatting>
  <conditionalFormatting sqref="F109">
    <cfRule type="cellIs" dxfId="331" priority="93" stopIfTrue="1" operator="equal">
      <formula>0</formula>
    </cfRule>
  </conditionalFormatting>
  <conditionalFormatting sqref="F111:F113">
    <cfRule type="cellIs" dxfId="330" priority="92" stopIfTrue="1" operator="equal">
      <formula>0</formula>
    </cfRule>
  </conditionalFormatting>
  <conditionalFormatting sqref="H111:H113">
    <cfRule type="cellIs" dxfId="329" priority="90" stopIfTrue="1" operator="equal">
      <formula>0</formula>
    </cfRule>
  </conditionalFormatting>
  <conditionalFormatting sqref="D116">
    <cfRule type="cellIs" dxfId="328" priority="89" stopIfTrue="1" operator="equal">
      <formula>0</formula>
    </cfRule>
  </conditionalFormatting>
  <conditionalFormatting sqref="F116">
    <cfRule type="cellIs" dxfId="327" priority="87" stopIfTrue="1" operator="equal">
      <formula>0</formula>
    </cfRule>
  </conditionalFormatting>
  <conditionalFormatting sqref="F118:F120">
    <cfRule type="cellIs" dxfId="326" priority="86" stopIfTrue="1" operator="equal">
      <formula>0</formula>
    </cfRule>
  </conditionalFormatting>
  <conditionalFormatting sqref="H118:H120">
    <cfRule type="cellIs" dxfId="325" priority="84" stopIfTrue="1" operator="equal">
      <formula>0</formula>
    </cfRule>
  </conditionalFormatting>
  <conditionalFormatting sqref="D123">
    <cfRule type="cellIs" dxfId="324" priority="83" stopIfTrue="1" operator="equal">
      <formula>0</formula>
    </cfRule>
  </conditionalFormatting>
  <conditionalFormatting sqref="D124:D127">
    <cfRule type="cellIs" dxfId="323" priority="82" stopIfTrue="1" operator="equal">
      <formula>0</formula>
    </cfRule>
  </conditionalFormatting>
  <conditionalFormatting sqref="F123">
    <cfRule type="cellIs" dxfId="322" priority="81" stopIfTrue="1" operator="equal">
      <formula>0</formula>
    </cfRule>
  </conditionalFormatting>
  <conditionalFormatting sqref="F125:F127">
    <cfRule type="cellIs" dxfId="321" priority="80" stopIfTrue="1" operator="equal">
      <formula>0</formula>
    </cfRule>
  </conditionalFormatting>
  <conditionalFormatting sqref="H123">
    <cfRule type="cellIs" dxfId="320" priority="79" stopIfTrue="1" operator="equal">
      <formula>0</formula>
    </cfRule>
  </conditionalFormatting>
  <conditionalFormatting sqref="H125:H127">
    <cfRule type="cellIs" dxfId="319" priority="78" stopIfTrue="1" operator="equal">
      <formula>0</formula>
    </cfRule>
  </conditionalFormatting>
  <conditionalFormatting sqref="D130">
    <cfRule type="cellIs" dxfId="318" priority="77" stopIfTrue="1" operator="equal">
      <formula>0</formula>
    </cfRule>
  </conditionalFormatting>
  <conditionalFormatting sqref="D131:D134">
    <cfRule type="cellIs" dxfId="317" priority="76" stopIfTrue="1" operator="equal">
      <formula>0</formula>
    </cfRule>
  </conditionalFormatting>
  <conditionalFormatting sqref="F130">
    <cfRule type="cellIs" dxfId="316" priority="75" stopIfTrue="1" operator="equal">
      <formula>0</formula>
    </cfRule>
  </conditionalFormatting>
  <conditionalFormatting sqref="F132:F134">
    <cfRule type="cellIs" dxfId="315" priority="74" stopIfTrue="1" operator="equal">
      <formula>0</formula>
    </cfRule>
  </conditionalFormatting>
  <conditionalFormatting sqref="H130">
    <cfRule type="cellIs" dxfId="314" priority="73" stopIfTrue="1" operator="equal">
      <formula>0</formula>
    </cfRule>
  </conditionalFormatting>
  <conditionalFormatting sqref="H132:H134">
    <cfRule type="cellIs" dxfId="313" priority="72" stopIfTrue="1" operator="equal">
      <formula>0</formula>
    </cfRule>
  </conditionalFormatting>
  <conditionalFormatting sqref="E131 G131 E124 G124 E117 G117 I117 E110 G110 I110">
    <cfRule type="cellIs" dxfId="312" priority="71" stopIfTrue="1" operator="equal">
      <formula>0</formula>
    </cfRule>
  </conditionalFormatting>
  <conditionalFormatting sqref="F131 F124 F117 F110">
    <cfRule type="cellIs" dxfId="311" priority="70" stopIfTrue="1" operator="equal">
      <formula>0</formula>
    </cfRule>
  </conditionalFormatting>
  <conditionalFormatting sqref="H131 H124 H117 H110">
    <cfRule type="cellIs" dxfId="310" priority="69" stopIfTrue="1" operator="equal">
      <formula>0</formula>
    </cfRule>
  </conditionalFormatting>
  <conditionalFormatting sqref="G113">
    <cfRule type="cellIs" dxfId="309" priority="68" stopIfTrue="1" operator="equal">
      <formula>0</formula>
    </cfRule>
  </conditionalFormatting>
  <conditionalFormatting sqref="G120">
    <cfRule type="cellIs" dxfId="308" priority="67" stopIfTrue="1" operator="equal">
      <formula>0</formula>
    </cfRule>
  </conditionalFormatting>
  <conditionalFormatting sqref="I125:I126">
    <cfRule type="cellIs" dxfId="307" priority="66" stopIfTrue="1" operator="equal">
      <formula>0</formula>
    </cfRule>
  </conditionalFormatting>
  <conditionalFormatting sqref="I124">
    <cfRule type="cellIs" dxfId="306" priority="65" stopIfTrue="1" operator="equal">
      <formula>0</formula>
    </cfRule>
  </conditionalFormatting>
  <conditionalFormatting sqref="I127">
    <cfRule type="cellIs" dxfId="305" priority="64" stopIfTrue="1" operator="equal">
      <formula>0</formula>
    </cfRule>
  </conditionalFormatting>
  <conditionalFormatting sqref="I132:I133">
    <cfRule type="cellIs" dxfId="304" priority="63" stopIfTrue="1" operator="equal">
      <formula>0</formula>
    </cfRule>
  </conditionalFormatting>
  <conditionalFormatting sqref="I131">
    <cfRule type="cellIs" dxfId="303" priority="62" stopIfTrue="1" operator="equal">
      <formula>0</formula>
    </cfRule>
  </conditionalFormatting>
  <conditionalFormatting sqref="I134">
    <cfRule type="cellIs" dxfId="302" priority="61" stopIfTrue="1" operator="equal">
      <formula>0</formula>
    </cfRule>
  </conditionalFormatting>
  <conditionalFormatting sqref="K37">
    <cfRule type="cellIs" dxfId="301" priority="60" stopIfTrue="1" operator="equal">
      <formula>0</formula>
    </cfRule>
  </conditionalFormatting>
  <conditionalFormatting sqref="D37">
    <cfRule type="cellIs" dxfId="300" priority="59" stopIfTrue="1" operator="equal">
      <formula>0</formula>
    </cfRule>
  </conditionalFormatting>
  <conditionalFormatting sqref="H37">
    <cfRule type="cellIs" dxfId="299" priority="57" stopIfTrue="1" operator="equal">
      <formula>0</formula>
    </cfRule>
  </conditionalFormatting>
  <conditionalFormatting sqref="F37">
    <cfRule type="cellIs" dxfId="298" priority="58" stopIfTrue="1" operator="equal">
      <formula>0</formula>
    </cfRule>
  </conditionalFormatting>
  <conditionalFormatting sqref="K44">
    <cfRule type="cellIs" dxfId="297" priority="56" stopIfTrue="1" operator="equal">
      <formula>0</formula>
    </cfRule>
  </conditionalFormatting>
  <conditionalFormatting sqref="D44">
    <cfRule type="cellIs" dxfId="296" priority="55" stopIfTrue="1" operator="equal">
      <formula>0</formula>
    </cfRule>
  </conditionalFormatting>
  <conditionalFormatting sqref="H44">
    <cfRule type="cellIs" dxfId="295" priority="53" stopIfTrue="1" operator="equal">
      <formula>0</formula>
    </cfRule>
  </conditionalFormatting>
  <conditionalFormatting sqref="F44">
    <cfRule type="cellIs" dxfId="294" priority="54" stopIfTrue="1" operator="equal">
      <formula>0</formula>
    </cfRule>
  </conditionalFormatting>
  <conditionalFormatting sqref="K51">
    <cfRule type="cellIs" dxfId="293" priority="52" stopIfTrue="1" operator="equal">
      <formula>0</formula>
    </cfRule>
  </conditionalFormatting>
  <conditionalFormatting sqref="D51">
    <cfRule type="cellIs" dxfId="292" priority="51" stopIfTrue="1" operator="equal">
      <formula>0</formula>
    </cfRule>
  </conditionalFormatting>
  <conditionalFormatting sqref="H51">
    <cfRule type="cellIs" dxfId="291" priority="49" stopIfTrue="1" operator="equal">
      <formula>0</formula>
    </cfRule>
  </conditionalFormatting>
  <conditionalFormatting sqref="F51">
    <cfRule type="cellIs" dxfId="290" priority="50" stopIfTrue="1" operator="equal">
      <formula>0</formula>
    </cfRule>
  </conditionalFormatting>
  <conditionalFormatting sqref="K58">
    <cfRule type="cellIs" dxfId="289" priority="48" stopIfTrue="1" operator="equal">
      <formula>0</formula>
    </cfRule>
  </conditionalFormatting>
  <conditionalFormatting sqref="D58">
    <cfRule type="cellIs" dxfId="288" priority="47" stopIfTrue="1" operator="equal">
      <formula>0</formula>
    </cfRule>
  </conditionalFormatting>
  <conditionalFormatting sqref="H58">
    <cfRule type="cellIs" dxfId="287" priority="45" stopIfTrue="1" operator="equal">
      <formula>0</formula>
    </cfRule>
  </conditionalFormatting>
  <conditionalFormatting sqref="F58">
    <cfRule type="cellIs" dxfId="286" priority="46" stopIfTrue="1" operator="equal">
      <formula>0</formula>
    </cfRule>
  </conditionalFormatting>
  <conditionalFormatting sqref="K65">
    <cfRule type="cellIs" dxfId="285" priority="44" stopIfTrue="1" operator="equal">
      <formula>0</formula>
    </cfRule>
  </conditionalFormatting>
  <conditionalFormatting sqref="D65">
    <cfRule type="cellIs" dxfId="284" priority="43" stopIfTrue="1" operator="equal">
      <formula>0</formula>
    </cfRule>
  </conditionalFormatting>
  <conditionalFormatting sqref="H65">
    <cfRule type="cellIs" dxfId="283" priority="41" stopIfTrue="1" operator="equal">
      <formula>0</formula>
    </cfRule>
  </conditionalFormatting>
  <conditionalFormatting sqref="F65">
    <cfRule type="cellIs" dxfId="282" priority="42" stopIfTrue="1" operator="equal">
      <formula>0</formula>
    </cfRule>
  </conditionalFormatting>
  <conditionalFormatting sqref="K72">
    <cfRule type="cellIs" dxfId="281" priority="40" stopIfTrue="1" operator="equal">
      <formula>0</formula>
    </cfRule>
  </conditionalFormatting>
  <conditionalFormatting sqref="D72">
    <cfRule type="cellIs" dxfId="280" priority="39" stopIfTrue="1" operator="equal">
      <formula>0</formula>
    </cfRule>
  </conditionalFormatting>
  <conditionalFormatting sqref="H72">
    <cfRule type="cellIs" dxfId="279" priority="37" stopIfTrue="1" operator="equal">
      <formula>0</formula>
    </cfRule>
  </conditionalFormatting>
  <conditionalFormatting sqref="F72">
    <cfRule type="cellIs" dxfId="278" priority="38" stopIfTrue="1" operator="equal">
      <formula>0</formula>
    </cfRule>
  </conditionalFormatting>
  <conditionalFormatting sqref="K79">
    <cfRule type="cellIs" dxfId="277" priority="36" stopIfTrue="1" operator="equal">
      <formula>0</formula>
    </cfRule>
  </conditionalFormatting>
  <conditionalFormatting sqref="D79">
    <cfRule type="cellIs" dxfId="276" priority="35" stopIfTrue="1" operator="equal">
      <formula>0</formula>
    </cfRule>
  </conditionalFormatting>
  <conditionalFormatting sqref="H79">
    <cfRule type="cellIs" dxfId="275" priority="33" stopIfTrue="1" operator="equal">
      <formula>0</formula>
    </cfRule>
  </conditionalFormatting>
  <conditionalFormatting sqref="F79">
    <cfRule type="cellIs" dxfId="274" priority="34" stopIfTrue="1" operator="equal">
      <formula>0</formula>
    </cfRule>
  </conditionalFormatting>
  <conditionalFormatting sqref="K86">
    <cfRule type="cellIs" dxfId="273" priority="32" stopIfTrue="1" operator="equal">
      <formula>0</formula>
    </cfRule>
  </conditionalFormatting>
  <conditionalFormatting sqref="D86">
    <cfRule type="cellIs" dxfId="272" priority="31" stopIfTrue="1" operator="equal">
      <formula>0</formula>
    </cfRule>
  </conditionalFormatting>
  <conditionalFormatting sqref="H86">
    <cfRule type="cellIs" dxfId="271" priority="29" stopIfTrue="1" operator="equal">
      <formula>0</formula>
    </cfRule>
  </conditionalFormatting>
  <conditionalFormatting sqref="F86">
    <cfRule type="cellIs" dxfId="270" priority="30" stopIfTrue="1" operator="equal">
      <formula>0</formula>
    </cfRule>
  </conditionalFormatting>
  <conditionalFormatting sqref="K93">
    <cfRule type="cellIs" dxfId="269" priority="28" stopIfTrue="1" operator="equal">
      <formula>0</formula>
    </cfRule>
  </conditionalFormatting>
  <conditionalFormatting sqref="D93">
    <cfRule type="cellIs" dxfId="268" priority="27" stopIfTrue="1" operator="equal">
      <formula>0</formula>
    </cfRule>
  </conditionalFormatting>
  <conditionalFormatting sqref="H93">
    <cfRule type="cellIs" dxfId="267" priority="25" stopIfTrue="1" operator="equal">
      <formula>0</formula>
    </cfRule>
  </conditionalFormatting>
  <conditionalFormatting sqref="F93">
    <cfRule type="cellIs" dxfId="266" priority="26" stopIfTrue="1" operator="equal">
      <formula>0</formula>
    </cfRule>
  </conditionalFormatting>
  <conditionalFormatting sqref="K100">
    <cfRule type="cellIs" dxfId="265" priority="24" stopIfTrue="1" operator="equal">
      <formula>0</formula>
    </cfRule>
  </conditionalFormatting>
  <conditionalFormatting sqref="D100">
    <cfRule type="cellIs" dxfId="264" priority="23" stopIfTrue="1" operator="equal">
      <formula>0</formula>
    </cfRule>
  </conditionalFormatting>
  <conditionalFormatting sqref="H100">
    <cfRule type="cellIs" dxfId="263" priority="21" stopIfTrue="1" operator="equal">
      <formula>0</formula>
    </cfRule>
  </conditionalFormatting>
  <conditionalFormatting sqref="F100">
    <cfRule type="cellIs" dxfId="262" priority="22" stopIfTrue="1" operator="equal">
      <formula>0</formula>
    </cfRule>
  </conditionalFormatting>
  <conditionalFormatting sqref="K107">
    <cfRule type="cellIs" dxfId="261" priority="20" stopIfTrue="1" operator="equal">
      <formula>0</formula>
    </cfRule>
  </conditionalFormatting>
  <conditionalFormatting sqref="D107">
    <cfRule type="cellIs" dxfId="260" priority="19" stopIfTrue="1" operator="equal">
      <formula>0</formula>
    </cfRule>
  </conditionalFormatting>
  <conditionalFormatting sqref="H107">
    <cfRule type="cellIs" dxfId="259" priority="17" stopIfTrue="1" operator="equal">
      <formula>0</formula>
    </cfRule>
  </conditionalFormatting>
  <conditionalFormatting sqref="F107">
    <cfRule type="cellIs" dxfId="258" priority="18" stopIfTrue="1" operator="equal">
      <formula>0</formula>
    </cfRule>
  </conditionalFormatting>
  <conditionalFormatting sqref="K114">
    <cfRule type="cellIs" dxfId="257" priority="16" stopIfTrue="1" operator="equal">
      <formula>0</formula>
    </cfRule>
  </conditionalFormatting>
  <conditionalFormatting sqref="D114">
    <cfRule type="cellIs" dxfId="256" priority="15" stopIfTrue="1" operator="equal">
      <formula>0</formula>
    </cfRule>
  </conditionalFormatting>
  <conditionalFormatting sqref="H114">
    <cfRule type="cellIs" dxfId="255" priority="13" stopIfTrue="1" operator="equal">
      <formula>0</formula>
    </cfRule>
  </conditionalFormatting>
  <conditionalFormatting sqref="F114">
    <cfRule type="cellIs" dxfId="254" priority="14" stopIfTrue="1" operator="equal">
      <formula>0</formula>
    </cfRule>
  </conditionalFormatting>
  <conditionalFormatting sqref="K121">
    <cfRule type="cellIs" dxfId="253" priority="12" stopIfTrue="1" operator="equal">
      <formula>0</formula>
    </cfRule>
  </conditionalFormatting>
  <conditionalFormatting sqref="D121">
    <cfRule type="cellIs" dxfId="252" priority="11" stopIfTrue="1" operator="equal">
      <formula>0</formula>
    </cfRule>
  </conditionalFormatting>
  <conditionalFormatting sqref="H121">
    <cfRule type="cellIs" dxfId="251" priority="9" stopIfTrue="1" operator="equal">
      <formula>0</formula>
    </cfRule>
  </conditionalFormatting>
  <conditionalFormatting sqref="F121">
    <cfRule type="cellIs" dxfId="250" priority="10" stopIfTrue="1" operator="equal">
      <formula>0</formula>
    </cfRule>
  </conditionalFormatting>
  <conditionalFormatting sqref="K128">
    <cfRule type="cellIs" dxfId="249" priority="8" stopIfTrue="1" operator="equal">
      <formula>0</formula>
    </cfRule>
  </conditionalFormatting>
  <conditionalFormatting sqref="D128">
    <cfRule type="cellIs" dxfId="248" priority="7" stopIfTrue="1" operator="equal">
      <formula>0</formula>
    </cfRule>
  </conditionalFormatting>
  <conditionalFormatting sqref="H128">
    <cfRule type="cellIs" dxfId="247" priority="5" stopIfTrue="1" operator="equal">
      <formula>0</formula>
    </cfRule>
  </conditionalFormatting>
  <conditionalFormatting sqref="F128">
    <cfRule type="cellIs" dxfId="246" priority="6" stopIfTrue="1" operator="equal">
      <formula>0</formula>
    </cfRule>
  </conditionalFormatting>
  <conditionalFormatting sqref="K135">
    <cfRule type="cellIs" dxfId="245" priority="4" stopIfTrue="1" operator="equal">
      <formula>0</formula>
    </cfRule>
  </conditionalFormatting>
  <conditionalFormatting sqref="D135">
    <cfRule type="cellIs" dxfId="244" priority="3" stopIfTrue="1" operator="equal">
      <formula>0</formula>
    </cfRule>
  </conditionalFormatting>
  <conditionalFormatting sqref="H135">
    <cfRule type="cellIs" dxfId="243" priority="1" stopIfTrue="1" operator="equal">
      <formula>0</formula>
    </cfRule>
  </conditionalFormatting>
  <conditionalFormatting sqref="F135">
    <cfRule type="cellIs" dxfId="242" priority="2" stopIfTrue="1" operator="equal">
      <formula>0</formula>
    </cfRule>
  </conditionalFormatting>
  <pageMargins left="0.7" right="0.7" top="0.75" bottom="0.75" header="0.3" footer="0.3"/>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E719-7F42-D645-9279-C3B3151F804E}">
  <sheetPr>
    <tabColor rgb="FF00B0F0"/>
  </sheetPr>
  <dimension ref="A1:M135"/>
  <sheetViews>
    <sheetView workbookViewId="0">
      <selection sqref="A1:M1"/>
    </sheetView>
  </sheetViews>
  <sheetFormatPr baseColWidth="10" defaultColWidth="8.83203125" defaultRowHeight="15" x14ac:dyDescent="0.2"/>
  <cols>
    <col min="1" max="3" width="13.6640625" style="177" customWidth="1"/>
    <col min="4" max="4" width="3.1640625" style="177" customWidth="1"/>
    <col min="5" max="5" width="8.83203125" style="177"/>
    <col min="6" max="6" width="3.1640625" style="177" customWidth="1"/>
    <col min="7" max="7" width="8.83203125" style="177"/>
    <col min="8" max="8" width="3.1640625" style="177" customWidth="1"/>
    <col min="9" max="9" width="8.83203125" style="177"/>
    <col min="10" max="10" width="3.1640625" style="177" customWidth="1"/>
    <col min="11" max="16384" width="8.83203125" style="177"/>
  </cols>
  <sheetData>
    <row r="1" spans="1:13" x14ac:dyDescent="0.2">
      <c r="A1" s="587" t="s">
        <v>318</v>
      </c>
      <c r="B1" s="587"/>
      <c r="C1" s="587"/>
      <c r="D1" s="587"/>
      <c r="E1" s="587"/>
      <c r="F1" s="587"/>
      <c r="G1" s="587"/>
      <c r="H1" s="587"/>
      <c r="I1" s="587"/>
      <c r="J1" s="587"/>
      <c r="K1" s="587"/>
      <c r="L1" s="587"/>
      <c r="M1" s="587"/>
    </row>
    <row r="2" spans="1:13" x14ac:dyDescent="0.2">
      <c r="A2" s="178" t="s">
        <v>112</v>
      </c>
      <c r="B2" s="588" t="s">
        <v>0</v>
      </c>
      <c r="C2" s="588"/>
      <c r="D2" s="588"/>
      <c r="E2" s="588"/>
      <c r="F2" s="179"/>
      <c r="G2" s="180"/>
      <c r="H2" s="180"/>
      <c r="I2" s="180"/>
      <c r="J2" s="180"/>
      <c r="K2" s="180"/>
    </row>
    <row r="3" spans="1:13" x14ac:dyDescent="0.2">
      <c r="A3" s="178" t="s">
        <v>113</v>
      </c>
      <c r="B3" s="588" t="s">
        <v>114</v>
      </c>
      <c r="C3" s="588"/>
      <c r="D3" s="588"/>
      <c r="E3" s="588"/>
      <c r="F3" s="179"/>
      <c r="G3" s="180"/>
      <c r="H3" s="180"/>
      <c r="I3" s="180"/>
      <c r="J3" s="180"/>
      <c r="K3" s="180"/>
    </row>
    <row r="4" spans="1:13" x14ac:dyDescent="0.2">
      <c r="A4" s="178" t="s">
        <v>115</v>
      </c>
      <c r="B4" s="588" t="s">
        <v>25</v>
      </c>
      <c r="C4" s="588"/>
      <c r="D4" s="588"/>
      <c r="E4" s="588"/>
      <c r="F4" s="179"/>
      <c r="G4" s="180"/>
      <c r="H4" s="180"/>
      <c r="I4" s="180"/>
      <c r="J4" s="180"/>
      <c r="K4" s="180"/>
    </row>
    <row r="5" spans="1:13" x14ac:dyDescent="0.2">
      <c r="A5" s="181" t="s">
        <v>116</v>
      </c>
      <c r="B5" s="589" t="s">
        <v>117</v>
      </c>
      <c r="C5" s="589"/>
      <c r="D5" s="589"/>
      <c r="E5" s="589"/>
      <c r="F5" s="182"/>
      <c r="G5" s="180"/>
      <c r="H5" s="180"/>
      <c r="I5" s="180"/>
      <c r="J5" s="180"/>
      <c r="K5" s="180"/>
    </row>
    <row r="6" spans="1:13" x14ac:dyDescent="0.2">
      <c r="A6" s="183"/>
      <c r="B6" s="184"/>
      <c r="C6" s="183"/>
      <c r="D6" s="183"/>
      <c r="E6" s="183"/>
      <c r="F6" s="183"/>
      <c r="G6" s="180"/>
      <c r="H6" s="180"/>
      <c r="I6" s="180"/>
      <c r="J6" s="180"/>
      <c r="K6" s="180"/>
    </row>
    <row r="7" spans="1:13" x14ac:dyDescent="0.2">
      <c r="A7" s="590" t="s">
        <v>118</v>
      </c>
      <c r="B7" s="590"/>
      <c r="C7" s="590"/>
      <c r="D7" s="591" t="s">
        <v>458</v>
      </c>
      <c r="E7" s="591"/>
      <c r="F7" s="591"/>
      <c r="G7" s="591"/>
      <c r="H7" s="591"/>
      <c r="I7" s="591"/>
      <c r="J7" s="591"/>
      <c r="K7" s="591"/>
    </row>
    <row r="8" spans="1:13" x14ac:dyDescent="0.2">
      <c r="A8" s="582" t="s">
        <v>39</v>
      </c>
      <c r="B8" s="582"/>
      <c r="C8" s="582"/>
      <c r="D8" s="186"/>
      <c r="E8" s="187">
        <v>43683</v>
      </c>
      <c r="F8" s="187"/>
      <c r="G8" s="187">
        <v>43683</v>
      </c>
      <c r="H8" s="187"/>
      <c r="I8" s="187">
        <v>43683</v>
      </c>
      <c r="J8" s="187"/>
      <c r="K8" s="180"/>
    </row>
    <row r="9" spans="1:13" x14ac:dyDescent="0.2">
      <c r="A9" s="582" t="s">
        <v>120</v>
      </c>
      <c r="B9" s="582"/>
      <c r="C9" s="582"/>
      <c r="D9" s="186"/>
      <c r="E9" s="188">
        <v>0.39930555555555558</v>
      </c>
      <c r="F9" s="188"/>
      <c r="G9" s="188">
        <v>0.51250000000000007</v>
      </c>
      <c r="H9" s="188"/>
      <c r="I9" s="188">
        <v>0.56597222222222221</v>
      </c>
      <c r="J9" s="188"/>
      <c r="K9" s="180"/>
    </row>
    <row r="10" spans="1:13" x14ac:dyDescent="0.2">
      <c r="A10" s="582" t="s">
        <v>121</v>
      </c>
      <c r="B10" s="582"/>
      <c r="C10" s="582"/>
      <c r="D10" s="186"/>
      <c r="E10" s="188">
        <v>0.44791666666666669</v>
      </c>
      <c r="F10" s="188"/>
      <c r="G10" s="188">
        <v>0.55833333333333335</v>
      </c>
      <c r="H10" s="188"/>
      <c r="I10" s="188">
        <v>0.61597222222222225</v>
      </c>
      <c r="J10" s="188"/>
      <c r="K10" s="180"/>
    </row>
    <row r="11" spans="1:13" x14ac:dyDescent="0.2">
      <c r="A11" s="186"/>
      <c r="B11" s="186"/>
      <c r="C11" s="186"/>
      <c r="D11" s="186"/>
      <c r="E11" s="189" t="s">
        <v>122</v>
      </c>
      <c r="F11" s="189"/>
      <c r="G11" s="189" t="s">
        <v>123</v>
      </c>
      <c r="H11" s="189"/>
      <c r="I11" s="189" t="s">
        <v>124</v>
      </c>
      <c r="J11" s="189"/>
      <c r="K11" s="189" t="s">
        <v>72</v>
      </c>
    </row>
    <row r="12" spans="1:13" x14ac:dyDescent="0.2">
      <c r="A12" s="584" t="s">
        <v>126</v>
      </c>
      <c r="B12" s="585"/>
      <c r="C12" s="585"/>
      <c r="D12" s="585"/>
      <c r="E12" s="585"/>
      <c r="F12" s="585"/>
      <c r="G12" s="585"/>
      <c r="H12" s="585"/>
      <c r="I12" s="585"/>
      <c r="J12" s="585"/>
      <c r="K12" s="586"/>
    </row>
    <row r="13" spans="1:13" x14ac:dyDescent="0.2">
      <c r="A13" s="582" t="s">
        <v>127</v>
      </c>
      <c r="B13" s="582"/>
      <c r="C13" s="582"/>
      <c r="D13" s="186"/>
      <c r="E13" s="190">
        <v>94</v>
      </c>
      <c r="F13" s="190"/>
      <c r="G13" s="190">
        <v>103.9</v>
      </c>
      <c r="H13" s="190"/>
      <c r="I13" s="190">
        <v>105.3</v>
      </c>
      <c r="J13" s="190"/>
      <c r="K13" s="191">
        <v>101.06666666666666</v>
      </c>
    </row>
    <row r="14" spans="1:13" x14ac:dyDescent="0.2">
      <c r="A14" s="582" t="s">
        <v>128</v>
      </c>
      <c r="B14" s="582"/>
      <c r="C14" s="582"/>
      <c r="D14" s="186"/>
      <c r="E14" s="83">
        <v>1.4E-2</v>
      </c>
      <c r="F14" s="84"/>
      <c r="G14" s="83">
        <v>1.4E-2</v>
      </c>
      <c r="H14" s="84"/>
      <c r="I14" s="83">
        <v>1.4E-2</v>
      </c>
      <c r="J14" s="84"/>
      <c r="K14" s="192">
        <v>1.4E-2</v>
      </c>
    </row>
    <row r="15" spans="1:13" x14ac:dyDescent="0.2">
      <c r="A15" s="582" t="s">
        <v>129</v>
      </c>
      <c r="B15" s="582"/>
      <c r="C15" s="582"/>
      <c r="D15" s="186"/>
      <c r="E15" s="193">
        <v>29.8</v>
      </c>
      <c r="F15" s="193"/>
      <c r="G15" s="193">
        <v>29.8</v>
      </c>
      <c r="H15" s="193"/>
      <c r="I15" s="193">
        <v>29.8</v>
      </c>
      <c r="J15" s="193"/>
      <c r="K15" s="194">
        <v>29.8</v>
      </c>
    </row>
    <row r="16" spans="1:13" x14ac:dyDescent="0.2">
      <c r="A16" s="582" t="s">
        <v>130</v>
      </c>
      <c r="B16" s="582"/>
      <c r="C16" s="582"/>
      <c r="D16" s="186"/>
      <c r="E16" s="195">
        <v>1357.7940000000001</v>
      </c>
      <c r="F16" s="195"/>
      <c r="G16" s="195">
        <v>1409.673</v>
      </c>
      <c r="H16" s="195"/>
      <c r="I16" s="195">
        <v>1094.646</v>
      </c>
      <c r="J16" s="195"/>
      <c r="K16" s="234">
        <v>1287.3710000000001</v>
      </c>
    </row>
    <row r="17" spans="1:11" x14ac:dyDescent="0.2">
      <c r="A17" s="582" t="s">
        <v>131</v>
      </c>
      <c r="B17" s="582"/>
      <c r="C17" s="582"/>
      <c r="D17" s="186"/>
      <c r="E17" s="197">
        <v>8.6300000000000008</v>
      </c>
      <c r="F17" s="197"/>
      <c r="G17" s="197">
        <v>9.6110000000000007</v>
      </c>
      <c r="H17" s="197"/>
      <c r="I17" s="197">
        <v>7.09</v>
      </c>
      <c r="J17" s="197"/>
      <c r="K17" s="196">
        <v>8.4436666666666671</v>
      </c>
    </row>
    <row r="18" spans="1:11" x14ac:dyDescent="0.2">
      <c r="A18" s="582" t="s">
        <v>132</v>
      </c>
      <c r="B18" s="582"/>
      <c r="C18" s="582"/>
      <c r="D18" s="186"/>
      <c r="E18" s="198">
        <v>402862</v>
      </c>
      <c r="F18" s="198"/>
      <c r="G18" s="198">
        <v>448642</v>
      </c>
      <c r="H18" s="198"/>
      <c r="I18" s="198">
        <v>330958</v>
      </c>
      <c r="J18" s="198"/>
      <c r="K18" s="199">
        <v>394154</v>
      </c>
    </row>
    <row r="19" spans="1:11" x14ac:dyDescent="0.2">
      <c r="A19" s="582" t="s">
        <v>133</v>
      </c>
      <c r="B19" s="582"/>
      <c r="C19" s="582"/>
      <c r="D19" s="186"/>
      <c r="E19" s="198">
        <v>377051</v>
      </c>
      <c r="F19" s="198"/>
      <c r="G19" s="198">
        <v>412758</v>
      </c>
      <c r="H19" s="198"/>
      <c r="I19" s="198">
        <v>303468</v>
      </c>
      <c r="J19" s="198"/>
      <c r="K19" s="199">
        <v>364425.66666666669</v>
      </c>
    </row>
    <row r="20" spans="1:11" x14ac:dyDescent="0.2">
      <c r="A20" s="582" t="s">
        <v>134</v>
      </c>
      <c r="B20" s="582"/>
      <c r="C20" s="582"/>
      <c r="D20" s="186"/>
      <c r="E20" s="198">
        <v>382414</v>
      </c>
      <c r="F20" s="198"/>
      <c r="G20" s="198">
        <v>418413</v>
      </c>
      <c r="H20" s="198"/>
      <c r="I20" s="198">
        <v>307907</v>
      </c>
      <c r="J20" s="198"/>
      <c r="K20" s="199">
        <v>369578</v>
      </c>
    </row>
    <row r="21" spans="1:11" x14ac:dyDescent="0.2">
      <c r="A21" s="582" t="s">
        <v>135</v>
      </c>
      <c r="B21" s="582"/>
      <c r="C21" s="582"/>
      <c r="D21" s="186"/>
      <c r="E21" s="190">
        <v>0</v>
      </c>
      <c r="F21" s="190"/>
      <c r="G21" s="190">
        <v>0</v>
      </c>
      <c r="H21" s="190"/>
      <c r="I21" s="190">
        <v>0</v>
      </c>
      <c r="J21" s="190"/>
      <c r="K21" s="191">
        <v>0</v>
      </c>
    </row>
    <row r="22" spans="1:11" x14ac:dyDescent="0.2">
      <c r="A22" s="582" t="s">
        <v>136</v>
      </c>
      <c r="B22" s="582"/>
      <c r="C22" s="582"/>
      <c r="D22" s="186"/>
      <c r="E22" s="190">
        <v>20.9</v>
      </c>
      <c r="F22" s="190"/>
      <c r="G22" s="190">
        <v>20.9</v>
      </c>
      <c r="H22" s="190"/>
      <c r="I22" s="190">
        <v>20.9</v>
      </c>
      <c r="J22" s="190"/>
      <c r="K22" s="191">
        <v>20.9</v>
      </c>
    </row>
    <row r="23" spans="1:11" x14ac:dyDescent="0.2">
      <c r="A23" s="582" t="s">
        <v>137</v>
      </c>
      <c r="B23" s="582"/>
      <c r="C23" s="582"/>
      <c r="D23" s="186"/>
      <c r="E23" s="190">
        <v>101.2</v>
      </c>
      <c r="F23" s="190"/>
      <c r="G23" s="190">
        <v>96</v>
      </c>
      <c r="H23" s="190"/>
      <c r="I23" s="190">
        <v>101.4</v>
      </c>
      <c r="J23" s="190"/>
      <c r="K23" s="191">
        <v>99.533333333333346</v>
      </c>
    </row>
    <row r="24" spans="1:11" x14ac:dyDescent="0.2">
      <c r="A24" s="582" t="s">
        <v>138</v>
      </c>
      <c r="B24" s="582"/>
      <c r="C24" s="582"/>
      <c r="D24" s="200"/>
      <c r="E24" s="200">
        <v>132</v>
      </c>
      <c r="F24" s="191"/>
      <c r="G24" s="200">
        <v>116</v>
      </c>
      <c r="H24" s="200"/>
      <c r="I24" s="200">
        <v>131</v>
      </c>
      <c r="J24" s="200"/>
      <c r="K24" s="191">
        <v>126.33333333333333</v>
      </c>
    </row>
    <row r="25" spans="1:11" hidden="1" x14ac:dyDescent="0.2">
      <c r="A25" s="583" t="s">
        <v>139</v>
      </c>
      <c r="B25" s="583" t="s">
        <v>140</v>
      </c>
      <c r="C25" s="583" t="s">
        <v>140</v>
      </c>
      <c r="D25" s="186"/>
      <c r="E25" s="201" t="s">
        <v>71</v>
      </c>
      <c r="F25" s="190"/>
      <c r="G25" s="201" t="s">
        <v>71</v>
      </c>
      <c r="H25" s="190"/>
      <c r="I25" s="201" t="b">
        <v>0</v>
      </c>
      <c r="J25" s="190"/>
      <c r="K25" s="202" t="e">
        <v>#REF!</v>
      </c>
    </row>
    <row r="26" spans="1:11" hidden="1" x14ac:dyDescent="0.2">
      <c r="A26" s="584" t="s">
        <v>141</v>
      </c>
      <c r="B26" s="585"/>
      <c r="C26" s="585"/>
      <c r="D26" s="585"/>
      <c r="E26" s="585"/>
      <c r="F26" s="585"/>
      <c r="G26" s="585"/>
      <c r="H26" s="585"/>
      <c r="I26" s="585"/>
      <c r="J26" s="585"/>
      <c r="K26" s="586"/>
    </row>
    <row r="27" spans="1:11" hidden="1" x14ac:dyDescent="0.2">
      <c r="A27" s="581" t="s">
        <v>142</v>
      </c>
      <c r="B27" s="581"/>
      <c r="C27" s="581"/>
      <c r="D27" s="203"/>
      <c r="E27" s="193">
        <v>17341</v>
      </c>
      <c r="F27" s="203"/>
      <c r="G27" s="194">
        <v>6172.5700000000006</v>
      </c>
      <c r="H27" s="203"/>
      <c r="I27" s="194" t="s">
        <v>71</v>
      </c>
      <c r="J27" s="203"/>
      <c r="K27" s="193" t="e">
        <v>#REF!</v>
      </c>
    </row>
    <row r="28" spans="1:11" hidden="1" x14ac:dyDescent="0.2">
      <c r="A28" s="582" t="s">
        <v>58</v>
      </c>
      <c r="B28" s="582"/>
      <c r="C28" s="582"/>
      <c r="D28" s="203"/>
      <c r="E28" s="206">
        <v>0.63700000000000001</v>
      </c>
      <c r="F28" s="203"/>
      <c r="G28" s="206">
        <v>0.23910000000000001</v>
      </c>
      <c r="H28" s="203"/>
      <c r="I28" s="206" t="s">
        <v>71</v>
      </c>
      <c r="J28" s="203"/>
      <c r="K28" s="207" t="e">
        <v>#REF!</v>
      </c>
    </row>
    <row r="29" spans="1:11" hidden="1" x14ac:dyDescent="0.2">
      <c r="A29" s="582" t="s">
        <v>143</v>
      </c>
      <c r="B29" s="582"/>
      <c r="C29" s="582"/>
      <c r="D29" s="208"/>
      <c r="E29" s="209">
        <v>4.8255600000000003</v>
      </c>
      <c r="F29" s="190"/>
      <c r="G29" s="209">
        <v>2.06094</v>
      </c>
      <c r="H29" s="190"/>
      <c r="I29" s="209" t="s">
        <v>71</v>
      </c>
      <c r="J29" s="200"/>
      <c r="K29" s="210" t="e">
        <v>#REF!</v>
      </c>
    </row>
    <row r="30" spans="1:11" hidden="1" x14ac:dyDescent="0.2">
      <c r="A30" s="582" t="s">
        <v>144</v>
      </c>
      <c r="B30" s="582"/>
      <c r="C30" s="582"/>
      <c r="D30" s="208"/>
      <c r="E30" s="211" t="e">
        <v>#DIV/0!</v>
      </c>
      <c r="F30" s="190"/>
      <c r="G30" s="211" t="e">
        <v>#VALUE!</v>
      </c>
      <c r="H30" s="190"/>
      <c r="I30" s="211" t="e">
        <v>#VALUE!</v>
      </c>
      <c r="J30" s="200"/>
      <c r="K30" s="207" t="e">
        <v>#DIV/0!</v>
      </c>
    </row>
    <row r="31" spans="1:11" x14ac:dyDescent="0.2">
      <c r="A31" s="577" t="s">
        <v>145</v>
      </c>
      <c r="B31" s="578"/>
      <c r="C31" s="578"/>
      <c r="D31" s="578"/>
      <c r="E31" s="578"/>
      <c r="F31" s="578"/>
      <c r="G31" s="578"/>
      <c r="H31" s="578"/>
      <c r="I31" s="578"/>
      <c r="J31" s="578"/>
      <c r="K31" s="579"/>
    </row>
    <row r="32" spans="1:11" x14ac:dyDescent="0.2">
      <c r="A32" s="580" t="s">
        <v>142</v>
      </c>
      <c r="B32" s="580"/>
      <c r="C32" s="580"/>
      <c r="D32" s="212" t="s">
        <v>71</v>
      </c>
      <c r="E32" s="205">
        <v>3100</v>
      </c>
      <c r="F32" s="235" t="s">
        <v>71</v>
      </c>
      <c r="G32" s="205">
        <v>920</v>
      </c>
      <c r="H32" s="235" t="s">
        <v>71</v>
      </c>
      <c r="I32" s="205">
        <v>1800</v>
      </c>
      <c r="J32" s="205"/>
      <c r="K32" s="205">
        <v>1940</v>
      </c>
    </row>
    <row r="33" spans="1:11" x14ac:dyDescent="0.2">
      <c r="A33" s="580" t="s">
        <v>147</v>
      </c>
      <c r="B33" s="580"/>
      <c r="C33" s="580"/>
      <c r="D33" s="212" t="s">
        <v>71</v>
      </c>
      <c r="E33" s="215">
        <v>71.825000000000003</v>
      </c>
      <c r="F33" s="212" t="s">
        <v>71</v>
      </c>
      <c r="G33" s="215">
        <v>20.530999999999999</v>
      </c>
      <c r="H33" s="212" t="s">
        <v>71</v>
      </c>
      <c r="I33" s="215">
        <v>51.731000000000002</v>
      </c>
      <c r="J33" s="194"/>
      <c r="K33" s="205">
        <v>48.028999999999996</v>
      </c>
    </row>
    <row r="34" spans="1:11" x14ac:dyDescent="0.2">
      <c r="A34" s="580" t="s">
        <v>148</v>
      </c>
      <c r="B34" s="580"/>
      <c r="C34" s="580"/>
      <c r="D34" s="212" t="s">
        <v>71</v>
      </c>
      <c r="E34" s="215">
        <v>80.63</v>
      </c>
      <c r="F34" s="212" t="s">
        <v>71</v>
      </c>
      <c r="G34" s="215">
        <v>23.05</v>
      </c>
      <c r="H34" s="212" t="s">
        <v>71</v>
      </c>
      <c r="I34" s="215">
        <v>58.07</v>
      </c>
      <c r="J34" s="194"/>
      <c r="K34" s="205">
        <v>53.916666666666664</v>
      </c>
    </row>
    <row r="35" spans="1:11" x14ac:dyDescent="0.2">
      <c r="A35" s="580" t="s">
        <v>58</v>
      </c>
      <c r="B35" s="580"/>
      <c r="C35" s="580"/>
      <c r="D35" s="212" t="s">
        <v>71</v>
      </c>
      <c r="E35" s="217">
        <v>0.11387</v>
      </c>
      <c r="F35" s="218" t="s">
        <v>71</v>
      </c>
      <c r="G35" s="217">
        <v>3.5631999999999997E-2</v>
      </c>
      <c r="H35" s="218" t="s">
        <v>71</v>
      </c>
      <c r="I35" s="217">
        <v>6.6229999999999997E-2</v>
      </c>
      <c r="J35" s="221"/>
      <c r="K35" s="221">
        <v>7.1910666666666664E-2</v>
      </c>
    </row>
    <row r="36" spans="1:11" x14ac:dyDescent="0.2">
      <c r="A36" s="580" t="s">
        <v>149</v>
      </c>
      <c r="B36" s="580"/>
      <c r="C36" s="580"/>
      <c r="D36" s="212" t="s">
        <v>71</v>
      </c>
      <c r="E36" s="217">
        <v>8.6265151515151517E-4</v>
      </c>
      <c r="F36" s="218" t="s">
        <v>71</v>
      </c>
      <c r="G36" s="217">
        <v>3.0717241379310344E-4</v>
      </c>
      <c r="H36" s="218" t="s">
        <v>71</v>
      </c>
      <c r="I36" s="217">
        <v>5.0557251908396942E-4</v>
      </c>
      <c r="J36" s="221"/>
      <c r="K36" s="221">
        <v>5.5846548267619606E-4</v>
      </c>
    </row>
    <row r="37" spans="1:11" ht="16" x14ac:dyDescent="0.2">
      <c r="A37" s="563" t="s">
        <v>150</v>
      </c>
      <c r="B37" s="563"/>
      <c r="C37" s="563"/>
      <c r="D37" s="105"/>
      <c r="E37" s="113">
        <f>E36</f>
        <v>8.6265151515151517E-4</v>
      </c>
      <c r="F37" s="110"/>
      <c r="G37" s="113">
        <f>G36</f>
        <v>3.0717241379310344E-4</v>
      </c>
      <c r="H37" s="110"/>
      <c r="I37" s="113">
        <f>I36</f>
        <v>5.0557251908396942E-4</v>
      </c>
      <c r="J37" s="112"/>
      <c r="K37" s="114">
        <f>AVERAGE(E37,G37,I37)</f>
        <v>5.5846548267619606E-4</v>
      </c>
    </row>
    <row r="38" spans="1:11" x14ac:dyDescent="0.2">
      <c r="A38" s="577" t="s">
        <v>151</v>
      </c>
      <c r="B38" s="578"/>
      <c r="C38" s="578"/>
      <c r="D38" s="578"/>
      <c r="E38" s="578"/>
      <c r="F38" s="578"/>
      <c r="G38" s="578"/>
      <c r="H38" s="578"/>
      <c r="I38" s="578"/>
      <c r="J38" s="578"/>
      <c r="K38" s="579"/>
    </row>
    <row r="39" spans="1:11" x14ac:dyDescent="0.2">
      <c r="A39" s="580" t="s">
        <v>142</v>
      </c>
      <c r="B39" s="580"/>
      <c r="C39" s="580"/>
      <c r="D39" s="212" t="s">
        <v>71</v>
      </c>
      <c r="E39" s="194">
        <v>7.4</v>
      </c>
      <c r="F39" s="212" t="s">
        <v>71</v>
      </c>
      <c r="G39" s="194">
        <v>6.6</v>
      </c>
      <c r="H39" s="212"/>
      <c r="I39" s="194">
        <v>20</v>
      </c>
      <c r="J39" s="194"/>
      <c r="K39" s="205">
        <v>11.333333333333334</v>
      </c>
    </row>
    <row r="40" spans="1:11" x14ac:dyDescent="0.2">
      <c r="A40" s="580" t="s">
        <v>147</v>
      </c>
      <c r="B40" s="580"/>
      <c r="C40" s="580"/>
      <c r="D40" s="212" t="s">
        <v>71</v>
      </c>
      <c r="E40" s="215">
        <v>3.7999999999999999E-2</v>
      </c>
      <c r="F40" s="212" t="s">
        <v>71</v>
      </c>
      <c r="G40" s="215">
        <v>3.3000000000000002E-2</v>
      </c>
      <c r="H40" s="212"/>
      <c r="I40" s="215">
        <v>0.127</v>
      </c>
      <c r="J40" s="194"/>
      <c r="K40" s="205">
        <v>6.6000000000000003E-2</v>
      </c>
    </row>
    <row r="41" spans="1:11" x14ac:dyDescent="0.2">
      <c r="A41" s="580" t="s">
        <v>148</v>
      </c>
      <c r="B41" s="580"/>
      <c r="C41" s="580"/>
      <c r="D41" s="212" t="s">
        <v>71</v>
      </c>
      <c r="E41" s="215">
        <v>0.19</v>
      </c>
      <c r="F41" s="212" t="s">
        <v>71</v>
      </c>
      <c r="G41" s="215">
        <v>0.17</v>
      </c>
      <c r="H41" s="212"/>
      <c r="I41" s="215">
        <v>0.65</v>
      </c>
      <c r="J41" s="194"/>
      <c r="K41" s="205">
        <v>0.33666666666666667</v>
      </c>
    </row>
    <row r="42" spans="1:11" x14ac:dyDescent="0.2">
      <c r="A42" s="580" t="s">
        <v>58</v>
      </c>
      <c r="B42" s="580"/>
      <c r="C42" s="580"/>
      <c r="D42" s="212" t="s">
        <v>71</v>
      </c>
      <c r="E42" s="217">
        <v>2.72E-4</v>
      </c>
      <c r="F42" s="218" t="s">
        <v>71</v>
      </c>
      <c r="G42" s="217">
        <v>2.5599999999999999E-4</v>
      </c>
      <c r="H42" s="218"/>
      <c r="I42" s="217">
        <v>7.36E-4</v>
      </c>
      <c r="J42" s="221"/>
      <c r="K42" s="221">
        <v>4.2133333333333329E-4</v>
      </c>
    </row>
    <row r="43" spans="1:11" x14ac:dyDescent="0.2">
      <c r="A43" s="580" t="s">
        <v>149</v>
      </c>
      <c r="B43" s="580"/>
      <c r="C43" s="580"/>
      <c r="D43" s="212" t="s">
        <v>71</v>
      </c>
      <c r="E43" s="217">
        <v>2.0606060606060607E-6</v>
      </c>
      <c r="F43" s="218" t="s">
        <v>71</v>
      </c>
      <c r="G43" s="217">
        <v>2.2068965517241377E-6</v>
      </c>
      <c r="H43" s="218"/>
      <c r="I43" s="217">
        <v>5.6183206106870226E-6</v>
      </c>
      <c r="J43" s="221"/>
      <c r="K43" s="221">
        <v>3.295274407672407E-6</v>
      </c>
    </row>
    <row r="44" spans="1:11" ht="16" x14ac:dyDescent="0.2">
      <c r="A44" s="563" t="s">
        <v>150</v>
      </c>
      <c r="B44" s="563"/>
      <c r="C44" s="563"/>
      <c r="D44" s="105"/>
      <c r="E44" s="113">
        <f>E43</f>
        <v>2.0606060606060607E-6</v>
      </c>
      <c r="F44" s="110"/>
      <c r="G44" s="113">
        <f>G43</f>
        <v>2.2068965517241377E-6</v>
      </c>
      <c r="H44" s="110"/>
      <c r="I44" s="113">
        <f>I43</f>
        <v>5.6183206106870226E-6</v>
      </c>
      <c r="J44" s="112"/>
      <c r="K44" s="114">
        <f>AVERAGE(E44,G44,I44)</f>
        <v>3.295274407672407E-6</v>
      </c>
    </row>
    <row r="45" spans="1:11" x14ac:dyDescent="0.2">
      <c r="A45" s="577" t="s">
        <v>152</v>
      </c>
      <c r="B45" s="578"/>
      <c r="C45" s="578"/>
      <c r="D45" s="578"/>
      <c r="E45" s="578"/>
      <c r="F45" s="578"/>
      <c r="G45" s="578"/>
      <c r="H45" s="578"/>
      <c r="I45" s="578"/>
      <c r="J45" s="578"/>
      <c r="K45" s="579"/>
    </row>
    <row r="46" spans="1:11" x14ac:dyDescent="0.2">
      <c r="A46" s="580" t="s">
        <v>142</v>
      </c>
      <c r="B46" s="580"/>
      <c r="C46" s="580"/>
      <c r="D46" s="212" t="s">
        <v>71</v>
      </c>
      <c r="E46" s="194">
        <v>13</v>
      </c>
      <c r="F46" s="212" t="s">
        <v>71</v>
      </c>
      <c r="G46" s="194">
        <v>12</v>
      </c>
      <c r="H46" s="212"/>
      <c r="I46" s="194">
        <v>31</v>
      </c>
      <c r="J46" s="194"/>
      <c r="K46" s="205">
        <v>18.666666666666668</v>
      </c>
    </row>
    <row r="47" spans="1:11" x14ac:dyDescent="0.2">
      <c r="A47" s="580" t="s">
        <v>147</v>
      </c>
      <c r="B47" s="580"/>
      <c r="C47" s="580"/>
      <c r="D47" s="212" t="s">
        <v>71</v>
      </c>
      <c r="E47" s="215">
        <v>0.108</v>
      </c>
      <c r="F47" s="212" t="s">
        <v>71</v>
      </c>
      <c r="G47" s="215">
        <v>9.6000000000000002E-2</v>
      </c>
      <c r="H47" s="212"/>
      <c r="I47" s="215">
        <v>0.32100000000000001</v>
      </c>
      <c r="J47" s="194"/>
      <c r="K47" s="205">
        <v>0.17500000000000002</v>
      </c>
    </row>
    <row r="48" spans="1:11" x14ac:dyDescent="0.2">
      <c r="A48" s="580" t="s">
        <v>148</v>
      </c>
      <c r="B48" s="580"/>
      <c r="C48" s="580"/>
      <c r="D48" s="212" t="s">
        <v>71</v>
      </c>
      <c r="E48" s="215">
        <v>0.34</v>
      </c>
      <c r="F48" s="212" t="s">
        <v>71</v>
      </c>
      <c r="G48" s="215">
        <v>0.3</v>
      </c>
      <c r="H48" s="212"/>
      <c r="I48" s="215">
        <v>1</v>
      </c>
      <c r="J48" s="194"/>
      <c r="K48" s="205">
        <v>0.54666666666666675</v>
      </c>
    </row>
    <row r="49" spans="1:11" x14ac:dyDescent="0.2">
      <c r="A49" s="580" t="s">
        <v>58</v>
      </c>
      <c r="B49" s="580"/>
      <c r="C49" s="580"/>
      <c r="D49" s="212" t="s">
        <v>71</v>
      </c>
      <c r="E49" s="217">
        <v>4.7800000000000002E-4</v>
      </c>
      <c r="F49" s="218" t="s">
        <v>71</v>
      </c>
      <c r="G49" s="217">
        <v>4.6500000000000003E-4</v>
      </c>
      <c r="H49" s="218"/>
      <c r="I49" s="217">
        <v>1.1410000000000001E-3</v>
      </c>
      <c r="J49" s="221"/>
      <c r="K49" s="221">
        <v>6.9466666666666667E-4</v>
      </c>
    </row>
    <row r="50" spans="1:11" x14ac:dyDescent="0.2">
      <c r="A50" s="580" t="s">
        <v>149</v>
      </c>
      <c r="B50" s="580"/>
      <c r="C50" s="580"/>
      <c r="D50" s="212" t="s">
        <v>71</v>
      </c>
      <c r="E50" s="217">
        <v>3.6212121212121212E-6</v>
      </c>
      <c r="F50" s="218" t="s">
        <v>71</v>
      </c>
      <c r="G50" s="217">
        <v>4.0086206896551724E-6</v>
      </c>
      <c r="H50" s="218"/>
      <c r="I50" s="217">
        <v>8.7099236641221376E-6</v>
      </c>
      <c r="J50" s="221"/>
      <c r="K50" s="221">
        <v>5.4465854916631434E-6</v>
      </c>
    </row>
    <row r="51" spans="1:11" ht="16" x14ac:dyDescent="0.2">
      <c r="A51" s="563" t="s">
        <v>150</v>
      </c>
      <c r="B51" s="563"/>
      <c r="C51" s="563"/>
      <c r="D51" s="105"/>
      <c r="E51" s="113">
        <f>E50</f>
        <v>3.6212121212121212E-6</v>
      </c>
      <c r="F51" s="110"/>
      <c r="G51" s="113">
        <f>G50</f>
        <v>4.0086206896551724E-6</v>
      </c>
      <c r="H51" s="110"/>
      <c r="I51" s="113">
        <f>I50</f>
        <v>8.7099236641221376E-6</v>
      </c>
      <c r="J51" s="112"/>
      <c r="K51" s="114">
        <f>AVERAGE(E51,G51,I51)</f>
        <v>5.4465854916631434E-6</v>
      </c>
    </row>
    <row r="52" spans="1:11" x14ac:dyDescent="0.2">
      <c r="A52" s="577" t="s">
        <v>153</v>
      </c>
      <c r="B52" s="578"/>
      <c r="C52" s="578"/>
      <c r="D52" s="578"/>
      <c r="E52" s="578"/>
      <c r="F52" s="578"/>
      <c r="G52" s="578"/>
      <c r="H52" s="578"/>
      <c r="I52" s="578"/>
      <c r="J52" s="578"/>
      <c r="K52" s="579"/>
    </row>
    <row r="53" spans="1:11" x14ac:dyDescent="0.2">
      <c r="A53" s="580" t="s">
        <v>142</v>
      </c>
      <c r="B53" s="580"/>
      <c r="C53" s="580"/>
      <c r="D53" s="212" t="s">
        <v>146</v>
      </c>
      <c r="E53" s="194">
        <v>2.7</v>
      </c>
      <c r="F53" s="212" t="s">
        <v>146</v>
      </c>
      <c r="G53" s="194">
        <v>0.27</v>
      </c>
      <c r="H53" s="212" t="s">
        <v>146</v>
      </c>
      <c r="I53" s="194">
        <v>2.7</v>
      </c>
      <c r="J53" s="194" t="s">
        <v>146</v>
      </c>
      <c r="K53" s="205">
        <v>1.89</v>
      </c>
    </row>
    <row r="54" spans="1:11" x14ac:dyDescent="0.2">
      <c r="A54" s="580" t="s">
        <v>147</v>
      </c>
      <c r="B54" s="580"/>
      <c r="C54" s="580"/>
      <c r="D54" s="212" t="s">
        <v>146</v>
      </c>
      <c r="E54" s="215">
        <v>0.187</v>
      </c>
      <c r="F54" s="212" t="s">
        <v>146</v>
      </c>
      <c r="G54" s="215">
        <v>1.7999999999999999E-2</v>
      </c>
      <c r="H54" s="212" t="s">
        <v>146</v>
      </c>
      <c r="I54" s="215">
        <v>0.23200000000000001</v>
      </c>
      <c r="J54" s="194" t="s">
        <v>146</v>
      </c>
      <c r="K54" s="205">
        <v>0.14566666666666667</v>
      </c>
    </row>
    <row r="55" spans="1:11" x14ac:dyDescent="0.2">
      <c r="A55" s="580" t="s">
        <v>148</v>
      </c>
      <c r="B55" s="580"/>
      <c r="C55" s="580"/>
      <c r="D55" s="212" t="s">
        <v>146</v>
      </c>
      <c r="E55" s="215">
        <v>7.0000000000000007E-2</v>
      </c>
      <c r="F55" s="212" t="s">
        <v>146</v>
      </c>
      <c r="G55" s="215">
        <v>7.0000000000000001E-3</v>
      </c>
      <c r="H55" s="212" t="s">
        <v>146</v>
      </c>
      <c r="I55" s="215">
        <v>0.09</v>
      </c>
      <c r="J55" s="194" t="s">
        <v>146</v>
      </c>
      <c r="K55" s="205">
        <v>5.566666666666667E-2</v>
      </c>
    </row>
    <row r="56" spans="1:11" x14ac:dyDescent="0.2">
      <c r="A56" s="580" t="s">
        <v>58</v>
      </c>
      <c r="B56" s="580"/>
      <c r="C56" s="580"/>
      <c r="D56" s="212" t="s">
        <v>146</v>
      </c>
      <c r="E56" s="217">
        <v>9.8999999999999994E-5</v>
      </c>
      <c r="F56" s="218" t="s">
        <v>146</v>
      </c>
      <c r="G56" s="217">
        <v>1.0000000000000001E-5</v>
      </c>
      <c r="H56" s="218" t="s">
        <v>146</v>
      </c>
      <c r="I56" s="217">
        <v>9.8999999999999994E-5</v>
      </c>
      <c r="J56" s="221" t="s">
        <v>146</v>
      </c>
      <c r="K56" s="221">
        <v>6.9333333333333329E-5</v>
      </c>
    </row>
    <row r="57" spans="1:11" x14ac:dyDescent="0.2">
      <c r="A57" s="580" t="s">
        <v>149</v>
      </c>
      <c r="B57" s="580"/>
      <c r="C57" s="580"/>
      <c r="D57" s="212" t="s">
        <v>146</v>
      </c>
      <c r="E57" s="217">
        <v>7.4999999999999991E-7</v>
      </c>
      <c r="F57" s="218" t="s">
        <v>146</v>
      </c>
      <c r="G57" s="217">
        <v>8.620689655172414E-8</v>
      </c>
      <c r="H57" s="218" t="s">
        <v>146</v>
      </c>
      <c r="I57" s="217">
        <v>7.557251908396946E-7</v>
      </c>
      <c r="J57" s="221" t="s">
        <v>146</v>
      </c>
      <c r="K57" s="221">
        <v>5.3064402913047282E-7</v>
      </c>
    </row>
    <row r="58" spans="1:11" ht="16" x14ac:dyDescent="0.2">
      <c r="A58" s="563" t="s">
        <v>150</v>
      </c>
      <c r="B58" s="563"/>
      <c r="C58" s="563"/>
      <c r="D58" s="105"/>
      <c r="E58" s="113">
        <v>0</v>
      </c>
      <c r="F58" s="110"/>
      <c r="G58" s="113">
        <v>0</v>
      </c>
      <c r="H58" s="110"/>
      <c r="I58" s="113">
        <v>0</v>
      </c>
      <c r="J58" s="112"/>
      <c r="K58" s="114">
        <f>AVERAGE(E58,G58,I58)</f>
        <v>0</v>
      </c>
    </row>
    <row r="59" spans="1:11" x14ac:dyDescent="0.2">
      <c r="A59" s="577" t="s">
        <v>154</v>
      </c>
      <c r="B59" s="578"/>
      <c r="C59" s="578"/>
      <c r="D59" s="578"/>
      <c r="E59" s="578"/>
      <c r="F59" s="578"/>
      <c r="G59" s="578"/>
      <c r="H59" s="578"/>
      <c r="I59" s="578"/>
      <c r="J59" s="578"/>
      <c r="K59" s="579"/>
    </row>
    <row r="60" spans="1:11" x14ac:dyDescent="0.2">
      <c r="A60" s="580" t="s">
        <v>142</v>
      </c>
      <c r="B60" s="580"/>
      <c r="C60" s="580"/>
      <c r="D60" s="212" t="s">
        <v>71</v>
      </c>
      <c r="E60" s="194">
        <v>43</v>
      </c>
      <c r="F60" s="212" t="s">
        <v>71</v>
      </c>
      <c r="G60" s="194">
        <v>35</v>
      </c>
      <c r="H60" s="212" t="s">
        <v>71</v>
      </c>
      <c r="I60" s="194">
        <v>98</v>
      </c>
      <c r="J60" s="194"/>
      <c r="K60" s="205">
        <v>58.666666666666664</v>
      </c>
    </row>
    <row r="61" spans="1:11" x14ac:dyDescent="0.2">
      <c r="A61" s="580" t="s">
        <v>147</v>
      </c>
      <c r="B61" s="580"/>
      <c r="C61" s="580"/>
      <c r="D61" s="212" t="s">
        <v>71</v>
      </c>
      <c r="E61" s="215">
        <v>0.51700000000000002</v>
      </c>
      <c r="F61" s="212" t="s">
        <v>71</v>
      </c>
      <c r="G61" s="215">
        <v>0.40500000000000003</v>
      </c>
      <c r="H61" s="212" t="s">
        <v>71</v>
      </c>
      <c r="I61" s="215">
        <v>1.462</v>
      </c>
      <c r="J61" s="194"/>
      <c r="K61" s="205">
        <v>0.79466666666666663</v>
      </c>
    </row>
    <row r="62" spans="1:11" x14ac:dyDescent="0.2">
      <c r="A62" s="580" t="s">
        <v>148</v>
      </c>
      <c r="B62" s="580"/>
      <c r="C62" s="580"/>
      <c r="D62" s="212" t="s">
        <v>71</v>
      </c>
      <c r="E62" s="215">
        <v>1.1200000000000001</v>
      </c>
      <c r="F62" s="212" t="s">
        <v>71</v>
      </c>
      <c r="G62" s="215">
        <v>0.88</v>
      </c>
      <c r="H62" s="212" t="s">
        <v>71</v>
      </c>
      <c r="I62" s="215">
        <v>3.16</v>
      </c>
      <c r="J62" s="194"/>
      <c r="K62" s="205">
        <v>1.72</v>
      </c>
    </row>
    <row r="63" spans="1:11" x14ac:dyDescent="0.2">
      <c r="A63" s="580" t="s">
        <v>58</v>
      </c>
      <c r="B63" s="580"/>
      <c r="C63" s="580"/>
      <c r="D63" s="212" t="s">
        <v>71</v>
      </c>
      <c r="E63" s="217">
        <v>1.5790000000000001E-3</v>
      </c>
      <c r="F63" s="218" t="s">
        <v>71</v>
      </c>
      <c r="G63" s="217">
        <v>1.356E-3</v>
      </c>
      <c r="H63" s="218" t="s">
        <v>71</v>
      </c>
      <c r="I63" s="217">
        <v>3.6059999999999998E-3</v>
      </c>
      <c r="J63" s="221"/>
      <c r="K63" s="221">
        <v>2.1803333333333332E-3</v>
      </c>
    </row>
    <row r="64" spans="1:11" x14ac:dyDescent="0.2">
      <c r="A64" s="580" t="s">
        <v>149</v>
      </c>
      <c r="B64" s="580"/>
      <c r="C64" s="580"/>
      <c r="D64" s="212" t="s">
        <v>71</v>
      </c>
      <c r="E64" s="217">
        <v>1.1962121212121213E-5</v>
      </c>
      <c r="F64" s="218" t="s">
        <v>71</v>
      </c>
      <c r="G64" s="217">
        <v>1.1689655172413793E-5</v>
      </c>
      <c r="H64" s="218" t="s">
        <v>71</v>
      </c>
      <c r="I64" s="217">
        <v>2.7526717557251909E-5</v>
      </c>
      <c r="J64" s="221"/>
      <c r="K64" s="221">
        <v>1.705949798059564E-5</v>
      </c>
    </row>
    <row r="65" spans="1:11" ht="16" x14ac:dyDescent="0.2">
      <c r="A65" s="563" t="s">
        <v>150</v>
      </c>
      <c r="B65" s="563"/>
      <c r="C65" s="563"/>
      <c r="D65" s="105"/>
      <c r="E65" s="113">
        <f>E64</f>
        <v>1.1962121212121213E-5</v>
      </c>
      <c r="F65" s="110"/>
      <c r="G65" s="113">
        <f>G64</f>
        <v>1.1689655172413793E-5</v>
      </c>
      <c r="H65" s="110"/>
      <c r="I65" s="113">
        <f>I64</f>
        <v>2.7526717557251909E-5</v>
      </c>
      <c r="J65" s="112"/>
      <c r="K65" s="114">
        <f>AVERAGE(E65,G65,I65)</f>
        <v>1.705949798059564E-5</v>
      </c>
    </row>
    <row r="66" spans="1:11" x14ac:dyDescent="0.2">
      <c r="A66" s="577" t="s">
        <v>155</v>
      </c>
      <c r="B66" s="578"/>
      <c r="C66" s="578"/>
      <c r="D66" s="578"/>
      <c r="E66" s="578"/>
      <c r="F66" s="578"/>
      <c r="G66" s="578"/>
      <c r="H66" s="578"/>
      <c r="I66" s="578"/>
      <c r="J66" s="578"/>
      <c r="K66" s="579"/>
    </row>
    <row r="67" spans="1:11" x14ac:dyDescent="0.2">
      <c r="A67" s="580" t="s">
        <v>142</v>
      </c>
      <c r="B67" s="580"/>
      <c r="C67" s="580"/>
      <c r="D67" s="212" t="s">
        <v>71</v>
      </c>
      <c r="E67" s="194">
        <v>9.9</v>
      </c>
      <c r="F67" s="212" t="s">
        <v>71</v>
      </c>
      <c r="G67" s="194">
        <v>3.8</v>
      </c>
      <c r="H67" s="212" t="s">
        <v>71</v>
      </c>
      <c r="I67" s="194">
        <v>8.1999999999999993</v>
      </c>
      <c r="J67" s="194"/>
      <c r="K67" s="205">
        <v>7.3</v>
      </c>
    </row>
    <row r="68" spans="1:11" x14ac:dyDescent="0.2">
      <c r="A68" s="580" t="s">
        <v>147</v>
      </c>
      <c r="B68" s="580"/>
      <c r="C68" s="580"/>
      <c r="D68" s="212" t="s">
        <v>71</v>
      </c>
      <c r="E68" s="215">
        <v>0.105</v>
      </c>
      <c r="F68" s="212" t="s">
        <v>71</v>
      </c>
      <c r="G68" s="215">
        <v>3.9E-2</v>
      </c>
      <c r="H68" s="212" t="s">
        <v>71</v>
      </c>
      <c r="I68" s="215">
        <v>0.108</v>
      </c>
      <c r="J68" s="194"/>
      <c r="K68" s="205">
        <v>8.4000000000000005E-2</v>
      </c>
    </row>
    <row r="69" spans="1:11" x14ac:dyDescent="0.2">
      <c r="A69" s="580" t="s">
        <v>148</v>
      </c>
      <c r="B69" s="580"/>
      <c r="C69" s="580"/>
      <c r="D69" s="212" t="s">
        <v>71</v>
      </c>
      <c r="E69" s="215">
        <v>0.26</v>
      </c>
      <c r="F69" s="212" t="s">
        <v>71</v>
      </c>
      <c r="G69" s="215">
        <v>0.1</v>
      </c>
      <c r="H69" s="212" t="s">
        <v>71</v>
      </c>
      <c r="I69" s="215">
        <v>0.26</v>
      </c>
      <c r="J69" s="194"/>
      <c r="K69" s="205">
        <v>0.20666666666666667</v>
      </c>
    </row>
    <row r="70" spans="1:11" x14ac:dyDescent="0.2">
      <c r="A70" s="580" t="s">
        <v>58</v>
      </c>
      <c r="B70" s="580"/>
      <c r="C70" s="580"/>
      <c r="D70" s="212" t="s">
        <v>71</v>
      </c>
      <c r="E70" s="217">
        <v>4.0000000000000002E-4</v>
      </c>
      <c r="F70" s="218" t="s">
        <v>71</v>
      </c>
      <c r="G70" s="217">
        <v>1.3957999999999999E-4</v>
      </c>
      <c r="H70" s="218" t="s">
        <v>71</v>
      </c>
      <c r="I70" s="217">
        <v>2.9999999999999997E-4</v>
      </c>
      <c r="J70" s="221"/>
      <c r="K70" s="221">
        <v>2.7985999999999999E-4</v>
      </c>
    </row>
    <row r="71" spans="1:11" x14ac:dyDescent="0.2">
      <c r="A71" s="580" t="s">
        <v>149</v>
      </c>
      <c r="B71" s="580"/>
      <c r="C71" s="580"/>
      <c r="D71" s="212" t="s">
        <v>71</v>
      </c>
      <c r="E71" s="217">
        <v>3.0303030303030305E-6</v>
      </c>
      <c r="F71" s="218" t="s">
        <v>71</v>
      </c>
      <c r="G71" s="217">
        <v>1.2032758620689655E-6</v>
      </c>
      <c r="H71" s="218" t="s">
        <v>71</v>
      </c>
      <c r="I71" s="217">
        <v>2.2900763358778625E-6</v>
      </c>
      <c r="J71" s="221"/>
      <c r="K71" s="221">
        <v>2.1745517427499528E-6</v>
      </c>
    </row>
    <row r="72" spans="1:11" ht="16" x14ac:dyDescent="0.2">
      <c r="A72" s="563" t="s">
        <v>150</v>
      </c>
      <c r="B72" s="563"/>
      <c r="C72" s="563"/>
      <c r="D72" s="105"/>
      <c r="E72" s="113">
        <f>E71</f>
        <v>3.0303030303030305E-6</v>
      </c>
      <c r="F72" s="110"/>
      <c r="G72" s="113">
        <f>G71</f>
        <v>1.2032758620689655E-6</v>
      </c>
      <c r="H72" s="110"/>
      <c r="I72" s="113">
        <f>I71</f>
        <v>2.2900763358778625E-6</v>
      </c>
      <c r="J72" s="112"/>
      <c r="K72" s="114">
        <f>AVERAGE(E72,G72,I72)</f>
        <v>2.1745517427499528E-6</v>
      </c>
    </row>
    <row r="73" spans="1:11" x14ac:dyDescent="0.2">
      <c r="A73" s="577" t="s">
        <v>156</v>
      </c>
      <c r="B73" s="578"/>
      <c r="C73" s="578"/>
      <c r="D73" s="578"/>
      <c r="E73" s="578"/>
      <c r="F73" s="578"/>
      <c r="G73" s="578"/>
      <c r="H73" s="578"/>
      <c r="I73" s="578"/>
      <c r="J73" s="578"/>
      <c r="K73" s="579"/>
    </row>
    <row r="74" spans="1:11" x14ac:dyDescent="0.2">
      <c r="A74" s="580" t="s">
        <v>142</v>
      </c>
      <c r="B74" s="580"/>
      <c r="C74" s="580"/>
      <c r="D74" s="212" t="s">
        <v>71</v>
      </c>
      <c r="E74" s="194">
        <v>340</v>
      </c>
      <c r="F74" s="212" t="s">
        <v>71</v>
      </c>
      <c r="G74" s="194">
        <v>360</v>
      </c>
      <c r="H74" s="212" t="s">
        <v>71</v>
      </c>
      <c r="I74" s="194">
        <v>670</v>
      </c>
      <c r="J74" s="194"/>
      <c r="K74" s="205">
        <v>456.66666666666669</v>
      </c>
    </row>
    <row r="75" spans="1:11" x14ac:dyDescent="0.2">
      <c r="A75" s="580" t="s">
        <v>147</v>
      </c>
      <c r="B75" s="580"/>
      <c r="C75" s="580"/>
      <c r="D75" s="212" t="s">
        <v>71</v>
      </c>
      <c r="E75" s="215">
        <v>3.3439999999999999</v>
      </c>
      <c r="F75" s="212" t="s">
        <v>71</v>
      </c>
      <c r="G75" s="215">
        <v>3.411</v>
      </c>
      <c r="H75" s="212" t="s">
        <v>71</v>
      </c>
      <c r="I75" s="215">
        <v>8.1750000000000007</v>
      </c>
      <c r="J75" s="194"/>
      <c r="K75" s="205">
        <v>4.9766666666666666</v>
      </c>
    </row>
    <row r="76" spans="1:11" x14ac:dyDescent="0.2">
      <c r="A76" s="580" t="s">
        <v>148</v>
      </c>
      <c r="B76" s="580"/>
      <c r="C76" s="580"/>
      <c r="D76" s="212" t="s">
        <v>71</v>
      </c>
      <c r="E76" s="215">
        <v>8.84</v>
      </c>
      <c r="F76" s="212" t="s">
        <v>71</v>
      </c>
      <c r="G76" s="215">
        <v>9.02</v>
      </c>
      <c r="H76" s="212" t="s">
        <v>71</v>
      </c>
      <c r="I76" s="215">
        <v>21.62</v>
      </c>
      <c r="J76" s="194"/>
      <c r="K76" s="205">
        <v>13.160000000000002</v>
      </c>
    </row>
    <row r="77" spans="1:11" x14ac:dyDescent="0.2">
      <c r="A77" s="580" t="s">
        <v>58</v>
      </c>
      <c r="B77" s="580"/>
      <c r="C77" s="580"/>
      <c r="D77" s="212" t="s">
        <v>71</v>
      </c>
      <c r="E77" s="217">
        <v>1.2500000000000001E-2</v>
      </c>
      <c r="F77" s="218" t="s">
        <v>71</v>
      </c>
      <c r="G77" s="217">
        <v>1.3899999999999999E-2</v>
      </c>
      <c r="H77" s="218" t="s">
        <v>71</v>
      </c>
      <c r="I77" s="217">
        <v>2.47E-2</v>
      </c>
      <c r="J77" s="221"/>
      <c r="K77" s="221">
        <v>1.7033333333333334E-2</v>
      </c>
    </row>
    <row r="78" spans="1:11" x14ac:dyDescent="0.2">
      <c r="A78" s="580" t="s">
        <v>149</v>
      </c>
      <c r="B78" s="580"/>
      <c r="C78" s="580"/>
      <c r="D78" s="212" t="s">
        <v>71</v>
      </c>
      <c r="E78" s="217">
        <v>9.4696969696969697E-5</v>
      </c>
      <c r="F78" s="218" t="s">
        <v>71</v>
      </c>
      <c r="G78" s="217">
        <v>1.1982758620689654E-4</v>
      </c>
      <c r="H78" s="218" t="s">
        <v>71</v>
      </c>
      <c r="I78" s="217">
        <v>1.8854961832061068E-4</v>
      </c>
      <c r="J78" s="221"/>
      <c r="K78" s="221">
        <v>1.3435805807482563E-4</v>
      </c>
    </row>
    <row r="79" spans="1:11" ht="16" x14ac:dyDescent="0.2">
      <c r="A79" s="563" t="s">
        <v>150</v>
      </c>
      <c r="B79" s="563"/>
      <c r="C79" s="563"/>
      <c r="D79" s="105"/>
      <c r="E79" s="113">
        <f>E78</f>
        <v>9.4696969696969697E-5</v>
      </c>
      <c r="F79" s="110"/>
      <c r="G79" s="113">
        <f>G78</f>
        <v>1.1982758620689654E-4</v>
      </c>
      <c r="H79" s="110"/>
      <c r="I79" s="113">
        <f>I78</f>
        <v>1.8854961832061068E-4</v>
      </c>
      <c r="J79" s="112"/>
      <c r="K79" s="114">
        <f>AVERAGE(E79,G79,I79)</f>
        <v>1.3435805807482563E-4</v>
      </c>
    </row>
    <row r="80" spans="1:11" x14ac:dyDescent="0.2">
      <c r="A80" s="577" t="s">
        <v>157</v>
      </c>
      <c r="B80" s="578"/>
      <c r="C80" s="578"/>
      <c r="D80" s="578"/>
      <c r="E80" s="578"/>
      <c r="F80" s="578"/>
      <c r="G80" s="578"/>
      <c r="H80" s="578"/>
      <c r="I80" s="578"/>
      <c r="J80" s="578"/>
      <c r="K80" s="579"/>
    </row>
    <row r="81" spans="1:11" x14ac:dyDescent="0.2">
      <c r="A81" s="580" t="s">
        <v>142</v>
      </c>
      <c r="B81" s="580"/>
      <c r="C81" s="580"/>
      <c r="D81" s="212" t="s">
        <v>71</v>
      </c>
      <c r="E81" s="205">
        <v>1300</v>
      </c>
      <c r="F81" s="212" t="s">
        <v>71</v>
      </c>
      <c r="G81" s="194">
        <v>250</v>
      </c>
      <c r="H81" s="212" t="s">
        <v>71</v>
      </c>
      <c r="I81" s="194">
        <v>970</v>
      </c>
      <c r="J81" s="194"/>
      <c r="K81" s="205">
        <v>840</v>
      </c>
    </row>
    <row r="82" spans="1:11" x14ac:dyDescent="0.2">
      <c r="A82" s="580" t="s">
        <v>147</v>
      </c>
      <c r="B82" s="580"/>
      <c r="C82" s="580"/>
      <c r="D82" s="212" t="s">
        <v>71</v>
      </c>
      <c r="E82" s="215">
        <v>3.9220000000000002</v>
      </c>
      <c r="F82" s="212" t="s">
        <v>71</v>
      </c>
      <c r="G82" s="215">
        <v>0.72699999999999998</v>
      </c>
      <c r="H82" s="212" t="s">
        <v>71</v>
      </c>
      <c r="I82" s="215">
        <v>3.63</v>
      </c>
      <c r="J82" s="194"/>
      <c r="K82" s="205">
        <v>2.7596666666666665</v>
      </c>
    </row>
    <row r="83" spans="1:11" x14ac:dyDescent="0.2">
      <c r="A83" s="580" t="s">
        <v>148</v>
      </c>
      <c r="B83" s="580"/>
      <c r="C83" s="580"/>
      <c r="D83" s="212" t="s">
        <v>71</v>
      </c>
      <c r="E83" s="215">
        <v>33.81</v>
      </c>
      <c r="F83" s="212" t="s">
        <v>71</v>
      </c>
      <c r="G83" s="215">
        <v>6.26</v>
      </c>
      <c r="H83" s="212" t="s">
        <v>71</v>
      </c>
      <c r="I83" s="215">
        <v>31.29</v>
      </c>
      <c r="J83" s="194"/>
      <c r="K83" s="205">
        <v>23.786666666666665</v>
      </c>
    </row>
    <row r="84" spans="1:11" x14ac:dyDescent="0.2">
      <c r="A84" s="580" t="s">
        <v>58</v>
      </c>
      <c r="B84" s="580"/>
      <c r="C84" s="580"/>
      <c r="D84" s="212" t="s">
        <v>71</v>
      </c>
      <c r="E84" s="217">
        <v>4.7800000000000002E-2</v>
      </c>
      <c r="F84" s="218" t="s">
        <v>71</v>
      </c>
      <c r="G84" s="217">
        <v>9.7000000000000003E-3</v>
      </c>
      <c r="H84" s="218" t="s">
        <v>71</v>
      </c>
      <c r="I84" s="217">
        <v>3.5700000000000003E-2</v>
      </c>
      <c r="J84" s="221"/>
      <c r="K84" s="221">
        <v>3.106666666666667E-2</v>
      </c>
    </row>
    <row r="85" spans="1:11" x14ac:dyDescent="0.2">
      <c r="A85" s="580" t="s">
        <v>149</v>
      </c>
      <c r="B85" s="580"/>
      <c r="C85" s="580"/>
      <c r="D85" s="212" t="s">
        <v>71</v>
      </c>
      <c r="E85" s="217">
        <v>3.6212121212121211E-4</v>
      </c>
      <c r="F85" s="218" t="s">
        <v>71</v>
      </c>
      <c r="G85" s="217">
        <v>8.3620689655172423E-5</v>
      </c>
      <c r="H85" s="218" t="s">
        <v>71</v>
      </c>
      <c r="I85" s="217">
        <v>2.7251908396946564E-4</v>
      </c>
      <c r="J85" s="221"/>
      <c r="K85" s="221">
        <v>2.3942032858195004E-4</v>
      </c>
    </row>
    <row r="86" spans="1:11" ht="16" x14ac:dyDescent="0.2">
      <c r="A86" s="563" t="s">
        <v>150</v>
      </c>
      <c r="B86" s="563"/>
      <c r="C86" s="563"/>
      <c r="D86" s="105"/>
      <c r="E86" s="113">
        <f>E85</f>
        <v>3.6212121212121211E-4</v>
      </c>
      <c r="F86" s="110"/>
      <c r="G86" s="113">
        <f>G85</f>
        <v>8.3620689655172423E-5</v>
      </c>
      <c r="H86" s="110"/>
      <c r="I86" s="113">
        <f>I85</f>
        <v>2.7251908396946564E-4</v>
      </c>
      <c r="J86" s="112"/>
      <c r="K86" s="114">
        <f>AVERAGE(E86,G86,I86)</f>
        <v>2.3942032858195004E-4</v>
      </c>
    </row>
    <row r="87" spans="1:11" x14ac:dyDescent="0.2">
      <c r="A87" s="577" t="s">
        <v>158</v>
      </c>
      <c r="B87" s="578"/>
      <c r="C87" s="578"/>
      <c r="D87" s="578"/>
      <c r="E87" s="578"/>
      <c r="F87" s="578"/>
      <c r="G87" s="578"/>
      <c r="H87" s="578"/>
      <c r="I87" s="578"/>
      <c r="J87" s="578"/>
      <c r="K87" s="579"/>
    </row>
    <row r="88" spans="1:11" x14ac:dyDescent="0.2">
      <c r="A88" s="580" t="s">
        <v>142</v>
      </c>
      <c r="B88" s="580"/>
      <c r="C88" s="580"/>
      <c r="D88" s="212" t="s">
        <v>71</v>
      </c>
      <c r="E88" s="205">
        <v>7200</v>
      </c>
      <c r="F88" s="235" t="s">
        <v>71</v>
      </c>
      <c r="G88" s="205">
        <v>2700</v>
      </c>
      <c r="H88" s="235" t="s">
        <v>71</v>
      </c>
      <c r="I88" s="205">
        <v>4200</v>
      </c>
      <c r="J88" s="205"/>
      <c r="K88" s="205">
        <v>4700</v>
      </c>
    </row>
    <row r="89" spans="1:11" x14ac:dyDescent="0.2">
      <c r="A89" s="580" t="s">
        <v>147</v>
      </c>
      <c r="B89" s="580"/>
      <c r="C89" s="580"/>
      <c r="D89" s="212" t="s">
        <v>71</v>
      </c>
      <c r="E89" s="215">
        <v>81.921999999999997</v>
      </c>
      <c r="F89" s="212" t="s">
        <v>71</v>
      </c>
      <c r="G89" s="215">
        <v>29.59</v>
      </c>
      <c r="H89" s="212" t="s">
        <v>71</v>
      </c>
      <c r="I89" s="215">
        <v>59.276000000000003</v>
      </c>
      <c r="J89" s="194"/>
      <c r="K89" s="205">
        <v>56.929333333333339</v>
      </c>
    </row>
    <row r="90" spans="1:11" x14ac:dyDescent="0.2">
      <c r="A90" s="580" t="s">
        <v>148</v>
      </c>
      <c r="B90" s="580"/>
      <c r="C90" s="580"/>
      <c r="D90" s="212" t="s">
        <v>71</v>
      </c>
      <c r="E90" s="215">
        <v>187.26</v>
      </c>
      <c r="F90" s="212" t="s">
        <v>71</v>
      </c>
      <c r="G90" s="215">
        <v>67.64</v>
      </c>
      <c r="H90" s="212" t="s">
        <v>71</v>
      </c>
      <c r="I90" s="215">
        <v>135.5</v>
      </c>
      <c r="J90" s="194"/>
      <c r="K90" s="205">
        <v>130.13333333333333</v>
      </c>
    </row>
    <row r="91" spans="1:11" x14ac:dyDescent="0.2">
      <c r="A91" s="580" t="s">
        <v>58</v>
      </c>
      <c r="B91" s="580"/>
      <c r="C91" s="580"/>
      <c r="D91" s="212" t="s">
        <v>71</v>
      </c>
      <c r="E91" s="217">
        <v>0.26450000000000001</v>
      </c>
      <c r="F91" s="218" t="s">
        <v>71</v>
      </c>
      <c r="G91" s="217">
        <v>0.1046</v>
      </c>
      <c r="H91" s="218" t="s">
        <v>71</v>
      </c>
      <c r="I91" s="217">
        <v>0.1545</v>
      </c>
      <c r="J91" s="221"/>
      <c r="K91" s="221">
        <v>0.17453333333333332</v>
      </c>
    </row>
    <row r="92" spans="1:11" x14ac:dyDescent="0.2">
      <c r="A92" s="580" t="s">
        <v>149</v>
      </c>
      <c r="B92" s="580"/>
      <c r="C92" s="580"/>
      <c r="D92" s="212" t="s">
        <v>71</v>
      </c>
      <c r="E92" s="217">
        <v>2.0037878787878788E-3</v>
      </c>
      <c r="F92" s="218" t="s">
        <v>71</v>
      </c>
      <c r="G92" s="217">
        <v>9.0172413793103445E-4</v>
      </c>
      <c r="H92" s="218" t="s">
        <v>71</v>
      </c>
      <c r="I92" s="217">
        <v>1.1793893129770992E-3</v>
      </c>
      <c r="J92" s="221"/>
      <c r="K92" s="221">
        <v>1.3616337765653375E-3</v>
      </c>
    </row>
    <row r="93" spans="1:11" ht="16" x14ac:dyDescent="0.2">
      <c r="A93" s="563" t="s">
        <v>150</v>
      </c>
      <c r="B93" s="563"/>
      <c r="C93" s="563"/>
      <c r="D93" s="105"/>
      <c r="E93" s="113">
        <f>E92</f>
        <v>2.0037878787878788E-3</v>
      </c>
      <c r="F93" s="110"/>
      <c r="G93" s="113">
        <f>G92</f>
        <v>9.0172413793103445E-4</v>
      </c>
      <c r="H93" s="110"/>
      <c r="I93" s="113">
        <f>I92</f>
        <v>1.1793893129770992E-3</v>
      </c>
      <c r="J93" s="112"/>
      <c r="K93" s="114">
        <f>AVERAGE(E93,G93,I93)</f>
        <v>1.3616337765653375E-3</v>
      </c>
    </row>
    <row r="94" spans="1:11" x14ac:dyDescent="0.2">
      <c r="A94" s="577" t="s">
        <v>159</v>
      </c>
      <c r="B94" s="578"/>
      <c r="C94" s="578"/>
      <c r="D94" s="578"/>
      <c r="E94" s="578"/>
      <c r="F94" s="578"/>
      <c r="G94" s="578"/>
      <c r="H94" s="578"/>
      <c r="I94" s="578"/>
      <c r="J94" s="578"/>
      <c r="K94" s="579"/>
    </row>
    <row r="95" spans="1:11" x14ac:dyDescent="0.2">
      <c r="A95" s="580" t="s">
        <v>142</v>
      </c>
      <c r="B95" s="580"/>
      <c r="C95" s="580"/>
      <c r="D95" s="212" t="s">
        <v>71</v>
      </c>
      <c r="E95" s="194">
        <v>35</v>
      </c>
      <c r="F95" s="212" t="s">
        <v>71</v>
      </c>
      <c r="G95" s="194">
        <v>39</v>
      </c>
      <c r="H95" s="212" t="s">
        <v>71</v>
      </c>
      <c r="I95" s="194">
        <v>85</v>
      </c>
      <c r="J95" s="194"/>
      <c r="K95" s="205">
        <v>53</v>
      </c>
    </row>
    <row r="96" spans="1:11" x14ac:dyDescent="0.2">
      <c r="A96" s="580" t="s">
        <v>147</v>
      </c>
      <c r="B96" s="580"/>
      <c r="C96" s="580"/>
      <c r="D96" s="212" t="s">
        <v>71</v>
      </c>
      <c r="E96" s="215">
        <v>0.373</v>
      </c>
      <c r="F96" s="212" t="s">
        <v>71</v>
      </c>
      <c r="G96" s="215">
        <v>0.4</v>
      </c>
      <c r="H96" s="212" t="s">
        <v>71</v>
      </c>
      <c r="I96" s="215">
        <v>1.123</v>
      </c>
      <c r="J96" s="194"/>
      <c r="K96" s="205">
        <v>0.63200000000000001</v>
      </c>
    </row>
    <row r="97" spans="1:11" x14ac:dyDescent="0.2">
      <c r="A97" s="580" t="s">
        <v>148</v>
      </c>
      <c r="B97" s="580"/>
      <c r="C97" s="580"/>
      <c r="D97" s="212" t="s">
        <v>71</v>
      </c>
      <c r="E97" s="215">
        <v>0.91</v>
      </c>
      <c r="F97" s="212" t="s">
        <v>71</v>
      </c>
      <c r="G97" s="215">
        <v>0.98</v>
      </c>
      <c r="H97" s="212" t="s">
        <v>71</v>
      </c>
      <c r="I97" s="215">
        <v>2.74</v>
      </c>
      <c r="J97" s="194"/>
      <c r="K97" s="205">
        <v>1.5433333333333337</v>
      </c>
    </row>
    <row r="98" spans="1:11" x14ac:dyDescent="0.2">
      <c r="A98" s="580" t="s">
        <v>58</v>
      </c>
      <c r="B98" s="580"/>
      <c r="C98" s="580"/>
      <c r="D98" s="212" t="s">
        <v>71</v>
      </c>
      <c r="E98" s="217">
        <v>1.2999999999999999E-3</v>
      </c>
      <c r="F98" s="218" t="s">
        <v>71</v>
      </c>
      <c r="G98" s="217">
        <v>1.5E-3</v>
      </c>
      <c r="H98" s="218" t="s">
        <v>71</v>
      </c>
      <c r="I98" s="217">
        <v>3.0999999999999999E-3</v>
      </c>
      <c r="J98" s="221"/>
      <c r="K98" s="221">
        <v>1.9666666666666665E-3</v>
      </c>
    </row>
    <row r="99" spans="1:11" x14ac:dyDescent="0.2">
      <c r="A99" s="580" t="s">
        <v>149</v>
      </c>
      <c r="B99" s="580"/>
      <c r="C99" s="580"/>
      <c r="D99" s="212" t="s">
        <v>71</v>
      </c>
      <c r="E99" s="217">
        <v>9.8484848484848483E-6</v>
      </c>
      <c r="F99" s="218" t="s">
        <v>71</v>
      </c>
      <c r="G99" s="217">
        <v>1.293103448275862E-5</v>
      </c>
      <c r="H99" s="218" t="s">
        <v>71</v>
      </c>
      <c r="I99" s="217">
        <v>2.366412213740458E-5</v>
      </c>
      <c r="J99" s="221"/>
      <c r="K99" s="221">
        <v>1.5481213822882682E-5</v>
      </c>
    </row>
    <row r="100" spans="1:11" ht="16" x14ac:dyDescent="0.2">
      <c r="A100" s="563" t="s">
        <v>150</v>
      </c>
      <c r="B100" s="563"/>
      <c r="C100" s="563"/>
      <c r="D100" s="105"/>
      <c r="E100" s="113">
        <f>E99</f>
        <v>9.8484848484848483E-6</v>
      </c>
      <c r="F100" s="110"/>
      <c r="G100" s="113">
        <f>G99</f>
        <v>1.293103448275862E-5</v>
      </c>
      <c r="H100" s="110"/>
      <c r="I100" s="113">
        <f>I99</f>
        <v>2.366412213740458E-5</v>
      </c>
      <c r="J100" s="112"/>
      <c r="K100" s="114">
        <f>AVERAGE(E100,G100,I100)</f>
        <v>1.5481213822882682E-5</v>
      </c>
    </row>
    <row r="101" spans="1:11" x14ac:dyDescent="0.2">
      <c r="A101" s="577" t="s">
        <v>160</v>
      </c>
      <c r="B101" s="578"/>
      <c r="C101" s="578"/>
      <c r="D101" s="578"/>
      <c r="E101" s="578"/>
      <c r="F101" s="578"/>
      <c r="G101" s="578"/>
      <c r="H101" s="578"/>
      <c r="I101" s="578"/>
      <c r="J101" s="578"/>
      <c r="K101" s="579"/>
    </row>
    <row r="102" spans="1:11" x14ac:dyDescent="0.2">
      <c r="A102" s="580" t="s">
        <v>142</v>
      </c>
      <c r="B102" s="580"/>
      <c r="C102" s="580"/>
      <c r="D102" s="212" t="s">
        <v>71</v>
      </c>
      <c r="E102" s="194">
        <v>61</v>
      </c>
      <c r="F102" s="212" t="s">
        <v>71</v>
      </c>
      <c r="G102" s="194">
        <v>27</v>
      </c>
      <c r="H102" s="212"/>
      <c r="I102" s="194">
        <v>72</v>
      </c>
      <c r="J102" s="194"/>
      <c r="K102" s="205">
        <v>53.333333333333336</v>
      </c>
    </row>
    <row r="103" spans="1:11" x14ac:dyDescent="0.2">
      <c r="A103" s="580" t="s">
        <v>147</v>
      </c>
      <c r="B103" s="580"/>
      <c r="C103" s="580"/>
      <c r="D103" s="212" t="s">
        <v>71</v>
      </c>
      <c r="E103" s="215">
        <v>1.2310000000000001</v>
      </c>
      <c r="F103" s="212" t="s">
        <v>71</v>
      </c>
      <c r="G103" s="215">
        <v>0.52500000000000002</v>
      </c>
      <c r="H103" s="212"/>
      <c r="I103" s="215">
        <v>1.8029999999999999</v>
      </c>
      <c r="J103" s="194"/>
      <c r="K103" s="205">
        <v>1.1863333333333335</v>
      </c>
    </row>
    <row r="104" spans="1:11" x14ac:dyDescent="0.2">
      <c r="A104" s="580" t="s">
        <v>148</v>
      </c>
      <c r="B104" s="580"/>
      <c r="C104" s="580"/>
      <c r="D104" s="212" t="s">
        <v>71</v>
      </c>
      <c r="E104" s="215">
        <v>1.59</v>
      </c>
      <c r="F104" s="212" t="s">
        <v>71</v>
      </c>
      <c r="G104" s="215">
        <v>0.68</v>
      </c>
      <c r="H104" s="212"/>
      <c r="I104" s="215">
        <v>2.3199999999999998</v>
      </c>
      <c r="J104" s="194"/>
      <c r="K104" s="205">
        <v>1.53</v>
      </c>
    </row>
    <row r="105" spans="1:11" x14ac:dyDescent="0.2">
      <c r="A105" s="580" t="s">
        <v>58</v>
      </c>
      <c r="B105" s="580"/>
      <c r="C105" s="580"/>
      <c r="D105" s="212" t="s">
        <v>71</v>
      </c>
      <c r="E105" s="217">
        <v>2.2000000000000001E-3</v>
      </c>
      <c r="F105" s="218" t="s">
        <v>71</v>
      </c>
      <c r="G105" s="217">
        <v>1E-3</v>
      </c>
      <c r="H105" s="218"/>
      <c r="I105" s="217">
        <v>2.5999999999999999E-3</v>
      </c>
      <c r="J105" s="221"/>
      <c r="K105" s="221">
        <v>1.9333333333333331E-3</v>
      </c>
    </row>
    <row r="106" spans="1:11" x14ac:dyDescent="0.2">
      <c r="A106" s="580" t="s">
        <v>149</v>
      </c>
      <c r="B106" s="580"/>
      <c r="C106" s="580"/>
      <c r="D106" s="212" t="s">
        <v>71</v>
      </c>
      <c r="E106" s="217">
        <v>1.6666666666666667E-5</v>
      </c>
      <c r="F106" s="218" t="s">
        <v>71</v>
      </c>
      <c r="G106" s="217">
        <v>8.6206896551724141E-6</v>
      </c>
      <c r="H106" s="218"/>
      <c r="I106" s="217">
        <v>1.9847328244274807E-5</v>
      </c>
      <c r="J106" s="221"/>
      <c r="K106" s="221">
        <v>1.5044894855371296E-5</v>
      </c>
    </row>
    <row r="107" spans="1:11" ht="16" x14ac:dyDescent="0.2">
      <c r="A107" s="563" t="s">
        <v>150</v>
      </c>
      <c r="B107" s="563"/>
      <c r="C107" s="563"/>
      <c r="D107" s="105"/>
      <c r="E107" s="113">
        <f>E106</f>
        <v>1.6666666666666667E-5</v>
      </c>
      <c r="F107" s="110"/>
      <c r="G107" s="113">
        <f>G106</f>
        <v>8.6206896551724141E-6</v>
      </c>
      <c r="H107" s="110"/>
      <c r="I107" s="113">
        <f>I106</f>
        <v>1.9847328244274807E-5</v>
      </c>
      <c r="J107" s="112"/>
      <c r="K107" s="114">
        <f>AVERAGE(E107,G107,I107)</f>
        <v>1.5044894855371296E-5</v>
      </c>
    </row>
    <row r="108" spans="1:11" x14ac:dyDescent="0.2">
      <c r="A108" s="577" t="s">
        <v>161</v>
      </c>
      <c r="B108" s="578"/>
      <c r="C108" s="578"/>
      <c r="D108" s="578"/>
      <c r="E108" s="578"/>
      <c r="F108" s="578"/>
      <c r="G108" s="578"/>
      <c r="H108" s="578"/>
      <c r="I108" s="578"/>
      <c r="J108" s="578"/>
      <c r="K108" s="579"/>
    </row>
    <row r="109" spans="1:11" x14ac:dyDescent="0.2">
      <c r="A109" s="580" t="s">
        <v>142</v>
      </c>
      <c r="B109" s="580"/>
      <c r="C109" s="580"/>
      <c r="D109" s="212" t="s">
        <v>71</v>
      </c>
      <c r="E109" s="194">
        <v>13</v>
      </c>
      <c r="F109" s="212" t="s">
        <v>71</v>
      </c>
      <c r="G109" s="194">
        <v>13</v>
      </c>
      <c r="H109" s="212"/>
      <c r="I109" s="194">
        <v>29</v>
      </c>
      <c r="J109" s="194"/>
      <c r="K109" s="205">
        <v>18.333333333333332</v>
      </c>
    </row>
    <row r="110" spans="1:11" x14ac:dyDescent="0.2">
      <c r="A110" s="580" t="s">
        <v>147</v>
      </c>
      <c r="B110" s="580"/>
      <c r="C110" s="580"/>
      <c r="D110" s="212" t="s">
        <v>71</v>
      </c>
      <c r="E110" s="215">
        <v>0.10299999999999999</v>
      </c>
      <c r="F110" s="212" t="s">
        <v>71</v>
      </c>
      <c r="G110" s="215">
        <v>9.9000000000000005E-2</v>
      </c>
      <c r="H110" s="212"/>
      <c r="I110" s="215">
        <v>0.28499999999999998</v>
      </c>
      <c r="J110" s="194"/>
      <c r="K110" s="205">
        <v>0.16233333333333333</v>
      </c>
    </row>
    <row r="111" spans="1:11" x14ac:dyDescent="0.2">
      <c r="A111" s="580" t="s">
        <v>148</v>
      </c>
      <c r="B111" s="580"/>
      <c r="C111" s="580"/>
      <c r="D111" s="212" t="s">
        <v>71</v>
      </c>
      <c r="E111" s="215">
        <v>0.34</v>
      </c>
      <c r="F111" s="212" t="s">
        <v>71</v>
      </c>
      <c r="G111" s="215">
        <v>0.33</v>
      </c>
      <c r="H111" s="212"/>
      <c r="I111" s="215">
        <v>0.94</v>
      </c>
      <c r="J111" s="194"/>
      <c r="K111" s="205">
        <v>0.53666666666666663</v>
      </c>
    </row>
    <row r="112" spans="1:11" x14ac:dyDescent="0.2">
      <c r="A112" s="580" t="s">
        <v>58</v>
      </c>
      <c r="B112" s="580"/>
      <c r="C112" s="580"/>
      <c r="D112" s="212" t="s">
        <v>71</v>
      </c>
      <c r="E112" s="217">
        <v>5.0000000000000001E-4</v>
      </c>
      <c r="F112" s="218" t="s">
        <v>71</v>
      </c>
      <c r="G112" s="217">
        <v>5.0000000000000001E-4</v>
      </c>
      <c r="H112" s="218"/>
      <c r="I112" s="217">
        <v>1.1000000000000001E-3</v>
      </c>
      <c r="J112" s="221"/>
      <c r="K112" s="221">
        <v>7.000000000000001E-4</v>
      </c>
    </row>
    <row r="113" spans="1:11" x14ac:dyDescent="0.2">
      <c r="A113" s="580" t="s">
        <v>149</v>
      </c>
      <c r="B113" s="580"/>
      <c r="C113" s="580"/>
      <c r="D113" s="212" t="s">
        <v>71</v>
      </c>
      <c r="E113" s="217">
        <v>3.7878787878787878E-6</v>
      </c>
      <c r="F113" s="218" t="s">
        <v>71</v>
      </c>
      <c r="G113" s="217">
        <v>4.3103448275862071E-6</v>
      </c>
      <c r="H113" s="218"/>
      <c r="I113" s="217">
        <v>8.3969465648854967E-6</v>
      </c>
      <c r="J113" s="221"/>
      <c r="K113" s="221">
        <v>5.4983900601168301E-6</v>
      </c>
    </row>
    <row r="114" spans="1:11" ht="16" x14ac:dyDescent="0.2">
      <c r="A114" s="563" t="s">
        <v>150</v>
      </c>
      <c r="B114" s="563"/>
      <c r="C114" s="563"/>
      <c r="D114" s="105"/>
      <c r="E114" s="113">
        <f>E113</f>
        <v>3.7878787878787878E-6</v>
      </c>
      <c r="F114" s="110"/>
      <c r="G114" s="113">
        <f>G113</f>
        <v>4.3103448275862071E-6</v>
      </c>
      <c r="H114" s="110"/>
      <c r="I114" s="113">
        <f>I113</f>
        <v>8.3969465648854967E-6</v>
      </c>
      <c r="J114" s="112"/>
      <c r="K114" s="114">
        <f>AVERAGE(E114,G114,I114)</f>
        <v>5.4983900601168301E-6</v>
      </c>
    </row>
    <row r="115" spans="1:11" x14ac:dyDescent="0.2">
      <c r="A115" s="577" t="s">
        <v>162</v>
      </c>
      <c r="B115" s="578"/>
      <c r="C115" s="578"/>
      <c r="D115" s="578"/>
      <c r="E115" s="578"/>
      <c r="F115" s="578"/>
      <c r="G115" s="578"/>
      <c r="H115" s="578"/>
      <c r="I115" s="578"/>
      <c r="J115" s="578"/>
      <c r="K115" s="579"/>
    </row>
    <row r="116" spans="1:11" x14ac:dyDescent="0.2">
      <c r="A116" s="580" t="s">
        <v>142</v>
      </c>
      <c r="B116" s="580"/>
      <c r="C116" s="580"/>
      <c r="D116" s="212" t="s">
        <v>71</v>
      </c>
      <c r="E116" s="205">
        <v>5200</v>
      </c>
      <c r="F116" s="235" t="s">
        <v>71</v>
      </c>
      <c r="G116" s="205">
        <v>1800</v>
      </c>
      <c r="H116" s="235" t="s">
        <v>71</v>
      </c>
      <c r="I116" s="205">
        <v>8500</v>
      </c>
      <c r="J116" s="205"/>
      <c r="K116" s="205">
        <v>5166.666666666667</v>
      </c>
    </row>
    <row r="117" spans="1:11" x14ac:dyDescent="0.2">
      <c r="A117" s="580" t="s">
        <v>147</v>
      </c>
      <c r="B117" s="580"/>
      <c r="C117" s="580"/>
      <c r="D117" s="212" t="s">
        <v>71</v>
      </c>
      <c r="E117" s="215">
        <v>49.725999999999999</v>
      </c>
      <c r="F117" s="212"/>
      <c r="G117" s="215">
        <v>16.579000000000001</v>
      </c>
      <c r="H117" s="212" t="s">
        <v>71</v>
      </c>
      <c r="I117" s="215">
        <v>100.822</v>
      </c>
      <c r="J117" s="194"/>
      <c r="K117" s="205">
        <v>55.709000000000003</v>
      </c>
    </row>
    <row r="118" spans="1:11" x14ac:dyDescent="0.2">
      <c r="A118" s="580" t="s">
        <v>148</v>
      </c>
      <c r="B118" s="580"/>
      <c r="C118" s="580"/>
      <c r="D118" s="212" t="s">
        <v>71</v>
      </c>
      <c r="E118" s="215">
        <v>135.25</v>
      </c>
      <c r="F118" s="212" t="s">
        <v>71</v>
      </c>
      <c r="G118" s="215">
        <v>45.09</v>
      </c>
      <c r="H118" s="212" t="s">
        <v>71</v>
      </c>
      <c r="I118" s="215">
        <v>274.22000000000003</v>
      </c>
      <c r="J118" s="194"/>
      <c r="K118" s="205">
        <v>151.52000000000001</v>
      </c>
    </row>
    <row r="119" spans="1:11" x14ac:dyDescent="0.2">
      <c r="A119" s="580" t="s">
        <v>58</v>
      </c>
      <c r="B119" s="580"/>
      <c r="C119" s="580"/>
      <c r="D119" s="212" t="s">
        <v>71</v>
      </c>
      <c r="E119" s="217">
        <v>0.191</v>
      </c>
      <c r="F119" s="218" t="s">
        <v>71</v>
      </c>
      <c r="G119" s="217">
        <v>6.9699999999999998E-2</v>
      </c>
      <c r="H119" s="218" t="s">
        <v>71</v>
      </c>
      <c r="I119" s="217">
        <v>0.31280000000000002</v>
      </c>
      <c r="J119" s="221"/>
      <c r="K119" s="221">
        <v>0.19116666666666668</v>
      </c>
    </row>
    <row r="120" spans="1:11" x14ac:dyDescent="0.2">
      <c r="A120" s="580" t="s">
        <v>149</v>
      </c>
      <c r="B120" s="580"/>
      <c r="C120" s="580"/>
      <c r="D120" s="212" t="s">
        <v>71</v>
      </c>
      <c r="E120" s="217">
        <v>1.446969696969697E-3</v>
      </c>
      <c r="F120" s="218" t="s">
        <v>71</v>
      </c>
      <c r="G120" s="217">
        <v>6.0086206896551718E-4</v>
      </c>
      <c r="H120" s="218" t="s">
        <v>71</v>
      </c>
      <c r="I120" s="217">
        <v>2.3877862595419849E-3</v>
      </c>
      <c r="J120" s="221"/>
      <c r="K120" s="221">
        <v>1.4785393418257329E-3</v>
      </c>
    </row>
    <row r="121" spans="1:11" ht="16" x14ac:dyDescent="0.2">
      <c r="A121" s="563" t="s">
        <v>150</v>
      </c>
      <c r="B121" s="563"/>
      <c r="C121" s="563"/>
      <c r="D121" s="105"/>
      <c r="E121" s="113">
        <f>E120</f>
        <v>1.446969696969697E-3</v>
      </c>
      <c r="F121" s="110"/>
      <c r="G121" s="113">
        <f>G120</f>
        <v>6.0086206896551718E-4</v>
      </c>
      <c r="H121" s="110"/>
      <c r="I121" s="113">
        <f>I120</f>
        <v>2.3877862595419849E-3</v>
      </c>
      <c r="J121" s="112"/>
      <c r="K121" s="114">
        <f>AVERAGE(E121,G121,I121)</f>
        <v>1.4785393418257329E-3</v>
      </c>
    </row>
    <row r="122" spans="1:11" x14ac:dyDescent="0.2">
      <c r="A122" s="573" t="s">
        <v>163</v>
      </c>
      <c r="B122" s="574"/>
      <c r="C122" s="574"/>
      <c r="D122" s="574"/>
      <c r="E122" s="574"/>
      <c r="F122" s="574"/>
      <c r="G122" s="574"/>
      <c r="H122" s="574"/>
      <c r="I122" s="574"/>
      <c r="J122" s="574"/>
      <c r="K122" s="575"/>
    </row>
    <row r="123" spans="1:11" x14ac:dyDescent="0.2">
      <c r="A123" s="572" t="s">
        <v>142</v>
      </c>
      <c r="B123" s="572"/>
      <c r="C123" s="572"/>
      <c r="D123" s="213" t="s">
        <v>71</v>
      </c>
      <c r="E123" s="214">
        <v>1</v>
      </c>
      <c r="F123" s="213" t="s">
        <v>71</v>
      </c>
      <c r="G123" s="214">
        <v>1.3</v>
      </c>
      <c r="H123" s="213" t="s">
        <v>71</v>
      </c>
      <c r="I123" s="214">
        <v>1.2</v>
      </c>
      <c r="J123" s="214"/>
      <c r="K123" s="205">
        <v>1.1666666666666667</v>
      </c>
    </row>
    <row r="124" spans="1:11" x14ac:dyDescent="0.2">
      <c r="A124" s="572" t="s">
        <v>147</v>
      </c>
      <c r="B124" s="572"/>
      <c r="C124" s="572"/>
      <c r="D124" s="213" t="s">
        <v>71</v>
      </c>
      <c r="E124" s="216">
        <v>6.0000000000000001E-3</v>
      </c>
      <c r="F124" s="213" t="s">
        <v>71</v>
      </c>
      <c r="G124" s="216">
        <v>7.0000000000000001E-3</v>
      </c>
      <c r="H124" s="213" t="s">
        <v>71</v>
      </c>
      <c r="I124" s="216">
        <v>8.0000000000000002E-3</v>
      </c>
      <c r="J124" s="214"/>
      <c r="K124" s="205">
        <v>7.0000000000000001E-3</v>
      </c>
    </row>
    <row r="125" spans="1:11" x14ac:dyDescent="0.2">
      <c r="A125" s="572" t="s">
        <v>148</v>
      </c>
      <c r="B125" s="572"/>
      <c r="C125" s="572"/>
      <c r="D125" s="213" t="s">
        <v>71</v>
      </c>
      <c r="E125" s="216">
        <v>0.03</v>
      </c>
      <c r="F125" s="213" t="s">
        <v>71</v>
      </c>
      <c r="G125" s="216">
        <v>3.3000000000000002E-2</v>
      </c>
      <c r="H125" s="213" t="s">
        <v>71</v>
      </c>
      <c r="I125" s="216">
        <v>0.04</v>
      </c>
      <c r="J125" s="214"/>
      <c r="K125" s="205">
        <v>3.4333333333333334E-2</v>
      </c>
    </row>
    <row r="126" spans="1:11" x14ac:dyDescent="0.2">
      <c r="A126" s="572" t="s">
        <v>58</v>
      </c>
      <c r="B126" s="572"/>
      <c r="C126" s="572"/>
      <c r="D126" s="213" t="s">
        <v>71</v>
      </c>
      <c r="E126" s="220">
        <v>3.6730000000000002E-5</v>
      </c>
      <c r="F126" s="213" t="s">
        <v>71</v>
      </c>
      <c r="G126" s="220">
        <v>5.0349999999999997E-5</v>
      </c>
      <c r="H126" s="213" t="s">
        <v>71</v>
      </c>
      <c r="I126" s="220">
        <v>4.3999999999999999E-5</v>
      </c>
      <c r="J126" s="214"/>
      <c r="K126" s="221">
        <v>4.3693333333333331E-5</v>
      </c>
    </row>
    <row r="127" spans="1:11" x14ac:dyDescent="0.2">
      <c r="A127" s="572" t="s">
        <v>149</v>
      </c>
      <c r="B127" s="572"/>
      <c r="C127" s="572"/>
      <c r="D127" s="213" t="s">
        <v>71</v>
      </c>
      <c r="E127" s="220">
        <v>2.7825757575757578E-7</v>
      </c>
      <c r="F127" s="213" t="s">
        <v>71</v>
      </c>
      <c r="G127" s="220">
        <v>4.3405172413793101E-7</v>
      </c>
      <c r="H127" s="213" t="s">
        <v>71</v>
      </c>
      <c r="I127" s="220">
        <v>3.3587786259541984E-7</v>
      </c>
      <c r="J127" s="214"/>
      <c r="K127" s="221">
        <f>AVERAGE(E127,G127,I127)</f>
        <v>3.4939572083030889E-7</v>
      </c>
    </row>
    <row r="128" spans="1:11" ht="16" x14ac:dyDescent="0.2">
      <c r="A128" s="563" t="s">
        <v>150</v>
      </c>
      <c r="B128" s="563"/>
      <c r="C128" s="563"/>
      <c r="D128" s="105"/>
      <c r="E128" s="113">
        <f>E127</f>
        <v>2.7825757575757578E-7</v>
      </c>
      <c r="F128" s="110"/>
      <c r="G128" s="113">
        <f>G127</f>
        <v>4.3405172413793101E-7</v>
      </c>
      <c r="H128" s="110"/>
      <c r="I128" s="113">
        <f>I127</f>
        <v>3.3587786259541984E-7</v>
      </c>
      <c r="J128" s="112"/>
      <c r="K128" s="114">
        <f>AVERAGE(E128,G128,I128)</f>
        <v>3.4939572083030889E-7</v>
      </c>
    </row>
    <row r="129" spans="1:11" x14ac:dyDescent="0.2">
      <c r="A129" s="573" t="s">
        <v>164</v>
      </c>
      <c r="B129" s="574"/>
      <c r="C129" s="574"/>
      <c r="D129" s="574"/>
      <c r="E129" s="574"/>
      <c r="F129" s="574"/>
      <c r="G129" s="574"/>
      <c r="H129" s="574"/>
      <c r="I129" s="574"/>
      <c r="J129" s="574"/>
      <c r="K129" s="575"/>
    </row>
    <row r="130" spans="1:11" x14ac:dyDescent="0.2">
      <c r="A130" s="572" t="s">
        <v>142</v>
      </c>
      <c r="B130" s="572"/>
      <c r="C130" s="572"/>
      <c r="D130" s="213" t="s">
        <v>71</v>
      </c>
      <c r="E130" s="214">
        <v>15</v>
      </c>
      <c r="F130" s="213" t="s">
        <v>71</v>
      </c>
      <c r="G130" s="214">
        <v>4.5999999999999996</v>
      </c>
      <c r="H130" s="213" t="s">
        <v>71</v>
      </c>
      <c r="I130" s="214">
        <v>9.6999999999999993</v>
      </c>
      <c r="J130" s="214"/>
      <c r="K130" s="205">
        <v>9.7666666666666675</v>
      </c>
    </row>
    <row r="131" spans="1:11" x14ac:dyDescent="0.2">
      <c r="A131" s="572" t="s">
        <v>147</v>
      </c>
      <c r="B131" s="572"/>
      <c r="C131" s="572"/>
      <c r="D131" s="213" t="s">
        <v>71</v>
      </c>
      <c r="E131" s="216">
        <v>0.184</v>
      </c>
      <c r="F131" s="213"/>
      <c r="G131" s="216">
        <v>5.3999999999999999E-2</v>
      </c>
      <c r="H131" s="213" t="s">
        <v>71</v>
      </c>
      <c r="I131" s="216">
        <v>0.14799999999999999</v>
      </c>
      <c r="J131" s="214"/>
      <c r="K131" s="205">
        <v>0.12866666666666668</v>
      </c>
    </row>
    <row r="132" spans="1:11" x14ac:dyDescent="0.2">
      <c r="A132" s="572" t="s">
        <v>148</v>
      </c>
      <c r="B132" s="572"/>
      <c r="C132" s="572"/>
      <c r="D132" s="213" t="s">
        <v>71</v>
      </c>
      <c r="E132" s="216">
        <v>0.39</v>
      </c>
      <c r="F132" s="213" t="s">
        <v>71</v>
      </c>
      <c r="G132" s="216">
        <v>0.12</v>
      </c>
      <c r="H132" s="213" t="s">
        <v>71</v>
      </c>
      <c r="I132" s="216">
        <v>0.31</v>
      </c>
      <c r="J132" s="214"/>
      <c r="K132" s="205">
        <v>0.27333333333333337</v>
      </c>
    </row>
    <row r="133" spans="1:11" x14ac:dyDescent="0.2">
      <c r="A133" s="572" t="s">
        <v>58</v>
      </c>
      <c r="B133" s="572"/>
      <c r="C133" s="572"/>
      <c r="D133" s="213" t="s">
        <v>71</v>
      </c>
      <c r="E133" s="220">
        <v>5.9999999999999995E-4</v>
      </c>
      <c r="F133" s="213" t="s">
        <v>71</v>
      </c>
      <c r="G133" s="220">
        <v>2.0000000000000001E-4</v>
      </c>
      <c r="H133" s="213" t="s">
        <v>71</v>
      </c>
      <c r="I133" s="220">
        <v>4.0000000000000002E-4</v>
      </c>
      <c r="J133" s="214"/>
      <c r="K133" s="221">
        <v>3.9999999999999996E-4</v>
      </c>
    </row>
    <row r="134" spans="1:11" x14ac:dyDescent="0.2">
      <c r="A134" s="572" t="s">
        <v>149</v>
      </c>
      <c r="B134" s="572"/>
      <c r="C134" s="572"/>
      <c r="D134" s="213" t="s">
        <v>71</v>
      </c>
      <c r="E134" s="220">
        <v>4.5454545454545447E-6</v>
      </c>
      <c r="F134" s="213" t="s">
        <v>71</v>
      </c>
      <c r="G134" s="220">
        <v>1.7241379310344829E-6</v>
      </c>
      <c r="H134" s="213" t="s">
        <v>71</v>
      </c>
      <c r="I134" s="220">
        <v>3.0534351145038169E-6</v>
      </c>
      <c r="J134" s="214"/>
      <c r="K134" s="221">
        <f>AVERAGE(E134,G134,I134)</f>
        <v>3.1076758636642819E-6</v>
      </c>
    </row>
    <row r="135" spans="1:11" ht="16" x14ac:dyDescent="0.2">
      <c r="A135" s="563" t="s">
        <v>150</v>
      </c>
      <c r="B135" s="563"/>
      <c r="C135" s="563"/>
      <c r="D135" s="105"/>
      <c r="E135" s="113">
        <f>E134</f>
        <v>4.5454545454545447E-6</v>
      </c>
      <c r="F135" s="110"/>
      <c r="G135" s="113">
        <f>G134</f>
        <v>1.7241379310344829E-6</v>
      </c>
      <c r="H135" s="110"/>
      <c r="I135" s="113">
        <f>I134</f>
        <v>3.0534351145038169E-6</v>
      </c>
      <c r="J135" s="112"/>
      <c r="K135" s="114">
        <f>AVERAGE(E135,G135,I135)</f>
        <v>3.1076758636642819E-6</v>
      </c>
    </row>
  </sheetData>
  <sheetProtection algorithmName="SHA-512" hashValue="7I0R1h278EacKJjzKORMvXF1o6w9KMHBh1v6P71OnLwN7alk0IEy1jPIro5OJ60aWnOl9wn8jIQ9hlbbztxUbw==" saltValue="Aqv5LThU7u5AqGb6yM3iqA==" spinCount="100000" sheet="1" objects="1" scenarios="1"/>
  <mergeCells count="134">
    <mergeCell ref="A8:C8"/>
    <mergeCell ref="A9:C9"/>
    <mergeCell ref="A10:C10"/>
    <mergeCell ref="A12:K12"/>
    <mergeCell ref="A13:C13"/>
    <mergeCell ref="A14:C14"/>
    <mergeCell ref="A1:M1"/>
    <mergeCell ref="B2:E2"/>
    <mergeCell ref="B3:E3"/>
    <mergeCell ref="B4:E4"/>
    <mergeCell ref="B5:E5"/>
    <mergeCell ref="A7:C7"/>
    <mergeCell ref="D7:K7"/>
    <mergeCell ref="A21:C21"/>
    <mergeCell ref="A22:C22"/>
    <mergeCell ref="A23:C23"/>
    <mergeCell ref="A24:C24"/>
    <mergeCell ref="A25:C25"/>
    <mergeCell ref="A26:K26"/>
    <mergeCell ref="A15:C15"/>
    <mergeCell ref="A16:C16"/>
    <mergeCell ref="A17:C17"/>
    <mergeCell ref="A18:C18"/>
    <mergeCell ref="A19:C19"/>
    <mergeCell ref="A20:C20"/>
    <mergeCell ref="A33:C33"/>
    <mergeCell ref="A34:C34"/>
    <mergeCell ref="A35:C35"/>
    <mergeCell ref="A36:C36"/>
    <mergeCell ref="A37:C37"/>
    <mergeCell ref="A38:K38"/>
    <mergeCell ref="A27:C27"/>
    <mergeCell ref="A28:C28"/>
    <mergeCell ref="A29:C29"/>
    <mergeCell ref="A30:C30"/>
    <mergeCell ref="A31:K31"/>
    <mergeCell ref="A32:C32"/>
    <mergeCell ref="A45:K45"/>
    <mergeCell ref="A46:C46"/>
    <mergeCell ref="A47:C47"/>
    <mergeCell ref="A48:C48"/>
    <mergeCell ref="A49:C49"/>
    <mergeCell ref="A50:C50"/>
    <mergeCell ref="A39:C39"/>
    <mergeCell ref="A40:C40"/>
    <mergeCell ref="A41:C41"/>
    <mergeCell ref="A42:C42"/>
    <mergeCell ref="A43:C43"/>
    <mergeCell ref="A44:C44"/>
    <mergeCell ref="A57:C57"/>
    <mergeCell ref="A58:C58"/>
    <mergeCell ref="A59:K59"/>
    <mergeCell ref="A60:C60"/>
    <mergeCell ref="A61:C61"/>
    <mergeCell ref="A62:C62"/>
    <mergeCell ref="A51:C51"/>
    <mergeCell ref="A52:K52"/>
    <mergeCell ref="A53:C53"/>
    <mergeCell ref="A54:C54"/>
    <mergeCell ref="A55:C55"/>
    <mergeCell ref="A56:C56"/>
    <mergeCell ref="A70:C70"/>
    <mergeCell ref="A71:C71"/>
    <mergeCell ref="A72:C72"/>
    <mergeCell ref="A73:K73"/>
    <mergeCell ref="A74:C74"/>
    <mergeCell ref="A75:C75"/>
    <mergeCell ref="A63:C63"/>
    <mergeCell ref="A64:C64"/>
    <mergeCell ref="A66:K66"/>
    <mergeCell ref="A67:C67"/>
    <mergeCell ref="A68:C68"/>
    <mergeCell ref="A69:C69"/>
    <mergeCell ref="A82:C82"/>
    <mergeCell ref="A83:C83"/>
    <mergeCell ref="A84:C84"/>
    <mergeCell ref="A85:C85"/>
    <mergeCell ref="A86:C86"/>
    <mergeCell ref="A87:K87"/>
    <mergeCell ref="A76:C76"/>
    <mergeCell ref="A77:C77"/>
    <mergeCell ref="A78:C78"/>
    <mergeCell ref="A79:C79"/>
    <mergeCell ref="A80:K80"/>
    <mergeCell ref="A81:C81"/>
    <mergeCell ref="A94:K94"/>
    <mergeCell ref="A95:C95"/>
    <mergeCell ref="A96:C96"/>
    <mergeCell ref="A97:C97"/>
    <mergeCell ref="A98:C98"/>
    <mergeCell ref="A99:C99"/>
    <mergeCell ref="A88:C88"/>
    <mergeCell ref="A89:C89"/>
    <mergeCell ref="A90:C90"/>
    <mergeCell ref="A91:C91"/>
    <mergeCell ref="A92:C92"/>
    <mergeCell ref="A93:C93"/>
    <mergeCell ref="A118:C118"/>
    <mergeCell ref="A107:C107"/>
    <mergeCell ref="A108:K108"/>
    <mergeCell ref="A109:C109"/>
    <mergeCell ref="A110:C110"/>
    <mergeCell ref="A111:C111"/>
    <mergeCell ref="A112:C112"/>
    <mergeCell ref="A101:K101"/>
    <mergeCell ref="A102:C102"/>
    <mergeCell ref="A103:C103"/>
    <mergeCell ref="A104:C104"/>
    <mergeCell ref="A105:C105"/>
    <mergeCell ref="A106:C106"/>
    <mergeCell ref="A135:C135"/>
    <mergeCell ref="A131:C131"/>
    <mergeCell ref="A132:C132"/>
    <mergeCell ref="A133:C133"/>
    <mergeCell ref="A134:C134"/>
    <mergeCell ref="A65:C65"/>
    <mergeCell ref="A100:C100"/>
    <mergeCell ref="A125:C125"/>
    <mergeCell ref="A126:C126"/>
    <mergeCell ref="A127:C127"/>
    <mergeCell ref="A128:C128"/>
    <mergeCell ref="A129:K129"/>
    <mergeCell ref="A130:C130"/>
    <mergeCell ref="A119:C119"/>
    <mergeCell ref="A120:C120"/>
    <mergeCell ref="A121:C121"/>
    <mergeCell ref="A122:K122"/>
    <mergeCell ref="A123:C123"/>
    <mergeCell ref="A124:C124"/>
    <mergeCell ref="A113:C113"/>
    <mergeCell ref="A114:C114"/>
    <mergeCell ref="A115:K115"/>
    <mergeCell ref="A116:C116"/>
    <mergeCell ref="A117:C117"/>
  </mergeCells>
  <conditionalFormatting sqref="A33:C35 A40:C42 A47:C49 A54:C56 A61:C63 E40:E42 G40:G42 I40:I42 E47:E49 G47:G49 I47:I49 E54:E56 G54:G56 I54:I56 E61:E63 G61:G63 I61:I63 E33:E36 I33:I36 G33:G36 A31:K31 A38:K38 A45:K45 A52:K52 A59:K59">
    <cfRule type="cellIs" dxfId="241" priority="252" stopIfTrue="1" operator="equal">
      <formula>0</formula>
    </cfRule>
  </conditionalFormatting>
  <conditionalFormatting sqref="A60:C60">
    <cfRule type="cellIs" dxfId="240" priority="251" stopIfTrue="1" operator="equal">
      <formula>0</formula>
    </cfRule>
  </conditionalFormatting>
  <conditionalFormatting sqref="A64:C64">
    <cfRule type="cellIs" dxfId="239" priority="250" stopIfTrue="1" operator="equal">
      <formula>0</formula>
    </cfRule>
  </conditionalFormatting>
  <conditionalFormatting sqref="A53:C53">
    <cfRule type="cellIs" dxfId="238" priority="249" stopIfTrue="1" operator="equal">
      <formula>0</formula>
    </cfRule>
  </conditionalFormatting>
  <conditionalFormatting sqref="A57:C57">
    <cfRule type="cellIs" dxfId="237" priority="248" stopIfTrue="1" operator="equal">
      <formula>0</formula>
    </cfRule>
  </conditionalFormatting>
  <conditionalFormatting sqref="A50:C50">
    <cfRule type="cellIs" dxfId="236" priority="247" stopIfTrue="1" operator="equal">
      <formula>0</formula>
    </cfRule>
  </conditionalFormatting>
  <conditionalFormatting sqref="A46:C46">
    <cfRule type="cellIs" dxfId="235" priority="246" stopIfTrue="1" operator="equal">
      <formula>0</formula>
    </cfRule>
  </conditionalFormatting>
  <conditionalFormatting sqref="A39:C39">
    <cfRule type="cellIs" dxfId="234" priority="245" stopIfTrue="1" operator="equal">
      <formula>0</formula>
    </cfRule>
  </conditionalFormatting>
  <conditionalFormatting sqref="A36:C36">
    <cfRule type="cellIs" dxfId="233" priority="244" stopIfTrue="1" operator="equal">
      <formula>0</formula>
    </cfRule>
  </conditionalFormatting>
  <conditionalFormatting sqref="A32:C32">
    <cfRule type="cellIs" dxfId="232" priority="243" stopIfTrue="1" operator="equal">
      <formula>0</formula>
    </cfRule>
  </conditionalFormatting>
  <conditionalFormatting sqref="D32">
    <cfRule type="cellIs" dxfId="231" priority="242" stopIfTrue="1" operator="equal">
      <formula>0</formula>
    </cfRule>
  </conditionalFormatting>
  <conditionalFormatting sqref="D33:D36">
    <cfRule type="cellIs" dxfId="230" priority="241" stopIfTrue="1" operator="equal">
      <formula>0</formula>
    </cfRule>
  </conditionalFormatting>
  <conditionalFormatting sqref="E43">
    <cfRule type="cellIs" dxfId="229" priority="240" stopIfTrue="1" operator="equal">
      <formula>0</formula>
    </cfRule>
  </conditionalFormatting>
  <conditionalFormatting sqref="G43">
    <cfRule type="cellIs" dxfId="228" priority="239" stopIfTrue="1" operator="equal">
      <formula>0</formula>
    </cfRule>
  </conditionalFormatting>
  <conditionalFormatting sqref="I43">
    <cfRule type="cellIs" dxfId="227" priority="238" stopIfTrue="1" operator="equal">
      <formula>0</formula>
    </cfRule>
  </conditionalFormatting>
  <conditionalFormatting sqref="E50">
    <cfRule type="cellIs" dxfId="226" priority="237" stopIfTrue="1" operator="equal">
      <formula>0</formula>
    </cfRule>
  </conditionalFormatting>
  <conditionalFormatting sqref="E57">
    <cfRule type="cellIs" dxfId="225" priority="236" stopIfTrue="1" operator="equal">
      <formula>0</formula>
    </cfRule>
  </conditionalFormatting>
  <conditionalFormatting sqref="E64">
    <cfRule type="cellIs" dxfId="224" priority="235" stopIfTrue="1" operator="equal">
      <formula>0</formula>
    </cfRule>
  </conditionalFormatting>
  <conditionalFormatting sqref="G57">
    <cfRule type="cellIs" dxfId="223" priority="234" stopIfTrue="1" operator="equal">
      <formula>0</formula>
    </cfRule>
  </conditionalFormatting>
  <conditionalFormatting sqref="G64">
    <cfRule type="cellIs" dxfId="222" priority="233" stopIfTrue="1" operator="equal">
      <formula>0</formula>
    </cfRule>
  </conditionalFormatting>
  <conditionalFormatting sqref="I50">
    <cfRule type="cellIs" dxfId="221" priority="232" stopIfTrue="1" operator="equal">
      <formula>0</formula>
    </cfRule>
  </conditionalFormatting>
  <conditionalFormatting sqref="I57">
    <cfRule type="cellIs" dxfId="220" priority="231" stopIfTrue="1" operator="equal">
      <formula>0</formula>
    </cfRule>
  </conditionalFormatting>
  <conditionalFormatting sqref="I64">
    <cfRule type="cellIs" dxfId="219" priority="230" stopIfTrue="1" operator="equal">
      <formula>0</formula>
    </cfRule>
  </conditionalFormatting>
  <conditionalFormatting sqref="E28">
    <cfRule type="cellIs" dxfId="218" priority="229" stopIfTrue="1" operator="equal">
      <formula>0</formula>
    </cfRule>
  </conditionalFormatting>
  <conditionalFormatting sqref="E29">
    <cfRule type="cellIs" dxfId="217" priority="228" stopIfTrue="1" operator="equal">
      <formula>0</formula>
    </cfRule>
  </conditionalFormatting>
  <conditionalFormatting sqref="I28:I29">
    <cfRule type="cellIs" dxfId="216" priority="226" stopIfTrue="1" operator="equal">
      <formula>0</formula>
    </cfRule>
  </conditionalFormatting>
  <conditionalFormatting sqref="G28:G29">
    <cfRule type="cellIs" dxfId="215" priority="227" stopIfTrue="1" operator="equal">
      <formula>0</formula>
    </cfRule>
  </conditionalFormatting>
  <conditionalFormatting sqref="F32">
    <cfRule type="cellIs" dxfId="214" priority="222" stopIfTrue="1" operator="equal">
      <formula>0</formula>
    </cfRule>
  </conditionalFormatting>
  <conditionalFormatting sqref="F33:F36">
    <cfRule type="cellIs" dxfId="213" priority="221" stopIfTrue="1" operator="equal">
      <formula>0</formula>
    </cfRule>
  </conditionalFormatting>
  <conditionalFormatting sqref="H32">
    <cfRule type="cellIs" dxfId="212" priority="220" stopIfTrue="1" operator="equal">
      <formula>0</formula>
    </cfRule>
  </conditionalFormatting>
  <conditionalFormatting sqref="H33:H36">
    <cfRule type="cellIs" dxfId="211" priority="219" stopIfTrue="1" operator="equal">
      <formula>0</formula>
    </cfRule>
  </conditionalFormatting>
  <conditionalFormatting sqref="D39">
    <cfRule type="cellIs" dxfId="210" priority="218" stopIfTrue="1" operator="equal">
      <formula>0</formula>
    </cfRule>
  </conditionalFormatting>
  <conditionalFormatting sqref="D40:D43">
    <cfRule type="cellIs" dxfId="209" priority="217" stopIfTrue="1" operator="equal">
      <formula>0</formula>
    </cfRule>
  </conditionalFormatting>
  <conditionalFormatting sqref="F39">
    <cfRule type="cellIs" dxfId="208" priority="216" stopIfTrue="1" operator="equal">
      <formula>0</formula>
    </cfRule>
  </conditionalFormatting>
  <conditionalFormatting sqref="F40:F43">
    <cfRule type="cellIs" dxfId="207" priority="215" stopIfTrue="1" operator="equal">
      <formula>0</formula>
    </cfRule>
  </conditionalFormatting>
  <conditionalFormatting sqref="H39">
    <cfRule type="cellIs" dxfId="206" priority="214" stopIfTrue="1" operator="equal">
      <formula>0</formula>
    </cfRule>
  </conditionalFormatting>
  <conditionalFormatting sqref="H40:H43">
    <cfRule type="cellIs" dxfId="205" priority="213" stopIfTrue="1" operator="equal">
      <formula>0</formula>
    </cfRule>
  </conditionalFormatting>
  <conditionalFormatting sqref="D46">
    <cfRule type="cellIs" dxfId="204" priority="212" stopIfTrue="1" operator="equal">
      <formula>0</formula>
    </cfRule>
  </conditionalFormatting>
  <conditionalFormatting sqref="D47:D50">
    <cfRule type="cellIs" dxfId="203" priority="211" stopIfTrue="1" operator="equal">
      <formula>0</formula>
    </cfRule>
  </conditionalFormatting>
  <conditionalFormatting sqref="F46">
    <cfRule type="cellIs" dxfId="202" priority="210" stopIfTrue="1" operator="equal">
      <formula>0</formula>
    </cfRule>
  </conditionalFormatting>
  <conditionalFormatting sqref="F47:F50">
    <cfRule type="cellIs" dxfId="201" priority="209" stopIfTrue="1" operator="equal">
      <formula>0</formula>
    </cfRule>
  </conditionalFormatting>
  <conditionalFormatting sqref="H46">
    <cfRule type="cellIs" dxfId="200" priority="208" stopIfTrue="1" operator="equal">
      <formula>0</formula>
    </cfRule>
  </conditionalFormatting>
  <conditionalFormatting sqref="H47:H50">
    <cfRule type="cellIs" dxfId="199" priority="207" stopIfTrue="1" operator="equal">
      <formula>0</formula>
    </cfRule>
  </conditionalFormatting>
  <conditionalFormatting sqref="D53">
    <cfRule type="cellIs" dxfId="198" priority="206" stopIfTrue="1" operator="equal">
      <formula>0</formula>
    </cfRule>
  </conditionalFormatting>
  <conditionalFormatting sqref="D54:D57">
    <cfRule type="cellIs" dxfId="197" priority="205" stopIfTrue="1" operator="equal">
      <formula>0</formula>
    </cfRule>
  </conditionalFormatting>
  <conditionalFormatting sqref="F53">
    <cfRule type="cellIs" dxfId="196" priority="204" stopIfTrue="1" operator="equal">
      <formula>0</formula>
    </cfRule>
  </conditionalFormatting>
  <conditionalFormatting sqref="F54:F57">
    <cfRule type="cellIs" dxfId="195" priority="203" stopIfTrue="1" operator="equal">
      <formula>0</formula>
    </cfRule>
  </conditionalFormatting>
  <conditionalFormatting sqref="H53">
    <cfRule type="cellIs" dxfId="194" priority="202" stopIfTrue="1" operator="equal">
      <formula>0</formula>
    </cfRule>
  </conditionalFormatting>
  <conditionalFormatting sqref="H54:H57">
    <cfRule type="cellIs" dxfId="193" priority="201" stopIfTrue="1" operator="equal">
      <formula>0</formula>
    </cfRule>
  </conditionalFormatting>
  <conditionalFormatting sqref="D60">
    <cfRule type="cellIs" dxfId="192" priority="200" stopIfTrue="1" operator="equal">
      <formula>0</formula>
    </cfRule>
  </conditionalFormatting>
  <conditionalFormatting sqref="D61:D64">
    <cfRule type="cellIs" dxfId="191" priority="199" stopIfTrue="1" operator="equal">
      <formula>0</formula>
    </cfRule>
  </conditionalFormatting>
  <conditionalFormatting sqref="F60">
    <cfRule type="cellIs" dxfId="190" priority="198" stopIfTrue="1" operator="equal">
      <formula>0</formula>
    </cfRule>
  </conditionalFormatting>
  <conditionalFormatting sqref="F61:F64">
    <cfRule type="cellIs" dxfId="189" priority="197" stopIfTrue="1" operator="equal">
      <formula>0</formula>
    </cfRule>
  </conditionalFormatting>
  <conditionalFormatting sqref="H60">
    <cfRule type="cellIs" dxfId="188" priority="196" stopIfTrue="1" operator="equal">
      <formula>0</formula>
    </cfRule>
  </conditionalFormatting>
  <conditionalFormatting sqref="H61:H64">
    <cfRule type="cellIs" dxfId="187" priority="195" stopIfTrue="1" operator="equal">
      <formula>0</formula>
    </cfRule>
  </conditionalFormatting>
  <conditionalFormatting sqref="G50">
    <cfRule type="cellIs" dxfId="186" priority="194" stopIfTrue="1" operator="equal">
      <formula>0</formula>
    </cfRule>
  </conditionalFormatting>
  <conditionalFormatting sqref="A43:C43">
    <cfRule type="cellIs" dxfId="185" priority="193" stopIfTrue="1" operator="equal">
      <formula>0</formula>
    </cfRule>
  </conditionalFormatting>
  <conditionalFormatting sqref="A68:C70 A75:C77 A82:C84 A89:C91 A96:C98 E76:E77 G76:G77 I76:I77 E83:E84 G83:G84 I83:I84 E90:E91 G90:G91 I90:I91 E97:E98 G97:G98 I97:I98 E68:E71 I68:I71 G68:G71 A66:K66 A73:K73 A80:K80 A87:K87 A94:K94">
    <cfRule type="cellIs" dxfId="184" priority="192" stopIfTrue="1" operator="equal">
      <formula>0</formula>
    </cfRule>
  </conditionalFormatting>
  <conditionalFormatting sqref="A95:C95">
    <cfRule type="cellIs" dxfId="183" priority="191" stopIfTrue="1" operator="equal">
      <formula>0</formula>
    </cfRule>
  </conditionalFormatting>
  <conditionalFormatting sqref="A99:C99">
    <cfRule type="cellIs" dxfId="182" priority="190" stopIfTrue="1" operator="equal">
      <formula>0</formula>
    </cfRule>
  </conditionalFormatting>
  <conditionalFormatting sqref="A88:C88">
    <cfRule type="cellIs" dxfId="181" priority="189" stopIfTrue="1" operator="equal">
      <formula>0</formula>
    </cfRule>
  </conditionalFormatting>
  <conditionalFormatting sqref="A92:C92">
    <cfRule type="cellIs" dxfId="180" priority="188" stopIfTrue="1" operator="equal">
      <formula>0</formula>
    </cfRule>
  </conditionalFormatting>
  <conditionalFormatting sqref="A85:C85">
    <cfRule type="cellIs" dxfId="179" priority="187" stopIfTrue="1" operator="equal">
      <formula>0</formula>
    </cfRule>
  </conditionalFormatting>
  <conditionalFormatting sqref="A81:C81">
    <cfRule type="cellIs" dxfId="178" priority="186" stopIfTrue="1" operator="equal">
      <formula>0</formula>
    </cfRule>
  </conditionalFormatting>
  <conditionalFormatting sqref="A78:C78">
    <cfRule type="cellIs" dxfId="177" priority="185" stopIfTrue="1" operator="equal">
      <formula>0</formula>
    </cfRule>
  </conditionalFormatting>
  <conditionalFormatting sqref="A74:C74">
    <cfRule type="cellIs" dxfId="176" priority="184" stopIfTrue="1" operator="equal">
      <formula>0</formula>
    </cfRule>
  </conditionalFormatting>
  <conditionalFormatting sqref="A71:C71">
    <cfRule type="cellIs" dxfId="175" priority="183" stopIfTrue="1" operator="equal">
      <formula>0</formula>
    </cfRule>
  </conditionalFormatting>
  <conditionalFormatting sqref="A67:C67">
    <cfRule type="cellIs" dxfId="174" priority="182" stopIfTrue="1" operator="equal">
      <formula>0</formula>
    </cfRule>
  </conditionalFormatting>
  <conditionalFormatting sqref="D67">
    <cfRule type="cellIs" dxfId="173" priority="181" stopIfTrue="1" operator="equal">
      <formula>0</formula>
    </cfRule>
  </conditionalFormatting>
  <conditionalFormatting sqref="D68:D71">
    <cfRule type="cellIs" dxfId="172" priority="180" stopIfTrue="1" operator="equal">
      <formula>0</formula>
    </cfRule>
  </conditionalFormatting>
  <conditionalFormatting sqref="E78">
    <cfRule type="cellIs" dxfId="171" priority="179" stopIfTrue="1" operator="equal">
      <formula>0</formula>
    </cfRule>
  </conditionalFormatting>
  <conditionalFormatting sqref="G78">
    <cfRule type="cellIs" dxfId="170" priority="178" stopIfTrue="1" operator="equal">
      <formula>0</formula>
    </cfRule>
  </conditionalFormatting>
  <conditionalFormatting sqref="I78">
    <cfRule type="cellIs" dxfId="169" priority="177" stopIfTrue="1" operator="equal">
      <formula>0</formula>
    </cfRule>
  </conditionalFormatting>
  <conditionalFormatting sqref="E85">
    <cfRule type="cellIs" dxfId="168" priority="176" stopIfTrue="1" operator="equal">
      <formula>0</formula>
    </cfRule>
  </conditionalFormatting>
  <conditionalFormatting sqref="E92">
    <cfRule type="cellIs" dxfId="167" priority="175" stopIfTrue="1" operator="equal">
      <formula>0</formula>
    </cfRule>
  </conditionalFormatting>
  <conditionalFormatting sqref="E99">
    <cfRule type="cellIs" dxfId="166" priority="174" stopIfTrue="1" operator="equal">
      <formula>0</formula>
    </cfRule>
  </conditionalFormatting>
  <conditionalFormatting sqref="G85">
    <cfRule type="cellIs" dxfId="165" priority="173" stopIfTrue="1" operator="equal">
      <formula>0</formula>
    </cfRule>
  </conditionalFormatting>
  <conditionalFormatting sqref="G92">
    <cfRule type="cellIs" dxfId="164" priority="172" stopIfTrue="1" operator="equal">
      <formula>0</formula>
    </cfRule>
  </conditionalFormatting>
  <conditionalFormatting sqref="G99">
    <cfRule type="cellIs" dxfId="163" priority="171" stopIfTrue="1" operator="equal">
      <formula>0</formula>
    </cfRule>
  </conditionalFormatting>
  <conditionalFormatting sqref="I85">
    <cfRule type="cellIs" dxfId="162" priority="170" stopIfTrue="1" operator="equal">
      <formula>0</formula>
    </cfRule>
  </conditionalFormatting>
  <conditionalFormatting sqref="I92">
    <cfRule type="cellIs" dxfId="161" priority="169" stopIfTrue="1" operator="equal">
      <formula>0</formula>
    </cfRule>
  </conditionalFormatting>
  <conditionalFormatting sqref="I99">
    <cfRule type="cellIs" dxfId="160" priority="168" stopIfTrue="1" operator="equal">
      <formula>0</formula>
    </cfRule>
  </conditionalFormatting>
  <conditionalFormatting sqref="F67">
    <cfRule type="cellIs" dxfId="159" priority="164" stopIfTrue="1" operator="equal">
      <formula>0</formula>
    </cfRule>
  </conditionalFormatting>
  <conditionalFormatting sqref="F68:F71">
    <cfRule type="cellIs" dxfId="158" priority="163" stopIfTrue="1" operator="equal">
      <formula>0</formula>
    </cfRule>
  </conditionalFormatting>
  <conditionalFormatting sqref="H67">
    <cfRule type="cellIs" dxfId="157" priority="162" stopIfTrue="1" operator="equal">
      <formula>0</formula>
    </cfRule>
  </conditionalFormatting>
  <conditionalFormatting sqref="H68:H71">
    <cfRule type="cellIs" dxfId="156" priority="161" stopIfTrue="1" operator="equal">
      <formula>0</formula>
    </cfRule>
  </conditionalFormatting>
  <conditionalFormatting sqref="D74">
    <cfRule type="cellIs" dxfId="155" priority="160" stopIfTrue="1" operator="equal">
      <formula>0</formula>
    </cfRule>
  </conditionalFormatting>
  <conditionalFormatting sqref="D75:D78">
    <cfRule type="cellIs" dxfId="154" priority="159" stopIfTrue="1" operator="equal">
      <formula>0</formula>
    </cfRule>
  </conditionalFormatting>
  <conditionalFormatting sqref="F74">
    <cfRule type="cellIs" dxfId="153" priority="158" stopIfTrue="1" operator="equal">
      <formula>0</formula>
    </cfRule>
  </conditionalFormatting>
  <conditionalFormatting sqref="F76:F78">
    <cfRule type="cellIs" dxfId="152" priority="157" stopIfTrue="1" operator="equal">
      <formula>0</formula>
    </cfRule>
  </conditionalFormatting>
  <conditionalFormatting sqref="H74">
    <cfRule type="cellIs" dxfId="151" priority="156" stopIfTrue="1" operator="equal">
      <formula>0</formula>
    </cfRule>
  </conditionalFormatting>
  <conditionalFormatting sqref="H76:H78">
    <cfRule type="cellIs" dxfId="150" priority="155" stopIfTrue="1" operator="equal">
      <formula>0</formula>
    </cfRule>
  </conditionalFormatting>
  <conditionalFormatting sqref="D81">
    <cfRule type="cellIs" dxfId="149" priority="154" stopIfTrue="1" operator="equal">
      <formula>0</formula>
    </cfRule>
  </conditionalFormatting>
  <conditionalFormatting sqref="D82:D85">
    <cfRule type="cellIs" dxfId="148" priority="153" stopIfTrue="1" operator="equal">
      <formula>0</formula>
    </cfRule>
  </conditionalFormatting>
  <conditionalFormatting sqref="F81">
    <cfRule type="cellIs" dxfId="147" priority="152" stopIfTrue="1" operator="equal">
      <formula>0</formula>
    </cfRule>
  </conditionalFormatting>
  <conditionalFormatting sqref="F83:F85">
    <cfRule type="cellIs" dxfId="146" priority="151" stopIfTrue="1" operator="equal">
      <formula>0</formula>
    </cfRule>
  </conditionalFormatting>
  <conditionalFormatting sqref="H81">
    <cfRule type="cellIs" dxfId="145" priority="150" stopIfTrue="1" operator="equal">
      <formula>0</formula>
    </cfRule>
  </conditionalFormatting>
  <conditionalFormatting sqref="H83:H85">
    <cfRule type="cellIs" dxfId="144" priority="149" stopIfTrue="1" operator="equal">
      <formula>0</formula>
    </cfRule>
  </conditionalFormatting>
  <conditionalFormatting sqref="D88">
    <cfRule type="cellIs" dxfId="143" priority="148" stopIfTrue="1" operator="equal">
      <formula>0</formula>
    </cfRule>
  </conditionalFormatting>
  <conditionalFormatting sqref="D89:D92">
    <cfRule type="cellIs" dxfId="142" priority="147" stopIfTrue="1" operator="equal">
      <formula>0</formula>
    </cfRule>
  </conditionalFormatting>
  <conditionalFormatting sqref="F88">
    <cfRule type="cellIs" dxfId="141" priority="146" stopIfTrue="1" operator="equal">
      <formula>0</formula>
    </cfRule>
  </conditionalFormatting>
  <conditionalFormatting sqref="F90:F92">
    <cfRule type="cellIs" dxfId="140" priority="145" stopIfTrue="1" operator="equal">
      <formula>0</formula>
    </cfRule>
  </conditionalFormatting>
  <conditionalFormatting sqref="H88">
    <cfRule type="cellIs" dxfId="139" priority="144" stopIfTrue="1" operator="equal">
      <formula>0</formula>
    </cfRule>
  </conditionalFormatting>
  <conditionalFormatting sqref="H90:H92">
    <cfRule type="cellIs" dxfId="138" priority="143" stopIfTrue="1" operator="equal">
      <formula>0</formula>
    </cfRule>
  </conditionalFormatting>
  <conditionalFormatting sqref="D95">
    <cfRule type="cellIs" dxfId="137" priority="142" stopIfTrue="1" operator="equal">
      <formula>0</formula>
    </cfRule>
  </conditionalFormatting>
  <conditionalFormatting sqref="D96:D99">
    <cfRule type="cellIs" dxfId="136" priority="141" stopIfTrue="1" operator="equal">
      <formula>0</formula>
    </cfRule>
  </conditionalFormatting>
  <conditionalFormatting sqref="F95">
    <cfRule type="cellIs" dxfId="135" priority="140" stopIfTrue="1" operator="equal">
      <formula>0</formula>
    </cfRule>
  </conditionalFormatting>
  <conditionalFormatting sqref="F97:F99">
    <cfRule type="cellIs" dxfId="134" priority="139" stopIfTrue="1" operator="equal">
      <formula>0</formula>
    </cfRule>
  </conditionalFormatting>
  <conditionalFormatting sqref="H95">
    <cfRule type="cellIs" dxfId="133" priority="138" stopIfTrue="1" operator="equal">
      <formula>0</formula>
    </cfRule>
  </conditionalFormatting>
  <conditionalFormatting sqref="H97:H99">
    <cfRule type="cellIs" dxfId="132" priority="137" stopIfTrue="1" operator="equal">
      <formula>0</formula>
    </cfRule>
  </conditionalFormatting>
  <conditionalFormatting sqref="E75 G75 I75">
    <cfRule type="cellIs" dxfId="131" priority="136" stopIfTrue="1" operator="equal">
      <formula>0</formula>
    </cfRule>
  </conditionalFormatting>
  <conditionalFormatting sqref="F75">
    <cfRule type="cellIs" dxfId="130" priority="135" stopIfTrue="1" operator="equal">
      <formula>0</formula>
    </cfRule>
  </conditionalFormatting>
  <conditionalFormatting sqref="H75">
    <cfRule type="cellIs" dxfId="129" priority="134" stopIfTrue="1" operator="equal">
      <formula>0</formula>
    </cfRule>
  </conditionalFormatting>
  <conditionalFormatting sqref="E82 G82 I82">
    <cfRule type="cellIs" dxfId="128" priority="133" stopIfTrue="1" operator="equal">
      <formula>0</formula>
    </cfRule>
  </conditionalFormatting>
  <conditionalFormatting sqref="F82">
    <cfRule type="cellIs" dxfId="127" priority="132" stopIfTrue="1" operator="equal">
      <formula>0</formula>
    </cfRule>
  </conditionalFormatting>
  <conditionalFormatting sqref="H82">
    <cfRule type="cellIs" dxfId="126" priority="131" stopIfTrue="1" operator="equal">
      <formula>0</formula>
    </cfRule>
  </conditionalFormatting>
  <conditionalFormatting sqref="E89 G89 I89">
    <cfRule type="cellIs" dxfId="125" priority="130" stopIfTrue="1" operator="equal">
      <formula>0</formula>
    </cfRule>
  </conditionalFormatting>
  <conditionalFormatting sqref="F89">
    <cfRule type="cellIs" dxfId="124" priority="129" stopIfTrue="1" operator="equal">
      <formula>0</formula>
    </cfRule>
  </conditionalFormatting>
  <conditionalFormatting sqref="H89">
    <cfRule type="cellIs" dxfId="123" priority="128" stopIfTrue="1" operator="equal">
      <formula>0</formula>
    </cfRule>
  </conditionalFormatting>
  <conditionalFormatting sqref="E96 G96 I96">
    <cfRule type="cellIs" dxfId="122" priority="127" stopIfTrue="1" operator="equal">
      <formula>0</formula>
    </cfRule>
  </conditionalFormatting>
  <conditionalFormatting sqref="F96">
    <cfRule type="cellIs" dxfId="121" priority="126" stopIfTrue="1" operator="equal">
      <formula>0</formula>
    </cfRule>
  </conditionalFormatting>
  <conditionalFormatting sqref="H96">
    <cfRule type="cellIs" dxfId="120" priority="125" stopIfTrue="1" operator="equal">
      <formula>0</formula>
    </cfRule>
  </conditionalFormatting>
  <conditionalFormatting sqref="A103:C105 A110:C112 A117:C119 A124:C126 A131:C133 E111:E112 G111:G112 I111:I112 E118:E119 G118:G119 I118:I119 E125:E126 G125:G126 E132:E133 G132:G133 E103:E106 I103:I106 G103:G106 A101:K101 A108:K108 A115:K115 A122:K122 A129:K129">
    <cfRule type="cellIs" dxfId="119" priority="124" stopIfTrue="1" operator="equal">
      <formula>0</formula>
    </cfRule>
  </conditionalFormatting>
  <conditionalFormatting sqref="A130:C130">
    <cfRule type="cellIs" dxfId="118" priority="123" stopIfTrue="1" operator="equal">
      <formula>0</formula>
    </cfRule>
  </conditionalFormatting>
  <conditionalFormatting sqref="A134:C134">
    <cfRule type="cellIs" dxfId="117" priority="122" stopIfTrue="1" operator="equal">
      <formula>0</formula>
    </cfRule>
  </conditionalFormatting>
  <conditionalFormatting sqref="A123:C123">
    <cfRule type="cellIs" dxfId="116" priority="121" stopIfTrue="1" operator="equal">
      <formula>0</formula>
    </cfRule>
  </conditionalFormatting>
  <conditionalFormatting sqref="A127:C127">
    <cfRule type="cellIs" dxfId="115" priority="120" stopIfTrue="1" operator="equal">
      <formula>0</formula>
    </cfRule>
  </conditionalFormatting>
  <conditionalFormatting sqref="A120:C120">
    <cfRule type="cellIs" dxfId="114" priority="119" stopIfTrue="1" operator="equal">
      <formula>0</formula>
    </cfRule>
  </conditionalFormatting>
  <conditionalFormatting sqref="A116:C116">
    <cfRule type="cellIs" dxfId="113" priority="118" stopIfTrue="1" operator="equal">
      <formula>0</formula>
    </cfRule>
  </conditionalFormatting>
  <conditionalFormatting sqref="A113:C113">
    <cfRule type="cellIs" dxfId="112" priority="117" stopIfTrue="1" operator="equal">
      <formula>0</formula>
    </cfRule>
  </conditionalFormatting>
  <conditionalFormatting sqref="A109:C109">
    <cfRule type="cellIs" dxfId="111" priority="116" stopIfTrue="1" operator="equal">
      <formula>0</formula>
    </cfRule>
  </conditionalFormatting>
  <conditionalFormatting sqref="A106:C106">
    <cfRule type="cellIs" dxfId="110" priority="115" stopIfTrue="1" operator="equal">
      <formula>0</formula>
    </cfRule>
  </conditionalFormatting>
  <conditionalFormatting sqref="A102:C102">
    <cfRule type="cellIs" dxfId="109" priority="114" stopIfTrue="1" operator="equal">
      <formula>0</formula>
    </cfRule>
  </conditionalFormatting>
  <conditionalFormatting sqref="E113">
    <cfRule type="cellIs" dxfId="108" priority="113" stopIfTrue="1" operator="equal">
      <formula>0</formula>
    </cfRule>
  </conditionalFormatting>
  <conditionalFormatting sqref="I113">
    <cfRule type="cellIs" dxfId="107" priority="112" stopIfTrue="1" operator="equal">
      <formula>0</formula>
    </cfRule>
  </conditionalFormatting>
  <conditionalFormatting sqref="E120">
    <cfRule type="cellIs" dxfId="106" priority="111" stopIfTrue="1" operator="equal">
      <formula>0</formula>
    </cfRule>
  </conditionalFormatting>
  <conditionalFormatting sqref="E127">
    <cfRule type="cellIs" dxfId="105" priority="110" stopIfTrue="1" operator="equal">
      <formula>0</formula>
    </cfRule>
  </conditionalFormatting>
  <conditionalFormatting sqref="E134">
    <cfRule type="cellIs" dxfId="104" priority="109" stopIfTrue="1" operator="equal">
      <formula>0</formula>
    </cfRule>
  </conditionalFormatting>
  <conditionalFormatting sqref="G127">
    <cfRule type="cellIs" dxfId="103" priority="108" stopIfTrue="1" operator="equal">
      <formula>0</formula>
    </cfRule>
  </conditionalFormatting>
  <conditionalFormatting sqref="G134">
    <cfRule type="cellIs" dxfId="102" priority="107" stopIfTrue="1" operator="equal">
      <formula>0</formula>
    </cfRule>
  </conditionalFormatting>
  <conditionalFormatting sqref="I120">
    <cfRule type="cellIs" dxfId="101" priority="106" stopIfTrue="1" operator="equal">
      <formula>0</formula>
    </cfRule>
  </conditionalFormatting>
  <conditionalFormatting sqref="D102">
    <cfRule type="cellIs" dxfId="100" priority="101" stopIfTrue="1" operator="equal">
      <formula>0</formula>
    </cfRule>
  </conditionalFormatting>
  <conditionalFormatting sqref="D103:D106">
    <cfRule type="cellIs" dxfId="99" priority="100" stopIfTrue="1" operator="equal">
      <formula>0</formula>
    </cfRule>
  </conditionalFormatting>
  <conditionalFormatting sqref="F102">
    <cfRule type="cellIs" dxfId="98" priority="99" stopIfTrue="1" operator="equal">
      <formula>0</formula>
    </cfRule>
  </conditionalFormatting>
  <conditionalFormatting sqref="F103:F106">
    <cfRule type="cellIs" dxfId="97" priority="98" stopIfTrue="1" operator="equal">
      <formula>0</formula>
    </cfRule>
  </conditionalFormatting>
  <conditionalFormatting sqref="H102">
    <cfRule type="cellIs" dxfId="96" priority="97" stopIfTrue="1" operator="equal">
      <formula>0</formula>
    </cfRule>
  </conditionalFormatting>
  <conditionalFormatting sqref="H103:H106">
    <cfRule type="cellIs" dxfId="95" priority="96" stopIfTrue="1" operator="equal">
      <formula>0</formula>
    </cfRule>
  </conditionalFormatting>
  <conditionalFormatting sqref="D109">
    <cfRule type="cellIs" dxfId="94" priority="95" stopIfTrue="1" operator="equal">
      <formula>0</formula>
    </cfRule>
  </conditionalFormatting>
  <conditionalFormatting sqref="D110:D113">
    <cfRule type="cellIs" dxfId="93" priority="94" stopIfTrue="1" operator="equal">
      <formula>0</formula>
    </cfRule>
  </conditionalFormatting>
  <conditionalFormatting sqref="F109">
    <cfRule type="cellIs" dxfId="92" priority="93" stopIfTrue="1" operator="equal">
      <formula>0</formula>
    </cfRule>
  </conditionalFormatting>
  <conditionalFormatting sqref="F111:F113">
    <cfRule type="cellIs" dxfId="91" priority="92" stopIfTrue="1" operator="equal">
      <formula>0</formula>
    </cfRule>
  </conditionalFormatting>
  <conditionalFormatting sqref="H109">
    <cfRule type="cellIs" dxfId="90" priority="91" stopIfTrue="1" operator="equal">
      <formula>0</formula>
    </cfRule>
  </conditionalFormatting>
  <conditionalFormatting sqref="H111:H113">
    <cfRule type="cellIs" dxfId="89" priority="90" stopIfTrue="1" operator="equal">
      <formula>0</formula>
    </cfRule>
  </conditionalFormatting>
  <conditionalFormatting sqref="D116">
    <cfRule type="cellIs" dxfId="88" priority="89" stopIfTrue="1" operator="equal">
      <formula>0</formula>
    </cfRule>
  </conditionalFormatting>
  <conditionalFormatting sqref="D117:D120">
    <cfRule type="cellIs" dxfId="87" priority="88" stopIfTrue="1" operator="equal">
      <formula>0</formula>
    </cfRule>
  </conditionalFormatting>
  <conditionalFormatting sqref="F116">
    <cfRule type="cellIs" dxfId="86" priority="87" stopIfTrue="1" operator="equal">
      <formula>0</formula>
    </cfRule>
  </conditionalFormatting>
  <conditionalFormatting sqref="F118:F120">
    <cfRule type="cellIs" dxfId="85" priority="86" stopIfTrue="1" operator="equal">
      <formula>0</formula>
    </cfRule>
  </conditionalFormatting>
  <conditionalFormatting sqref="H116">
    <cfRule type="cellIs" dxfId="84" priority="85" stopIfTrue="1" operator="equal">
      <formula>0</formula>
    </cfRule>
  </conditionalFormatting>
  <conditionalFormatting sqref="H118:H120">
    <cfRule type="cellIs" dxfId="83" priority="84" stopIfTrue="1" operator="equal">
      <formula>0</formula>
    </cfRule>
  </conditionalFormatting>
  <conditionalFormatting sqref="D123">
    <cfRule type="cellIs" dxfId="82" priority="83" stopIfTrue="1" operator="equal">
      <formula>0</formula>
    </cfRule>
  </conditionalFormatting>
  <conditionalFormatting sqref="D124:D127">
    <cfRule type="cellIs" dxfId="81" priority="82" stopIfTrue="1" operator="equal">
      <formula>0</formula>
    </cfRule>
  </conditionalFormatting>
  <conditionalFormatting sqref="F123">
    <cfRule type="cellIs" dxfId="80" priority="81" stopIfTrue="1" operator="equal">
      <formula>0</formula>
    </cfRule>
  </conditionalFormatting>
  <conditionalFormatting sqref="F125:F127">
    <cfRule type="cellIs" dxfId="79" priority="80" stopIfTrue="1" operator="equal">
      <formula>0</formula>
    </cfRule>
  </conditionalFormatting>
  <conditionalFormatting sqref="H123">
    <cfRule type="cellIs" dxfId="78" priority="79" stopIfTrue="1" operator="equal">
      <formula>0</formula>
    </cfRule>
  </conditionalFormatting>
  <conditionalFormatting sqref="H125:H127">
    <cfRule type="cellIs" dxfId="77" priority="78" stopIfTrue="1" operator="equal">
      <formula>0</formula>
    </cfRule>
  </conditionalFormatting>
  <conditionalFormatting sqref="D130">
    <cfRule type="cellIs" dxfId="76" priority="77" stopIfTrue="1" operator="equal">
      <formula>0</formula>
    </cfRule>
  </conditionalFormatting>
  <conditionalFormatting sqref="D131:D134">
    <cfRule type="cellIs" dxfId="75" priority="76" stopIfTrue="1" operator="equal">
      <formula>0</formula>
    </cfRule>
  </conditionalFormatting>
  <conditionalFormatting sqref="F130">
    <cfRule type="cellIs" dxfId="74" priority="75" stopIfTrue="1" operator="equal">
      <formula>0</formula>
    </cfRule>
  </conditionalFormatting>
  <conditionalFormatting sqref="F132:F134">
    <cfRule type="cellIs" dxfId="73" priority="74" stopIfTrue="1" operator="equal">
      <formula>0</formula>
    </cfRule>
  </conditionalFormatting>
  <conditionalFormatting sqref="H130">
    <cfRule type="cellIs" dxfId="72" priority="73" stopIfTrue="1" operator="equal">
      <formula>0</formula>
    </cfRule>
  </conditionalFormatting>
  <conditionalFormatting sqref="H132:H134">
    <cfRule type="cellIs" dxfId="71" priority="72" stopIfTrue="1" operator="equal">
      <formula>0</formula>
    </cfRule>
  </conditionalFormatting>
  <conditionalFormatting sqref="E131 G131 E124 G124 E117 G117 I117 E110 G110 I110">
    <cfRule type="cellIs" dxfId="70" priority="71" stopIfTrue="1" operator="equal">
      <formula>0</formula>
    </cfRule>
  </conditionalFormatting>
  <conditionalFormatting sqref="F131 F124 F117 F110">
    <cfRule type="cellIs" dxfId="69" priority="70" stopIfTrue="1" operator="equal">
      <formula>0</formula>
    </cfRule>
  </conditionalFormatting>
  <conditionalFormatting sqref="H131 H124 H117 H110">
    <cfRule type="cellIs" dxfId="68" priority="69" stopIfTrue="1" operator="equal">
      <formula>0</formula>
    </cfRule>
  </conditionalFormatting>
  <conditionalFormatting sqref="G113">
    <cfRule type="cellIs" dxfId="67" priority="68" stopIfTrue="1" operator="equal">
      <formula>0</formula>
    </cfRule>
  </conditionalFormatting>
  <conditionalFormatting sqref="G120">
    <cfRule type="cellIs" dxfId="66" priority="67" stopIfTrue="1" operator="equal">
      <formula>0</formula>
    </cfRule>
  </conditionalFormatting>
  <conditionalFormatting sqref="I125:I126">
    <cfRule type="cellIs" dxfId="65" priority="66" stopIfTrue="1" operator="equal">
      <formula>0</formula>
    </cfRule>
  </conditionalFormatting>
  <conditionalFormatting sqref="I124">
    <cfRule type="cellIs" dxfId="64" priority="65" stopIfTrue="1" operator="equal">
      <formula>0</formula>
    </cfRule>
  </conditionalFormatting>
  <conditionalFormatting sqref="I127">
    <cfRule type="cellIs" dxfId="63" priority="64" stopIfTrue="1" operator="equal">
      <formula>0</formula>
    </cfRule>
  </conditionalFormatting>
  <conditionalFormatting sqref="I132:I133">
    <cfRule type="cellIs" dxfId="62" priority="63" stopIfTrue="1" operator="equal">
      <formula>0</formula>
    </cfRule>
  </conditionalFormatting>
  <conditionalFormatting sqref="I131">
    <cfRule type="cellIs" dxfId="61" priority="62" stopIfTrue="1" operator="equal">
      <formula>0</formula>
    </cfRule>
  </conditionalFormatting>
  <conditionalFormatting sqref="I134">
    <cfRule type="cellIs" dxfId="60" priority="61" stopIfTrue="1" operator="equal">
      <formula>0</formula>
    </cfRule>
  </conditionalFormatting>
  <conditionalFormatting sqref="K37">
    <cfRule type="cellIs" dxfId="59" priority="60" stopIfTrue="1" operator="equal">
      <formula>0</formula>
    </cfRule>
  </conditionalFormatting>
  <conditionalFormatting sqref="D37">
    <cfRule type="cellIs" dxfId="58" priority="59" stopIfTrue="1" operator="equal">
      <formula>0</formula>
    </cfRule>
  </conditionalFormatting>
  <conditionalFormatting sqref="H37">
    <cfRule type="cellIs" dxfId="57" priority="57" stopIfTrue="1" operator="equal">
      <formula>0</formula>
    </cfRule>
  </conditionalFormatting>
  <conditionalFormatting sqref="F37">
    <cfRule type="cellIs" dxfId="56" priority="58" stopIfTrue="1" operator="equal">
      <formula>0</formula>
    </cfRule>
  </conditionalFormatting>
  <conditionalFormatting sqref="K44">
    <cfRule type="cellIs" dxfId="55" priority="56" stopIfTrue="1" operator="equal">
      <formula>0</formula>
    </cfRule>
  </conditionalFormatting>
  <conditionalFormatting sqref="D44">
    <cfRule type="cellIs" dxfId="54" priority="55" stopIfTrue="1" operator="equal">
      <formula>0</formula>
    </cfRule>
  </conditionalFormatting>
  <conditionalFormatting sqref="H44">
    <cfRule type="cellIs" dxfId="53" priority="53" stopIfTrue="1" operator="equal">
      <formula>0</formula>
    </cfRule>
  </conditionalFormatting>
  <conditionalFormatting sqref="F44">
    <cfRule type="cellIs" dxfId="52" priority="54" stopIfTrue="1" operator="equal">
      <formula>0</formula>
    </cfRule>
  </conditionalFormatting>
  <conditionalFormatting sqref="K51">
    <cfRule type="cellIs" dxfId="51" priority="52" stopIfTrue="1" operator="equal">
      <formula>0</formula>
    </cfRule>
  </conditionalFormatting>
  <conditionalFormatting sqref="D51">
    <cfRule type="cellIs" dxfId="50" priority="51" stopIfTrue="1" operator="equal">
      <formula>0</formula>
    </cfRule>
  </conditionalFormatting>
  <conditionalFormatting sqref="H51">
    <cfRule type="cellIs" dxfId="49" priority="49" stopIfTrue="1" operator="equal">
      <formula>0</formula>
    </cfRule>
  </conditionalFormatting>
  <conditionalFormatting sqref="F51">
    <cfRule type="cellIs" dxfId="48" priority="50" stopIfTrue="1" operator="equal">
      <formula>0</formula>
    </cfRule>
  </conditionalFormatting>
  <conditionalFormatting sqref="K58">
    <cfRule type="cellIs" dxfId="47" priority="48" stopIfTrue="1" operator="equal">
      <formula>0</formula>
    </cfRule>
  </conditionalFormatting>
  <conditionalFormatting sqref="D58">
    <cfRule type="cellIs" dxfId="46" priority="47" stopIfTrue="1" operator="equal">
      <formula>0</formula>
    </cfRule>
  </conditionalFormatting>
  <conditionalFormatting sqref="H58">
    <cfRule type="cellIs" dxfId="45" priority="45" stopIfTrue="1" operator="equal">
      <formula>0</formula>
    </cfRule>
  </conditionalFormatting>
  <conditionalFormatting sqref="F58">
    <cfRule type="cellIs" dxfId="44" priority="46" stopIfTrue="1" operator="equal">
      <formula>0</formula>
    </cfRule>
  </conditionalFormatting>
  <conditionalFormatting sqref="K65">
    <cfRule type="cellIs" dxfId="43" priority="44" stopIfTrue="1" operator="equal">
      <formula>0</formula>
    </cfRule>
  </conditionalFormatting>
  <conditionalFormatting sqref="D65">
    <cfRule type="cellIs" dxfId="42" priority="43" stopIfTrue="1" operator="equal">
      <formula>0</formula>
    </cfRule>
  </conditionalFormatting>
  <conditionalFormatting sqref="H65">
    <cfRule type="cellIs" dxfId="41" priority="41" stopIfTrue="1" operator="equal">
      <formula>0</formula>
    </cfRule>
  </conditionalFormatting>
  <conditionalFormatting sqref="F65">
    <cfRule type="cellIs" dxfId="40" priority="42" stopIfTrue="1" operator="equal">
      <formula>0</formula>
    </cfRule>
  </conditionalFormatting>
  <conditionalFormatting sqref="K72">
    <cfRule type="cellIs" dxfId="39" priority="40" stopIfTrue="1" operator="equal">
      <formula>0</formula>
    </cfRule>
  </conditionalFormatting>
  <conditionalFormatting sqref="D72">
    <cfRule type="cellIs" dxfId="38" priority="39" stopIfTrue="1" operator="equal">
      <formula>0</formula>
    </cfRule>
  </conditionalFormatting>
  <conditionalFormatting sqref="H72">
    <cfRule type="cellIs" dxfId="37" priority="37" stopIfTrue="1" operator="equal">
      <formula>0</formula>
    </cfRule>
  </conditionalFormatting>
  <conditionalFormatting sqref="F72">
    <cfRule type="cellIs" dxfId="36" priority="38" stopIfTrue="1" operator="equal">
      <formula>0</formula>
    </cfRule>
  </conditionalFormatting>
  <conditionalFormatting sqref="K79">
    <cfRule type="cellIs" dxfId="35" priority="36" stopIfTrue="1" operator="equal">
      <formula>0</formula>
    </cfRule>
  </conditionalFormatting>
  <conditionalFormatting sqref="D79">
    <cfRule type="cellIs" dxfId="34" priority="35" stopIfTrue="1" operator="equal">
      <formula>0</formula>
    </cfRule>
  </conditionalFormatting>
  <conditionalFormatting sqref="H79">
    <cfRule type="cellIs" dxfId="33" priority="33" stopIfTrue="1" operator="equal">
      <formula>0</formula>
    </cfRule>
  </conditionalFormatting>
  <conditionalFormatting sqref="F79">
    <cfRule type="cellIs" dxfId="32" priority="34" stopIfTrue="1" operator="equal">
      <formula>0</formula>
    </cfRule>
  </conditionalFormatting>
  <conditionalFormatting sqref="K86">
    <cfRule type="cellIs" dxfId="31" priority="32" stopIfTrue="1" operator="equal">
      <formula>0</formula>
    </cfRule>
  </conditionalFormatting>
  <conditionalFormatting sqref="D86">
    <cfRule type="cellIs" dxfId="30" priority="31" stopIfTrue="1" operator="equal">
      <formula>0</formula>
    </cfRule>
  </conditionalFormatting>
  <conditionalFormatting sqref="H86">
    <cfRule type="cellIs" dxfId="29" priority="29" stopIfTrue="1" operator="equal">
      <formula>0</formula>
    </cfRule>
  </conditionalFormatting>
  <conditionalFormatting sqref="F86">
    <cfRule type="cellIs" dxfId="28" priority="30" stopIfTrue="1" operator="equal">
      <formula>0</formula>
    </cfRule>
  </conditionalFormatting>
  <conditionalFormatting sqref="K93">
    <cfRule type="cellIs" dxfId="27" priority="28" stopIfTrue="1" operator="equal">
      <formula>0</formula>
    </cfRule>
  </conditionalFormatting>
  <conditionalFormatting sqref="D93">
    <cfRule type="cellIs" dxfId="26" priority="27" stopIfTrue="1" operator="equal">
      <formula>0</formula>
    </cfRule>
  </conditionalFormatting>
  <conditionalFormatting sqref="H93">
    <cfRule type="cellIs" dxfId="25" priority="25" stopIfTrue="1" operator="equal">
      <formula>0</formula>
    </cfRule>
  </conditionalFormatting>
  <conditionalFormatting sqref="F93">
    <cfRule type="cellIs" dxfId="24" priority="26" stopIfTrue="1" operator="equal">
      <formula>0</formula>
    </cfRule>
  </conditionalFormatting>
  <conditionalFormatting sqref="K100">
    <cfRule type="cellIs" dxfId="23" priority="24" stopIfTrue="1" operator="equal">
      <formula>0</formula>
    </cfRule>
  </conditionalFormatting>
  <conditionalFormatting sqref="D100">
    <cfRule type="cellIs" dxfId="22" priority="23" stopIfTrue="1" operator="equal">
      <formula>0</formula>
    </cfRule>
  </conditionalFormatting>
  <conditionalFormatting sqref="H100">
    <cfRule type="cellIs" dxfId="21" priority="21" stopIfTrue="1" operator="equal">
      <formula>0</formula>
    </cfRule>
  </conditionalFormatting>
  <conditionalFormatting sqref="F100">
    <cfRule type="cellIs" dxfId="20" priority="22" stopIfTrue="1" operator="equal">
      <formula>0</formula>
    </cfRule>
  </conditionalFormatting>
  <conditionalFormatting sqref="K107">
    <cfRule type="cellIs" dxfId="19" priority="20" stopIfTrue="1" operator="equal">
      <formula>0</formula>
    </cfRule>
  </conditionalFormatting>
  <conditionalFormatting sqref="D107">
    <cfRule type="cellIs" dxfId="18" priority="19" stopIfTrue="1" operator="equal">
      <formula>0</formula>
    </cfRule>
  </conditionalFormatting>
  <conditionalFormatting sqref="H107">
    <cfRule type="cellIs" dxfId="17" priority="17" stopIfTrue="1" operator="equal">
      <formula>0</formula>
    </cfRule>
  </conditionalFormatting>
  <conditionalFormatting sqref="F107">
    <cfRule type="cellIs" dxfId="16" priority="18" stopIfTrue="1" operator="equal">
      <formula>0</formula>
    </cfRule>
  </conditionalFormatting>
  <conditionalFormatting sqref="K114">
    <cfRule type="cellIs" dxfId="15" priority="16" stopIfTrue="1" operator="equal">
      <formula>0</formula>
    </cfRule>
  </conditionalFormatting>
  <conditionalFormatting sqref="D114">
    <cfRule type="cellIs" dxfId="14" priority="15" stopIfTrue="1" operator="equal">
      <formula>0</formula>
    </cfRule>
  </conditionalFormatting>
  <conditionalFormatting sqref="H114">
    <cfRule type="cellIs" dxfId="13" priority="13" stopIfTrue="1" operator="equal">
      <formula>0</formula>
    </cfRule>
  </conditionalFormatting>
  <conditionalFormatting sqref="F114">
    <cfRule type="cellIs" dxfId="12" priority="14" stopIfTrue="1" operator="equal">
      <formula>0</formula>
    </cfRule>
  </conditionalFormatting>
  <conditionalFormatting sqref="K121">
    <cfRule type="cellIs" dxfId="11" priority="12" stopIfTrue="1" operator="equal">
      <formula>0</formula>
    </cfRule>
  </conditionalFormatting>
  <conditionalFormatting sqref="D121">
    <cfRule type="cellIs" dxfId="10" priority="11" stopIfTrue="1" operator="equal">
      <formula>0</formula>
    </cfRule>
  </conditionalFormatting>
  <conditionalFormatting sqref="H121">
    <cfRule type="cellIs" dxfId="9" priority="9" stopIfTrue="1" operator="equal">
      <formula>0</formula>
    </cfRule>
  </conditionalFormatting>
  <conditionalFormatting sqref="F121">
    <cfRule type="cellIs" dxfId="8" priority="10" stopIfTrue="1" operator="equal">
      <formula>0</formula>
    </cfRule>
  </conditionalFormatting>
  <conditionalFormatting sqref="K128">
    <cfRule type="cellIs" dxfId="7" priority="8" stopIfTrue="1" operator="equal">
      <formula>0</formula>
    </cfRule>
  </conditionalFormatting>
  <conditionalFormatting sqref="D128">
    <cfRule type="cellIs" dxfId="6" priority="7" stopIfTrue="1" operator="equal">
      <formula>0</formula>
    </cfRule>
  </conditionalFormatting>
  <conditionalFormatting sqref="H128">
    <cfRule type="cellIs" dxfId="5" priority="5" stopIfTrue="1" operator="equal">
      <formula>0</formula>
    </cfRule>
  </conditionalFormatting>
  <conditionalFormatting sqref="F128">
    <cfRule type="cellIs" dxfId="4" priority="6" stopIfTrue="1" operator="equal">
      <formula>0</formula>
    </cfRule>
  </conditionalFormatting>
  <conditionalFormatting sqref="K135">
    <cfRule type="cellIs" dxfId="3" priority="4" stopIfTrue="1" operator="equal">
      <formula>0</formula>
    </cfRule>
  </conditionalFormatting>
  <conditionalFormatting sqref="D135">
    <cfRule type="cellIs" dxfId="2" priority="3" stopIfTrue="1" operator="equal">
      <formula>0</formula>
    </cfRule>
  </conditionalFormatting>
  <conditionalFormatting sqref="H135">
    <cfRule type="cellIs" dxfId="1" priority="1" stopIfTrue="1" operator="equal">
      <formula>0</formula>
    </cfRule>
  </conditionalFormatting>
  <conditionalFormatting sqref="F135">
    <cfRule type="cellIs" dxfId="0" priority="2" stopIfTrue="1" operator="equal">
      <formula>0</formula>
    </cfRule>
  </conditionalFormatting>
  <pageMargins left="0.7" right="0.7" top="0.75" bottom="0.75" header="0.3" footer="0.3"/>
  <pageSetup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00B0F0"/>
  </sheetPr>
  <dimension ref="A1:R134"/>
  <sheetViews>
    <sheetView workbookViewId="0"/>
  </sheetViews>
  <sheetFormatPr baseColWidth="10" defaultColWidth="10.83203125" defaultRowHeight="15" x14ac:dyDescent="0.2"/>
  <cols>
    <col min="1" max="1" width="10.83203125" style="68"/>
    <col min="2" max="2" width="29.6640625" style="68" customWidth="1"/>
    <col min="3" max="4" width="15.5" style="68" customWidth="1"/>
    <col min="5" max="16384" width="10.83203125" style="68"/>
  </cols>
  <sheetData>
    <row r="1" spans="1:10" ht="19" x14ac:dyDescent="0.25">
      <c r="B1" s="592" t="s">
        <v>25</v>
      </c>
      <c r="C1" s="592"/>
      <c r="D1" s="592"/>
      <c r="E1" s="592"/>
      <c r="G1" s="49"/>
      <c r="H1" s="49"/>
      <c r="I1" s="50" t="s">
        <v>314</v>
      </c>
    </row>
    <row r="2" spans="1:10" ht="51" customHeight="1" x14ac:dyDescent="0.25">
      <c r="B2" s="125" t="s">
        <v>23</v>
      </c>
      <c r="C2" s="503" t="s">
        <v>1890</v>
      </c>
      <c r="D2" s="503" t="s">
        <v>1891</v>
      </c>
      <c r="E2" s="126" t="s">
        <v>168</v>
      </c>
      <c r="I2" s="150" t="s">
        <v>320</v>
      </c>
      <c r="J2" s="49"/>
    </row>
    <row r="3" spans="1:10" x14ac:dyDescent="0.2">
      <c r="A3" s="68" t="s">
        <v>82</v>
      </c>
      <c r="B3" s="68" t="s">
        <v>245</v>
      </c>
      <c r="C3" s="115">
        <f>'RM Acetone No Blank'!K37</f>
        <v>6.910903739952832E-4</v>
      </c>
      <c r="D3" s="115">
        <f>'RM Filter No Blank'!K37</f>
        <v>5.5846548267619606E-4</v>
      </c>
      <c r="E3" s="115">
        <f>C3+D3</f>
        <v>1.2495558566714793E-3</v>
      </c>
    </row>
    <row r="4" spans="1:10" x14ac:dyDescent="0.2">
      <c r="A4" s="68" t="s">
        <v>174</v>
      </c>
      <c r="B4" s="68" t="s">
        <v>246</v>
      </c>
      <c r="C4" s="115">
        <f>'RM Acetone No Blank'!K44</f>
        <v>0</v>
      </c>
      <c r="D4" s="115">
        <f>'RM Filter No Blank'!K44</f>
        <v>3.295274407672407E-6</v>
      </c>
      <c r="E4" s="115">
        <f t="shared" ref="E4:E17" si="0">C4+D4</f>
        <v>3.295274407672407E-6</v>
      </c>
    </row>
    <row r="5" spans="1:10" x14ac:dyDescent="0.2">
      <c r="A5" s="68" t="s">
        <v>83</v>
      </c>
      <c r="B5" s="68" t="s">
        <v>247</v>
      </c>
      <c r="C5" s="115">
        <f>'RM Acetone No Blank'!K51</f>
        <v>4.1476923751864535E-7</v>
      </c>
      <c r="D5" s="115">
        <f>'RM Filter No Blank'!K51</f>
        <v>5.4465854916631434E-6</v>
      </c>
      <c r="E5" s="115">
        <f t="shared" si="0"/>
        <v>5.8613547291817884E-6</v>
      </c>
    </row>
    <row r="6" spans="1:10" x14ac:dyDescent="0.2">
      <c r="A6" s="68" t="s">
        <v>93</v>
      </c>
      <c r="B6" s="68" t="s">
        <v>248</v>
      </c>
      <c r="C6" s="115">
        <f>'RM Acetone No Blank'!K58</f>
        <v>0</v>
      </c>
      <c r="D6" s="115">
        <f>'RM Filter No Blank'!K58</f>
        <v>0</v>
      </c>
      <c r="E6" s="115">
        <f t="shared" si="0"/>
        <v>0</v>
      </c>
    </row>
    <row r="7" spans="1:10" ht="16" x14ac:dyDescent="0.2">
      <c r="A7" s="68" t="s">
        <v>85</v>
      </c>
      <c r="B7" s="68" t="s">
        <v>215</v>
      </c>
      <c r="C7" s="115">
        <f>'RM Acetone No Blank'!K65</f>
        <v>9.9007846296606486E-6</v>
      </c>
      <c r="D7" s="115">
        <f>'RM Filter No Blank'!K65</f>
        <v>1.705949798059564E-5</v>
      </c>
      <c r="E7" s="115">
        <f>(C7+D7)</f>
        <v>2.6960282610256289E-5</v>
      </c>
      <c r="F7" t="s">
        <v>255</v>
      </c>
    </row>
    <row r="8" spans="1:10" x14ac:dyDescent="0.2">
      <c r="A8" s="68" t="s">
        <v>86</v>
      </c>
      <c r="B8" s="68" t="s">
        <v>249</v>
      </c>
      <c r="C8" s="115">
        <f>'RM Acetone No Blank'!K72</f>
        <v>1.1386953504510756E-6</v>
      </c>
      <c r="D8" s="115">
        <f>'RM Filter No Blank'!K72</f>
        <v>2.1745517427499528E-6</v>
      </c>
      <c r="E8" s="115">
        <f t="shared" si="0"/>
        <v>3.3132470932010284E-6</v>
      </c>
    </row>
    <row r="9" spans="1:10" x14ac:dyDescent="0.2">
      <c r="A9" s="68" t="s">
        <v>87</v>
      </c>
      <c r="B9" s="68" t="s">
        <v>214</v>
      </c>
      <c r="C9" s="115">
        <f>'RM Acetone No Blank'!K79</f>
        <v>7.2215973900627758E-6</v>
      </c>
      <c r="D9" s="115">
        <f>'RM Filter No Blank'!K79</f>
        <v>1.3435805807482563E-4</v>
      </c>
      <c r="E9" s="115">
        <f t="shared" si="0"/>
        <v>1.4157965546488841E-4</v>
      </c>
    </row>
    <row r="10" spans="1:10" x14ac:dyDescent="0.2">
      <c r="A10" s="68" t="s">
        <v>88</v>
      </c>
      <c r="B10" s="68" t="s">
        <v>216</v>
      </c>
      <c r="C10" s="115">
        <f>'RM Acetone No Blank'!K86</f>
        <v>5.9202847107558877E-6</v>
      </c>
      <c r="D10" s="115">
        <f>'RM Filter No Blank'!K86</f>
        <v>2.3942032858195004E-4</v>
      </c>
      <c r="E10" s="115">
        <f t="shared" si="0"/>
        <v>2.4534061329270593E-4</v>
      </c>
    </row>
    <row r="11" spans="1:10" x14ac:dyDescent="0.2">
      <c r="A11" s="68" t="s">
        <v>89</v>
      </c>
      <c r="B11" s="68" t="s">
        <v>213</v>
      </c>
      <c r="C11" s="115">
        <f>'RM Acetone No Blank'!K93</f>
        <v>5.4182061467531329E-4</v>
      </c>
      <c r="D11" s="115">
        <f>'RM Filter No Blank'!K93</f>
        <v>1.3616337765653375E-3</v>
      </c>
      <c r="E11" s="115">
        <f t="shared" si="0"/>
        <v>1.9034543912406507E-3</v>
      </c>
    </row>
    <row r="12" spans="1:10" x14ac:dyDescent="0.2">
      <c r="A12" s="146">
        <v>365</v>
      </c>
      <c r="B12" s="68" t="s">
        <v>231</v>
      </c>
      <c r="C12" s="115">
        <f>'RM Acetone No Blank'!K100</f>
        <v>3.3931045118199627E-6</v>
      </c>
      <c r="D12" s="115">
        <f>'RM Filter No Blank'!K100</f>
        <v>1.5481213822882682E-5</v>
      </c>
      <c r="E12" s="115">
        <f t="shared" si="0"/>
        <v>1.8874318334702646E-5</v>
      </c>
    </row>
    <row r="13" spans="1:10" x14ac:dyDescent="0.2">
      <c r="A13" s="146">
        <v>504</v>
      </c>
      <c r="B13" s="68" t="s">
        <v>254</v>
      </c>
      <c r="C13" s="115">
        <f>'RM Acetone No Blank'!K107</f>
        <v>1.8823168510586252E-5</v>
      </c>
      <c r="D13" s="115">
        <f>'RM Filter No Blank'!K107</f>
        <v>1.5044894855371296E-5</v>
      </c>
      <c r="E13" s="115">
        <f t="shared" si="0"/>
        <v>3.386806336595755E-5</v>
      </c>
      <c r="G13" s="115"/>
    </row>
    <row r="14" spans="1:10" x14ac:dyDescent="0.2">
      <c r="A14" s="68" t="s">
        <v>91</v>
      </c>
      <c r="B14" s="68" t="s">
        <v>251</v>
      </c>
      <c r="C14" s="115">
        <f>'RM Acetone No Blank'!K114</f>
        <v>5.2342987654911854E-7</v>
      </c>
      <c r="D14" s="115">
        <f>'RM Filter No Blank'!K114</f>
        <v>5.4983900601168301E-6</v>
      </c>
      <c r="E14" s="115">
        <f t="shared" si="0"/>
        <v>6.0218199366659483E-6</v>
      </c>
    </row>
    <row r="15" spans="1:10" x14ac:dyDescent="0.2">
      <c r="A15" s="68" t="s">
        <v>94</v>
      </c>
      <c r="B15" s="68" t="s">
        <v>252</v>
      </c>
      <c r="C15" s="115">
        <f>'RM Acetone No Blank'!K121</f>
        <v>6.3782135649732393E-5</v>
      </c>
      <c r="D15" s="115">
        <f>'RM Filter No Blank'!K121</f>
        <v>1.4785393418257329E-3</v>
      </c>
      <c r="E15" s="115">
        <f t="shared" si="0"/>
        <v>1.5423214774754653E-3</v>
      </c>
    </row>
    <row r="16" spans="1:10" x14ac:dyDescent="0.2">
      <c r="A16" s="68" t="s">
        <v>84</v>
      </c>
      <c r="B16" s="68" t="s">
        <v>253</v>
      </c>
      <c r="C16" s="115">
        <f>'RM Acetone No Blank'!K128</f>
        <v>9.5458696600115396E-8</v>
      </c>
      <c r="D16" s="115">
        <f>'RM Filter No Blank'!K128</f>
        <v>3.4939572083030889E-7</v>
      </c>
      <c r="E16" s="115">
        <f t="shared" si="0"/>
        <v>4.4485441743042429E-7</v>
      </c>
    </row>
    <row r="17" spans="1:5" x14ac:dyDescent="0.2">
      <c r="A17" s="68" t="s">
        <v>92</v>
      </c>
      <c r="B17" s="68" t="s">
        <v>197</v>
      </c>
      <c r="C17" s="115">
        <f>'RM Acetone No Blank'!K135</f>
        <v>2.5620112682497523E-6</v>
      </c>
      <c r="D17" s="115">
        <f>'RM Filter No Blank'!K135</f>
        <v>3.1076758636642819E-6</v>
      </c>
      <c r="E17" s="115">
        <f t="shared" si="0"/>
        <v>5.6696871319140342E-6</v>
      </c>
    </row>
    <row r="20" spans="1:5" x14ac:dyDescent="0.2">
      <c r="E20" s="115"/>
    </row>
    <row r="21" spans="1:5" x14ac:dyDescent="0.2">
      <c r="E21" s="115"/>
    </row>
    <row r="99" spans="9:18" x14ac:dyDescent="0.2">
      <c r="I99" s="115" t="e">
        <f>#REF!/#REF!</f>
        <v>#REF!</v>
      </c>
      <c r="J99" s="115"/>
      <c r="K99" s="115" t="e">
        <f>C98/C24</f>
        <v>#DIV/0!</v>
      </c>
      <c r="L99" s="115"/>
      <c r="M99" s="115" t="e">
        <f>E98/E24</f>
        <v>#DIV/0!</v>
      </c>
      <c r="N99" s="115"/>
      <c r="O99" s="115" t="e">
        <f t="shared" ref="O99" si="1">F98/F24</f>
        <v>#DIV/0!</v>
      </c>
    </row>
    <row r="106" spans="9:18" x14ac:dyDescent="0.2">
      <c r="R106" s="115"/>
    </row>
    <row r="122" spans="8:18" x14ac:dyDescent="0.2">
      <c r="H122" s="129" t="s">
        <v>170</v>
      </c>
    </row>
    <row r="127" spans="8:18" x14ac:dyDescent="0.2">
      <c r="R127" s="115"/>
    </row>
    <row r="134" spans="8:18" x14ac:dyDescent="0.2">
      <c r="H134" s="115" t="e">
        <f>A133/A24</f>
        <v>#DIV/0!</v>
      </c>
      <c r="I134" s="115" t="e">
        <f>#REF!/#REF!</f>
        <v>#REF!</v>
      </c>
      <c r="J134" s="115"/>
      <c r="K134" s="115" t="e">
        <f>C133/C24</f>
        <v>#DIV/0!</v>
      </c>
      <c r="L134" s="115"/>
      <c r="M134" s="115" t="e">
        <f>E133/E24</f>
        <v>#DIV/0!</v>
      </c>
      <c r="N134" s="115"/>
      <c r="O134" s="115" t="e">
        <f t="shared" ref="O134" si="2">F133/F24</f>
        <v>#DIV/0!</v>
      </c>
      <c r="R134" s="115"/>
    </row>
  </sheetData>
  <sheetProtection algorithmName="SHA-512" hashValue="qaGrS5iDSTTloW6PO0Lc7EHyXjESIdRVWascbx8CiZjH1hUIrx26scv4+Z5+LeUUZoMRWM9xcdGbHJiE1Lfy3A==" saltValue="UmWQpOZL0jPa8n1Yn/NC9A==" spinCount="100000" sheet="1" objects="1" scenarios="1"/>
  <mergeCells count="1">
    <mergeCell ref="B1:E1"/>
  </mergeCells>
  <pageMargins left="0.7" right="0.7"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45E38-9B75-314C-BD59-0D1017499219}">
  <sheetPr filterMode="1">
    <tabColor rgb="FF00B0F0"/>
  </sheetPr>
  <dimension ref="A1:P68"/>
  <sheetViews>
    <sheetView workbookViewId="0">
      <selection activeCell="T58" sqref="T58"/>
    </sheetView>
  </sheetViews>
  <sheetFormatPr baseColWidth="10" defaultColWidth="8.6640625" defaultRowHeight="15" x14ac:dyDescent="0.2"/>
  <cols>
    <col min="1" max="1" width="41.83203125" style="177" customWidth="1"/>
    <col min="2" max="2" width="27.5" style="177" customWidth="1"/>
    <col min="3" max="3" width="12.33203125" style="176" customWidth="1"/>
    <col min="4" max="4" width="12.1640625" style="237" customWidth="1"/>
    <col min="5" max="6" width="8.6640625" style="237"/>
    <col min="7" max="8" width="8.6640625" style="238" customWidth="1"/>
    <col min="9" max="10" width="8.6640625" style="238"/>
    <col min="11" max="11" width="11.83203125" style="238" customWidth="1"/>
    <col min="12" max="16384" width="8.6640625" style="177"/>
  </cols>
  <sheetData>
    <row r="1" spans="1:12" ht="19" x14ac:dyDescent="0.25">
      <c r="A1" s="236" t="s">
        <v>461</v>
      </c>
      <c r="B1" s="236"/>
    </row>
    <row r="3" spans="1:12" x14ac:dyDescent="0.2">
      <c r="G3" s="239"/>
      <c r="H3" s="593" t="s">
        <v>462</v>
      </c>
      <c r="I3" s="594"/>
      <c r="J3" s="594"/>
      <c r="K3" s="595"/>
    </row>
    <row r="4" spans="1:12" ht="48" x14ac:dyDescent="0.2">
      <c r="A4" s="240"/>
      <c r="B4" s="241" t="s">
        <v>539</v>
      </c>
      <c r="C4" s="241" t="s">
        <v>463</v>
      </c>
      <c r="D4" s="241" t="s">
        <v>464</v>
      </c>
      <c r="E4" s="241" t="s">
        <v>465</v>
      </c>
      <c r="F4" s="241" t="s">
        <v>466</v>
      </c>
      <c r="G4" s="242" t="s">
        <v>467</v>
      </c>
      <c r="H4" s="242" t="s">
        <v>468</v>
      </c>
      <c r="I4" s="242" t="s">
        <v>469</v>
      </c>
      <c r="J4" s="242" t="s">
        <v>470</v>
      </c>
      <c r="K4" s="242" t="s">
        <v>471</v>
      </c>
    </row>
    <row r="5" spans="1:12" ht="16" hidden="1" x14ac:dyDescent="0.2">
      <c r="A5" s="243" t="s">
        <v>472</v>
      </c>
      <c r="B5" s="243"/>
      <c r="C5" s="244"/>
      <c r="D5" s="245">
        <v>82</v>
      </c>
      <c r="E5" s="245">
        <v>68</v>
      </c>
      <c r="F5" s="245">
        <v>89</v>
      </c>
      <c r="G5" s="246"/>
      <c r="H5" s="246"/>
      <c r="I5" s="246"/>
      <c r="J5" s="246"/>
      <c r="K5" s="246"/>
    </row>
    <row r="6" spans="1:12" ht="16" hidden="1" x14ac:dyDescent="0.2">
      <c r="A6" s="243" t="s">
        <v>473</v>
      </c>
      <c r="B6" s="243"/>
      <c r="C6" s="244"/>
      <c r="D6" s="245">
        <v>91</v>
      </c>
      <c r="E6" s="245">
        <v>92</v>
      </c>
      <c r="F6" s="245">
        <v>94</v>
      </c>
      <c r="G6" s="246"/>
      <c r="H6" s="246"/>
      <c r="I6" s="246"/>
      <c r="J6" s="246"/>
      <c r="K6" s="246"/>
    </row>
    <row r="7" spans="1:12" ht="16" hidden="1" x14ac:dyDescent="0.2">
      <c r="A7" s="243" t="s">
        <v>474</v>
      </c>
      <c r="B7" s="243"/>
      <c r="C7" s="244"/>
      <c r="D7" s="245">
        <v>382844</v>
      </c>
      <c r="E7" s="245">
        <v>382844</v>
      </c>
      <c r="F7" s="245">
        <v>382844</v>
      </c>
      <c r="G7" s="246"/>
      <c r="H7" s="246"/>
      <c r="I7" s="246"/>
      <c r="J7" s="246"/>
      <c r="K7" s="246"/>
    </row>
    <row r="8" spans="1:12" ht="16" hidden="1" x14ac:dyDescent="0.2">
      <c r="A8" s="243" t="s">
        <v>475</v>
      </c>
      <c r="B8" s="243"/>
      <c r="C8" s="244" t="s">
        <v>100</v>
      </c>
      <c r="D8" s="245">
        <v>598</v>
      </c>
      <c r="E8" s="245">
        <v>171</v>
      </c>
      <c r="F8" s="245">
        <v>581</v>
      </c>
      <c r="G8" s="246"/>
      <c r="H8" s="246"/>
      <c r="I8" s="246"/>
      <c r="J8" s="246"/>
      <c r="K8" s="246"/>
    </row>
    <row r="9" spans="1:12" ht="16" hidden="1" x14ac:dyDescent="0.2">
      <c r="A9" s="243" t="s">
        <v>476</v>
      </c>
      <c r="B9" s="243"/>
      <c r="C9" s="244" t="s">
        <v>100</v>
      </c>
      <c r="D9" s="246">
        <f>D8*D$7*60/(3.28084^3)/1000000/453.59237</f>
        <v>0.85753802225697584</v>
      </c>
      <c r="E9" s="246">
        <f t="shared" ref="E9:F9" si="0">E8*E$7*60/(3.28084^3)/1000000/453.59237</f>
        <v>0.2452157220835165</v>
      </c>
      <c r="F9" s="246">
        <f t="shared" si="0"/>
        <v>0.83315985105569057</v>
      </c>
      <c r="G9" s="246"/>
      <c r="H9" s="246"/>
      <c r="I9" s="246"/>
      <c r="J9" s="246"/>
      <c r="K9" s="246"/>
    </row>
    <row r="10" spans="1:12" ht="16" x14ac:dyDescent="0.2">
      <c r="A10" s="240" t="s">
        <v>477</v>
      </c>
      <c r="B10" s="240" t="s">
        <v>15</v>
      </c>
      <c r="C10" s="244" t="s">
        <v>100</v>
      </c>
      <c r="D10" s="247">
        <v>1.2869999999999999E-2</v>
      </c>
      <c r="E10" s="248">
        <v>3.0179999999999998E-3</v>
      </c>
      <c r="F10" s="247">
        <v>1.3140000000000001E-2</v>
      </c>
      <c r="G10" s="249">
        <f>AVERAGE(D10:F10)</f>
        <v>9.6759999999999988E-3</v>
      </c>
      <c r="H10" s="250">
        <f>G10</f>
        <v>9.6759999999999988E-3</v>
      </c>
      <c r="I10" s="250">
        <f>(H10/0.833)*0.167</f>
        <v>1.9398463385354142E-3</v>
      </c>
      <c r="J10" s="250">
        <f>SUM(H10:I10)*0.1</f>
        <v>1.1615846338535413E-3</v>
      </c>
      <c r="K10" s="250">
        <f>SUM(H10:J10)</f>
        <v>1.2777430972388953E-2</v>
      </c>
      <c r="L10" s="177" t="s">
        <v>540</v>
      </c>
    </row>
    <row r="11" spans="1:12" hidden="1" x14ac:dyDescent="0.2">
      <c r="A11" s="251" t="s">
        <v>478</v>
      </c>
      <c r="B11" s="251"/>
      <c r="C11" s="252" t="s">
        <v>102</v>
      </c>
      <c r="D11" s="253">
        <v>27</v>
      </c>
      <c r="E11" s="253">
        <v>16</v>
      </c>
      <c r="F11" s="253">
        <v>30</v>
      </c>
      <c r="G11" s="248"/>
      <c r="H11" s="248"/>
      <c r="I11" s="248"/>
      <c r="J11" s="248"/>
      <c r="K11" s="248"/>
    </row>
    <row r="12" spans="1:12" hidden="1" x14ac:dyDescent="0.2">
      <c r="A12" s="251" t="s">
        <v>479</v>
      </c>
      <c r="B12" s="251"/>
      <c r="C12" s="252" t="s">
        <v>102</v>
      </c>
      <c r="D12" s="254">
        <f>D11*D$7*60/(3.28084^3)/1000000/453.59237</f>
        <v>3.8718271907923651E-2</v>
      </c>
      <c r="E12" s="254">
        <f t="shared" ref="E12:F12" si="1">E11*E$7*60/(3.28084^3)/1000000/453.59237</f>
        <v>2.2944161130621425E-2</v>
      </c>
      <c r="F12" s="254">
        <f t="shared" si="1"/>
        <v>4.3020302119915171E-2</v>
      </c>
      <c r="G12" s="255"/>
      <c r="H12" s="255"/>
      <c r="I12" s="255"/>
      <c r="J12" s="255"/>
      <c r="K12" s="255"/>
    </row>
    <row r="13" spans="1:12" x14ac:dyDescent="0.2">
      <c r="A13" s="251" t="s">
        <v>480</v>
      </c>
      <c r="B13" s="251" t="s">
        <v>226</v>
      </c>
      <c r="C13" s="252" t="s">
        <v>102</v>
      </c>
      <c r="D13" s="249">
        <f>D12*(D$5/60)/D$6</f>
        <v>5.814832044779742E-4</v>
      </c>
      <c r="E13" s="249">
        <f>E12*(E$5/60)/E$6</f>
        <v>2.826454632033074E-4</v>
      </c>
      <c r="F13" s="249">
        <f>F12*(F$5/60)/F$6</f>
        <v>6.78866469622775E-4</v>
      </c>
      <c r="G13" s="249">
        <f>AVERAGE(D13:F13)</f>
        <v>5.1433171243468561E-4</v>
      </c>
      <c r="H13" s="250">
        <f>G13</f>
        <v>5.1433171243468561E-4</v>
      </c>
      <c r="I13" s="250">
        <f>(H13/0.833)*0.167</f>
        <v>1.0311332050011106E-4</v>
      </c>
      <c r="J13" s="250">
        <f>SUM(H13:I13)*0.1</f>
        <v>6.174450329347967E-5</v>
      </c>
      <c r="K13" s="250">
        <f>SUM(H13:J13)</f>
        <v>6.7918953622827637E-4</v>
      </c>
      <c r="L13" s="177" t="s">
        <v>540</v>
      </c>
    </row>
    <row r="14" spans="1:12" hidden="1" x14ac:dyDescent="0.2">
      <c r="A14" s="251" t="s">
        <v>481</v>
      </c>
      <c r="B14" s="251"/>
      <c r="C14" s="252" t="s">
        <v>108</v>
      </c>
      <c r="D14" s="256">
        <v>65</v>
      </c>
      <c r="E14" s="256">
        <v>17</v>
      </c>
      <c r="F14" s="256">
        <v>57</v>
      </c>
      <c r="G14" s="249"/>
      <c r="H14" s="249"/>
      <c r="I14" s="249"/>
      <c r="J14" s="249"/>
      <c r="K14" s="249"/>
    </row>
    <row r="15" spans="1:12" hidden="1" x14ac:dyDescent="0.2">
      <c r="A15" s="251" t="s">
        <v>482</v>
      </c>
      <c r="B15" s="251"/>
      <c r="C15" s="252" t="s">
        <v>108</v>
      </c>
      <c r="D15" s="254">
        <f>D14*D$7*60/(3.28084^3)/1000000/453.59237</f>
        <v>9.3210654593149547E-2</v>
      </c>
      <c r="E15" s="254">
        <f t="shared" ref="E15:F15" si="2">E14*E$7*60/(3.28084^3)/1000000/453.59237</f>
        <v>2.4378171201285263E-2</v>
      </c>
      <c r="F15" s="254">
        <f t="shared" si="2"/>
        <v>8.1738574027838837E-2</v>
      </c>
      <c r="G15" s="249"/>
      <c r="H15" s="249"/>
      <c r="I15" s="249"/>
      <c r="J15" s="249"/>
      <c r="K15" s="249"/>
    </row>
    <row r="16" spans="1:12" x14ac:dyDescent="0.2">
      <c r="A16" s="251" t="s">
        <v>483</v>
      </c>
      <c r="B16" s="251" t="s">
        <v>20</v>
      </c>
      <c r="C16" s="252" t="s">
        <v>108</v>
      </c>
      <c r="D16" s="249">
        <f>D15*(D$5/60)/D$6</f>
        <v>1.3998669737432716E-3</v>
      </c>
      <c r="E16" s="249">
        <f>E15*(E$5/60)/E$6</f>
        <v>3.003108046535141E-4</v>
      </c>
      <c r="F16" s="249">
        <f>F15*(F$5/60)/F$6</f>
        <v>1.2898462922832723E-3</v>
      </c>
      <c r="G16" s="249">
        <f>AVERAGE(D16:F16)</f>
        <v>9.9667469022668605E-4</v>
      </c>
      <c r="H16" s="250">
        <f>G16</f>
        <v>9.9667469022668605E-4</v>
      </c>
      <c r="I16" s="250">
        <f>(H16/0.833)*0.167</f>
        <v>1.9981353333476182E-4</v>
      </c>
      <c r="J16" s="250">
        <f>SUM(H16:I16)*0.1</f>
        <v>1.196488223561448E-4</v>
      </c>
      <c r="K16" s="250">
        <f>SUM(H16:J16)</f>
        <v>1.3161370459175926E-3</v>
      </c>
      <c r="L16" s="177" t="s">
        <v>540</v>
      </c>
    </row>
    <row r="17" spans="1:12" hidden="1" x14ac:dyDescent="0.2">
      <c r="A17" s="251" t="s">
        <v>484</v>
      </c>
      <c r="B17" s="251"/>
      <c r="C17" s="252" t="s">
        <v>109</v>
      </c>
      <c r="D17" s="257">
        <v>100</v>
      </c>
      <c r="E17" s="256">
        <v>32</v>
      </c>
      <c r="F17" s="256">
        <v>61</v>
      </c>
      <c r="G17" s="249"/>
      <c r="H17" s="249"/>
      <c r="I17" s="249"/>
      <c r="J17" s="249"/>
      <c r="K17" s="249"/>
    </row>
    <row r="18" spans="1:12" hidden="1" x14ac:dyDescent="0.2">
      <c r="A18" s="251" t="s">
        <v>485</v>
      </c>
      <c r="B18" s="251"/>
      <c r="C18" s="252" t="s">
        <v>109</v>
      </c>
      <c r="D18" s="246">
        <f>D17*D$7*60/(3.28084^3)/1000000/453.59237</f>
        <v>0.14340100706638392</v>
      </c>
      <c r="E18" s="254">
        <f t="shared" ref="E18:F18" si="3">E17*E$7*60/(3.28084^3)/1000000/453.59237</f>
        <v>4.5888322261242849E-2</v>
      </c>
      <c r="F18" s="254">
        <f t="shared" si="3"/>
        <v>8.7474614310494178E-2</v>
      </c>
      <c r="G18" s="249"/>
      <c r="H18" s="249"/>
      <c r="I18" s="249"/>
      <c r="J18" s="249"/>
      <c r="K18" s="249"/>
    </row>
    <row r="19" spans="1:12" x14ac:dyDescent="0.2">
      <c r="A19" s="251" t="s">
        <v>486</v>
      </c>
      <c r="B19" s="251" t="s">
        <v>21</v>
      </c>
      <c r="C19" s="252" t="s">
        <v>109</v>
      </c>
      <c r="D19" s="249">
        <f>D18*(D$5/60)/D$6</f>
        <v>2.1536414980665719E-3</v>
      </c>
      <c r="E19" s="249">
        <f>E18*(E$5/60)/E$6</f>
        <v>5.6529092640661481E-4</v>
      </c>
      <c r="F19" s="249">
        <f>F18*(F$5/60)/F$6</f>
        <v>1.380361821566309E-3</v>
      </c>
      <c r="G19" s="249">
        <f>AVERAGE(D19:F19)</f>
        <v>1.3664314153464987E-3</v>
      </c>
      <c r="H19" s="250">
        <f>G19</f>
        <v>1.3664314153464987E-3</v>
      </c>
      <c r="I19" s="250">
        <f>(H19/0.833)*0.167</f>
        <v>2.7394243260848181E-4</v>
      </c>
      <c r="J19" s="250">
        <f>SUM(H19:I19)*0.1</f>
        <v>1.6403738479549808E-4</v>
      </c>
      <c r="K19" s="250">
        <f>SUM(H19:J19)</f>
        <v>1.8044112327504787E-3</v>
      </c>
      <c r="L19" s="177" t="s">
        <v>540</v>
      </c>
    </row>
    <row r="20" spans="1:12" hidden="1" x14ac:dyDescent="0.2">
      <c r="A20" s="251" t="s">
        <v>487</v>
      </c>
      <c r="B20" s="251"/>
      <c r="C20" s="252" t="s">
        <v>111</v>
      </c>
      <c r="D20" s="256">
        <v>23</v>
      </c>
      <c r="E20" s="256">
        <v>11</v>
      </c>
      <c r="F20" s="256">
        <v>13</v>
      </c>
      <c r="G20" s="249"/>
      <c r="H20" s="249"/>
      <c r="I20" s="249"/>
      <c r="J20" s="249"/>
      <c r="K20" s="249"/>
    </row>
    <row r="21" spans="1:12" hidden="1" x14ac:dyDescent="0.2">
      <c r="A21" s="251" t="s">
        <v>488</v>
      </c>
      <c r="B21" s="251"/>
      <c r="C21" s="252" t="s">
        <v>111</v>
      </c>
      <c r="D21" s="254">
        <f>D20*D$7*60/(3.28084^3)/1000000/453.59237</f>
        <v>3.2982231625268303E-2</v>
      </c>
      <c r="E21" s="254">
        <f t="shared" ref="E21:F21" si="4">E20*E$7*60/(3.28084^3)/1000000/453.59237</f>
        <v>1.577411077730223E-2</v>
      </c>
      <c r="F21" s="254">
        <f t="shared" si="4"/>
        <v>1.8642130918629908E-2</v>
      </c>
      <c r="G21" s="249"/>
      <c r="H21" s="249"/>
      <c r="I21" s="249"/>
      <c r="J21" s="249"/>
      <c r="K21" s="249"/>
    </row>
    <row r="22" spans="1:12" x14ac:dyDescent="0.2">
      <c r="A22" s="251" t="s">
        <v>489</v>
      </c>
      <c r="B22" s="251" t="s">
        <v>234</v>
      </c>
      <c r="C22" s="252" t="s">
        <v>111</v>
      </c>
      <c r="D22" s="249">
        <f>D21*(D$5/60)/D$6</f>
        <v>4.9533754455531153E-4</v>
      </c>
      <c r="E22" s="249">
        <f>E21*(E$5/60)/E$6</f>
        <v>1.9431875595227383E-4</v>
      </c>
      <c r="F22" s="249">
        <f>F21*(F$5/60)/F$6</f>
        <v>2.9417547016986911E-4</v>
      </c>
      <c r="G22" s="249">
        <f>AVERAGE(D22:F22)</f>
        <v>3.2794392355915149E-4</v>
      </c>
      <c r="H22" s="250">
        <f>G22</f>
        <v>3.2794392355915149E-4</v>
      </c>
      <c r="I22" s="250">
        <f>(H22/0.833)*0.167</f>
        <v>6.5746260785568193E-5</v>
      </c>
      <c r="J22" s="250">
        <f>SUM(H22:I22)*0.1</f>
        <v>3.9369018434471975E-5</v>
      </c>
      <c r="K22" s="250">
        <f>SUM(H22:J22)</f>
        <v>4.3305920277919167E-4</v>
      </c>
      <c r="L22" s="177" t="s">
        <v>540</v>
      </c>
    </row>
    <row r="23" spans="1:12" hidden="1" x14ac:dyDescent="0.2">
      <c r="A23" s="251" t="s">
        <v>490</v>
      </c>
      <c r="B23" s="251"/>
      <c r="C23" s="252" t="s">
        <v>101</v>
      </c>
      <c r="D23" s="256">
        <v>6.2</v>
      </c>
      <c r="E23" s="256">
        <v>11</v>
      </c>
      <c r="F23" s="256">
        <v>11</v>
      </c>
      <c r="G23" s="249"/>
      <c r="H23" s="249"/>
      <c r="I23" s="249"/>
      <c r="J23" s="249"/>
      <c r="K23" s="249"/>
    </row>
    <row r="24" spans="1:12" hidden="1" x14ac:dyDescent="0.2">
      <c r="A24" s="251" t="s">
        <v>491</v>
      </c>
      <c r="B24" s="251"/>
      <c r="C24" s="252" t="s">
        <v>101</v>
      </c>
      <c r="D24" s="256">
        <f>D23</f>
        <v>6.2</v>
      </c>
      <c r="E24" s="256">
        <f>0.5*E23</f>
        <v>5.5</v>
      </c>
      <c r="F24" s="256">
        <f>F23*0.5</f>
        <v>5.5</v>
      </c>
      <c r="G24" s="249"/>
      <c r="H24" s="249"/>
      <c r="I24" s="249"/>
      <c r="J24" s="249"/>
      <c r="K24" s="249"/>
    </row>
    <row r="25" spans="1:12" hidden="1" x14ac:dyDescent="0.2">
      <c r="A25" s="251" t="s">
        <v>492</v>
      </c>
      <c r="B25" s="251"/>
      <c r="C25" s="252" t="s">
        <v>101</v>
      </c>
      <c r="D25" s="249">
        <f>D24*D$7*60/(3.28084^3)/1000000/453.59237</f>
        <v>8.8908624381158052E-3</v>
      </c>
      <c r="E25" s="249">
        <f t="shared" ref="E25:F25" si="5">E24*E$7*60/(3.28084^3)/1000000/453.59237</f>
        <v>7.8870553886511152E-3</v>
      </c>
      <c r="F25" s="249">
        <f t="shared" si="5"/>
        <v>7.8870553886511152E-3</v>
      </c>
      <c r="G25" s="249"/>
      <c r="H25" s="249"/>
      <c r="I25" s="249"/>
      <c r="J25" s="249"/>
      <c r="K25" s="249"/>
    </row>
    <row r="26" spans="1:12" x14ac:dyDescent="0.2">
      <c r="A26" s="251" t="s">
        <v>493</v>
      </c>
      <c r="B26" s="251" t="s">
        <v>16</v>
      </c>
      <c r="C26" s="252" t="s">
        <v>101</v>
      </c>
      <c r="D26" s="249">
        <f>D25*(D$5/60)/D$6</f>
        <v>1.335257728801275E-4</v>
      </c>
      <c r="E26" s="249">
        <f t="shared" ref="E26:F26" si="6">E25*(E$5/60)/E$6</f>
        <v>9.7159377976136917E-5</v>
      </c>
      <c r="F26" s="249">
        <f t="shared" si="6"/>
        <v>1.2445885276417542E-4</v>
      </c>
      <c r="G26" s="249">
        <f>AVERAGE(D26:F26)</f>
        <v>1.1838133454014661E-4</v>
      </c>
      <c r="H26" s="250">
        <f>G26</f>
        <v>1.1838133454014661E-4</v>
      </c>
      <c r="I26" s="250">
        <f>(H26/0.833)*0.167</f>
        <v>2.373311268692015E-5</v>
      </c>
      <c r="J26" s="250">
        <f>SUM(H26:I26)*0.1</f>
        <v>1.4211444722706676E-5</v>
      </c>
      <c r="K26" s="250">
        <f>SUM(H26:J26)</f>
        <v>1.5632589194977345E-4</v>
      </c>
      <c r="L26" s="177" t="s">
        <v>540</v>
      </c>
    </row>
    <row r="27" spans="1:12" hidden="1" x14ac:dyDescent="0.2">
      <c r="A27" s="251" t="s">
        <v>494</v>
      </c>
      <c r="B27" s="251"/>
      <c r="C27" s="252" t="s">
        <v>103</v>
      </c>
      <c r="D27" s="256">
        <v>13</v>
      </c>
      <c r="E27" s="256">
        <v>11</v>
      </c>
      <c r="F27" s="256">
        <v>8.4</v>
      </c>
      <c r="G27" s="249"/>
      <c r="H27" s="249"/>
      <c r="I27" s="249"/>
      <c r="J27" s="249"/>
      <c r="K27" s="249"/>
    </row>
    <row r="28" spans="1:12" hidden="1" x14ac:dyDescent="0.2">
      <c r="A28" s="251" t="s">
        <v>495</v>
      </c>
      <c r="B28" s="251"/>
      <c r="C28" s="252" t="s">
        <v>103</v>
      </c>
      <c r="D28" s="256">
        <f>D27</f>
        <v>13</v>
      </c>
      <c r="E28" s="256">
        <f>E27*0.5</f>
        <v>5.5</v>
      </c>
      <c r="F28" s="256">
        <f>F27</f>
        <v>8.4</v>
      </c>
      <c r="G28" s="249"/>
      <c r="H28" s="249"/>
      <c r="I28" s="249"/>
      <c r="J28" s="249"/>
      <c r="K28" s="249"/>
    </row>
    <row r="29" spans="1:12" hidden="1" x14ac:dyDescent="0.2">
      <c r="A29" s="251" t="s">
        <v>496</v>
      </c>
      <c r="B29" s="251"/>
      <c r="C29" s="252" t="s">
        <v>103</v>
      </c>
      <c r="D29" s="249">
        <f>D28*D$7*60/(3.28084^3)/1000000/453.59237</f>
        <v>1.8642130918629908E-2</v>
      </c>
      <c r="E29" s="249">
        <f t="shared" ref="E29:F29" si="7">E28*E$7*60/(3.28084^3)/1000000/453.59237</f>
        <v>7.8870553886511152E-3</v>
      </c>
      <c r="F29" s="249">
        <f t="shared" si="7"/>
        <v>1.204568459357625E-2</v>
      </c>
      <c r="G29" s="249"/>
      <c r="H29" s="249"/>
      <c r="I29" s="249"/>
      <c r="J29" s="249"/>
      <c r="K29" s="249"/>
    </row>
    <row r="30" spans="1:12" x14ac:dyDescent="0.2">
      <c r="A30" s="251" t="s">
        <v>497</v>
      </c>
      <c r="B30" s="251" t="s">
        <v>32</v>
      </c>
      <c r="C30" s="252" t="s">
        <v>103</v>
      </c>
      <c r="D30" s="249">
        <f>D29*(D$5/60)/D$6</f>
        <v>2.7997339474865432E-4</v>
      </c>
      <c r="E30" s="249">
        <f t="shared" ref="E30:F30" si="8">E29*(E$5/60)/E$6</f>
        <v>9.7159377976136917E-5</v>
      </c>
      <c r="F30" s="249">
        <f t="shared" si="8"/>
        <v>1.90082611494377E-4</v>
      </c>
      <c r="G30" s="249">
        <f>AVERAGE(D30:F30)</f>
        <v>1.8907179473972275E-4</v>
      </c>
      <c r="H30" s="250">
        <f>G30</f>
        <v>1.8907179473972275E-4</v>
      </c>
      <c r="I30" s="250">
        <f>(H30/0.833)*0.167</f>
        <v>3.7905149725730739E-5</v>
      </c>
      <c r="J30" s="250">
        <f>SUM(H30:I30)*0.1</f>
        <v>2.2697694446545349E-5</v>
      </c>
      <c r="K30" s="250">
        <f>SUM(H30:J30)</f>
        <v>2.4967463891199885E-4</v>
      </c>
      <c r="L30" s="177" t="s">
        <v>540</v>
      </c>
    </row>
    <row r="31" spans="1:12" hidden="1" x14ac:dyDescent="0.2">
      <c r="A31" s="251" t="s">
        <v>498</v>
      </c>
      <c r="B31" s="251"/>
      <c r="C31" s="252" t="s">
        <v>110</v>
      </c>
      <c r="D31" s="256">
        <v>3.9</v>
      </c>
      <c r="E31" s="256">
        <v>6.2</v>
      </c>
      <c r="F31" s="256">
        <v>3.7</v>
      </c>
      <c r="G31" s="249"/>
      <c r="H31" s="249"/>
      <c r="I31" s="249"/>
      <c r="J31" s="249"/>
      <c r="K31" s="249"/>
    </row>
    <row r="32" spans="1:12" hidden="1" x14ac:dyDescent="0.2">
      <c r="A32" s="251" t="s">
        <v>499</v>
      </c>
      <c r="B32" s="251"/>
      <c r="C32" s="252" t="s">
        <v>110</v>
      </c>
      <c r="D32" s="256">
        <f>D31</f>
        <v>3.9</v>
      </c>
      <c r="E32" s="256">
        <f>0.5*E31</f>
        <v>3.1</v>
      </c>
      <c r="F32" s="256">
        <f>F31</f>
        <v>3.7</v>
      </c>
      <c r="G32" s="249"/>
      <c r="H32" s="249"/>
      <c r="I32" s="249"/>
      <c r="J32" s="249"/>
      <c r="K32" s="249"/>
    </row>
    <row r="33" spans="1:12" hidden="1" x14ac:dyDescent="0.2">
      <c r="A33" s="251" t="s">
        <v>500</v>
      </c>
      <c r="B33" s="251"/>
      <c r="C33" s="252" t="s">
        <v>110</v>
      </c>
      <c r="D33" s="246">
        <f>D32*D$7*60/(3.28084^3)/1000000/453.59237</f>
        <v>5.5926392755889717E-3</v>
      </c>
      <c r="E33" s="246">
        <f t="shared" ref="E33:F33" si="9">E32*E$7*60/(3.28084^3)/1000000/453.59237</f>
        <v>4.4454312190579026E-3</v>
      </c>
      <c r="F33" s="246">
        <f t="shared" si="9"/>
        <v>5.3058372614562047E-3</v>
      </c>
      <c r="G33" s="249"/>
      <c r="H33" s="249"/>
      <c r="I33" s="249"/>
      <c r="J33" s="249"/>
      <c r="K33" s="249"/>
    </row>
    <row r="34" spans="1:12" x14ac:dyDescent="0.2">
      <c r="A34" s="251" t="s">
        <v>501</v>
      </c>
      <c r="B34" s="251" t="s">
        <v>541</v>
      </c>
      <c r="C34" s="252" t="s">
        <v>110</v>
      </c>
      <c r="D34" s="249">
        <f>D33*(D$5/60)/D$6</f>
        <v>8.3992018424596286E-5</v>
      </c>
      <c r="E34" s="249">
        <f t="shared" ref="E34:F34" si="10">E33*(E$5/60)/E$6</f>
        <v>5.4762558495640829E-5</v>
      </c>
      <c r="F34" s="249">
        <f t="shared" si="10"/>
        <v>8.3726864586808916E-5</v>
      </c>
      <c r="G34" s="249">
        <f>AVERAGE(D34:F34)</f>
        <v>7.4160480502348679E-5</v>
      </c>
      <c r="H34" s="250">
        <f>G34</f>
        <v>7.4160480502348679E-5</v>
      </c>
      <c r="I34" s="250">
        <f>(H34/0.833)*0.167</f>
        <v>1.4867707375620927E-5</v>
      </c>
      <c r="J34" s="250">
        <f>SUM(H34:I34)*0.1</f>
        <v>8.9028187877969616E-6</v>
      </c>
      <c r="K34" s="250">
        <f>SUM(H34:J34)</f>
        <v>9.793100666576658E-5</v>
      </c>
      <c r="L34" s="177" t="s">
        <v>540</v>
      </c>
    </row>
    <row r="35" spans="1:12" hidden="1" x14ac:dyDescent="0.2">
      <c r="A35" s="251" t="s">
        <v>502</v>
      </c>
      <c r="B35" s="251"/>
      <c r="C35" s="252" t="s">
        <v>503</v>
      </c>
      <c r="D35" s="256">
        <v>9.1999999999999993</v>
      </c>
      <c r="E35" s="256">
        <v>9.5</v>
      </c>
      <c r="F35" s="256">
        <v>5.3</v>
      </c>
      <c r="G35" s="249"/>
      <c r="H35" s="249"/>
      <c r="I35" s="249"/>
      <c r="J35" s="249"/>
      <c r="K35" s="249"/>
    </row>
    <row r="36" spans="1:12" hidden="1" x14ac:dyDescent="0.2">
      <c r="A36" s="251" t="s">
        <v>504</v>
      </c>
      <c r="B36" s="251"/>
      <c r="C36" s="252" t="s">
        <v>503</v>
      </c>
      <c r="D36" s="256">
        <f>D35*0.5</f>
        <v>4.5999999999999996</v>
      </c>
      <c r="E36" s="256">
        <f>0.5*E35</f>
        <v>4.75</v>
      </c>
      <c r="F36" s="256">
        <f>F35</f>
        <v>5.3</v>
      </c>
      <c r="G36" s="249"/>
      <c r="H36" s="249"/>
      <c r="I36" s="249"/>
      <c r="J36" s="249"/>
      <c r="K36" s="249"/>
    </row>
    <row r="37" spans="1:12" hidden="1" x14ac:dyDescent="0.2">
      <c r="A37" s="251" t="s">
        <v>505</v>
      </c>
      <c r="B37" s="251"/>
      <c r="C37" s="252" t="s">
        <v>503</v>
      </c>
      <c r="D37" s="249">
        <f>D36*D$7*60/(3.28084^3)/1000000/453.59237</f>
        <v>6.5964463250536599E-3</v>
      </c>
      <c r="E37" s="249">
        <f t="shared" ref="E37:F37" si="11">E36*E$7*60/(3.28084^3)/1000000/453.59237</f>
        <v>6.8115478356532361E-3</v>
      </c>
      <c r="F37" s="249">
        <f t="shared" si="11"/>
        <v>7.6002533745183473E-3</v>
      </c>
      <c r="G37" s="249"/>
      <c r="H37" s="249"/>
      <c r="I37" s="249"/>
      <c r="J37" s="249"/>
      <c r="K37" s="249"/>
    </row>
    <row r="38" spans="1:12" x14ac:dyDescent="0.2">
      <c r="A38" s="251" t="s">
        <v>506</v>
      </c>
      <c r="B38" s="251" t="s">
        <v>542</v>
      </c>
      <c r="C38" s="252" t="s">
        <v>503</v>
      </c>
      <c r="D38" s="249">
        <f>D37*(D$5/60)/D$6</f>
        <v>9.906750891106229E-5</v>
      </c>
      <c r="E38" s="249">
        <f t="shared" ref="E38:F38" si="12">E37*(E$5/60)/E$6</f>
        <v>8.3910371888481898E-5</v>
      </c>
      <c r="F38" s="249">
        <f t="shared" si="12"/>
        <v>1.1993307630002357E-4</v>
      </c>
      <c r="G38" s="249">
        <f>AVERAGE(D38:F38)</f>
        <v>1.0097031903318926E-4</v>
      </c>
      <c r="H38" s="250">
        <f>G38</f>
        <v>1.0097031903318926E-4</v>
      </c>
      <c r="I38" s="250">
        <f>(H38/0.833)*0.167</f>
        <v>2.0242548953832664E-5</v>
      </c>
      <c r="J38" s="250">
        <f>SUM(H38:I38)*0.1</f>
        <v>1.2121286798702193E-5</v>
      </c>
      <c r="K38" s="250">
        <f>SUM(H38:J38)</f>
        <v>1.3333415478572412E-4</v>
      </c>
      <c r="L38" s="177" t="s">
        <v>540</v>
      </c>
    </row>
    <row r="39" spans="1:12" hidden="1" x14ac:dyDescent="0.2">
      <c r="A39" s="251" t="s">
        <v>507</v>
      </c>
      <c r="B39" s="251"/>
      <c r="C39" s="252" t="s">
        <v>508</v>
      </c>
      <c r="D39" s="256">
        <v>8.8000000000000007</v>
      </c>
      <c r="E39" s="256">
        <v>14</v>
      </c>
      <c r="F39" s="256">
        <v>13</v>
      </c>
      <c r="G39" s="249"/>
      <c r="H39" s="249"/>
      <c r="I39" s="249"/>
      <c r="J39" s="249"/>
      <c r="K39" s="249"/>
    </row>
    <row r="40" spans="1:12" hidden="1" x14ac:dyDescent="0.2">
      <c r="A40" s="251" t="s">
        <v>509</v>
      </c>
      <c r="B40" s="251"/>
      <c r="C40" s="252" t="s">
        <v>508</v>
      </c>
      <c r="D40" s="256">
        <f>D39</f>
        <v>8.8000000000000007</v>
      </c>
      <c r="E40" s="256">
        <f>0.5*E39</f>
        <v>7</v>
      </c>
      <c r="F40" s="256">
        <f>F39</f>
        <v>13</v>
      </c>
      <c r="G40" s="249"/>
      <c r="H40" s="249"/>
      <c r="I40" s="249"/>
      <c r="J40" s="249"/>
      <c r="K40" s="249"/>
    </row>
    <row r="41" spans="1:12" hidden="1" x14ac:dyDescent="0.2">
      <c r="A41" s="251" t="s">
        <v>510</v>
      </c>
      <c r="B41" s="251"/>
      <c r="C41" s="252" t="s">
        <v>508</v>
      </c>
      <c r="D41" s="246">
        <f>D40*D$7*60/(3.28084^3)/1000000/453.59237</f>
        <v>1.2619288621841784E-2</v>
      </c>
      <c r="E41" s="246">
        <f t="shared" ref="E41:F41" si="13">E40*E$7*60/(3.28084^3)/1000000/453.59237</f>
        <v>1.0038070494646875E-2</v>
      </c>
      <c r="F41" s="246">
        <f t="shared" si="13"/>
        <v>1.8642130918629908E-2</v>
      </c>
      <c r="G41" s="249"/>
      <c r="H41" s="249"/>
      <c r="I41" s="249"/>
      <c r="J41" s="249"/>
      <c r="K41" s="249"/>
    </row>
    <row r="42" spans="1:12" x14ac:dyDescent="0.2">
      <c r="A42" s="251" t="s">
        <v>511</v>
      </c>
      <c r="B42" s="251" t="s">
        <v>543</v>
      </c>
      <c r="C42" s="252" t="s">
        <v>508</v>
      </c>
      <c r="D42" s="249">
        <f>D41*(D$5/60)/D$6</f>
        <v>1.8952045182985832E-4</v>
      </c>
      <c r="E42" s="249">
        <f t="shared" ref="E42:F42" si="14">E41*(E$5/60)/E$6</f>
        <v>1.2365739015144701E-4</v>
      </c>
      <c r="F42" s="249">
        <f t="shared" si="14"/>
        <v>2.9417547016986911E-4</v>
      </c>
      <c r="G42" s="249">
        <f>AVERAGE(D42:F42)</f>
        <v>2.0245110405039146E-4</v>
      </c>
      <c r="H42" s="250">
        <f>G42</f>
        <v>2.0245110405039146E-4</v>
      </c>
      <c r="I42" s="250">
        <f>(H42/0.833)*0.167</f>
        <v>4.0587436226188929E-5</v>
      </c>
      <c r="J42" s="250">
        <f>SUM(H42:I42)*0.1</f>
        <v>2.4303854027658042E-5</v>
      </c>
      <c r="K42" s="250">
        <f>SUM(H42:J42)</f>
        <v>2.6734239430423841E-4</v>
      </c>
      <c r="L42" s="177" t="s">
        <v>540</v>
      </c>
    </row>
    <row r="43" spans="1:12" hidden="1" x14ac:dyDescent="0.2">
      <c r="A43" s="251" t="s">
        <v>512</v>
      </c>
      <c r="B43" s="251"/>
      <c r="C43" s="252" t="s">
        <v>513</v>
      </c>
      <c r="D43" s="256">
        <v>4.5999999999999996</v>
      </c>
      <c r="E43" s="256">
        <v>8.5</v>
      </c>
      <c r="F43" s="256">
        <v>8.6</v>
      </c>
      <c r="G43" s="249"/>
      <c r="H43" s="249"/>
      <c r="I43" s="249"/>
      <c r="J43" s="249"/>
      <c r="K43" s="249"/>
    </row>
    <row r="44" spans="1:12" hidden="1" x14ac:dyDescent="0.2">
      <c r="A44" s="251" t="s">
        <v>514</v>
      </c>
      <c r="B44" s="251"/>
      <c r="C44" s="252" t="s">
        <v>513</v>
      </c>
      <c r="D44" s="256">
        <f>D43</f>
        <v>4.5999999999999996</v>
      </c>
      <c r="E44" s="256">
        <f>0.5*E43</f>
        <v>4.25</v>
      </c>
      <c r="F44" s="256">
        <f>F43*0.5</f>
        <v>4.3</v>
      </c>
      <c r="G44" s="249"/>
      <c r="H44" s="249"/>
      <c r="I44" s="249"/>
      <c r="J44" s="249"/>
      <c r="K44" s="249"/>
    </row>
    <row r="45" spans="1:12" hidden="1" x14ac:dyDescent="0.2">
      <c r="A45" s="251" t="s">
        <v>515</v>
      </c>
      <c r="B45" s="251"/>
      <c r="C45" s="252" t="s">
        <v>513</v>
      </c>
      <c r="D45" s="249">
        <f>D44*D$7*60/(3.28084^3)/1000000/453.59237</f>
        <v>6.5964463250536599E-3</v>
      </c>
      <c r="E45" s="249">
        <f t="shared" ref="E45:F45" si="15">E44*E$7*60/(3.28084^3)/1000000/453.59237</f>
        <v>6.0945428003213158E-3</v>
      </c>
      <c r="F45" s="249">
        <f t="shared" si="15"/>
        <v>6.1662433038545085E-3</v>
      </c>
      <c r="G45" s="249">
        <f>AVERAGE(D45:F45)</f>
        <v>6.2857441430764945E-3</v>
      </c>
      <c r="H45" s="249"/>
      <c r="I45" s="249"/>
      <c r="J45" s="249"/>
      <c r="K45" s="249"/>
    </row>
    <row r="46" spans="1:12" x14ac:dyDescent="0.2">
      <c r="A46" s="251" t="s">
        <v>516</v>
      </c>
      <c r="B46" s="251" t="s">
        <v>544</v>
      </c>
      <c r="C46" s="252" t="s">
        <v>513</v>
      </c>
      <c r="D46" s="249">
        <f>D45*(D$5/60)/D$6</f>
        <v>9.906750891106229E-5</v>
      </c>
      <c r="E46" s="249">
        <f t="shared" ref="E46:F46" si="16">E45*(E$5/60)/E$6</f>
        <v>7.5077701163378524E-5</v>
      </c>
      <c r="F46" s="249">
        <f t="shared" si="16"/>
        <v>9.7304193979264403E-5</v>
      </c>
      <c r="G46" s="249">
        <f>AVERAGE(D46:F46)</f>
        <v>9.0483134684568397E-5</v>
      </c>
      <c r="H46" s="250">
        <f>G46</f>
        <v>9.0483134684568397E-5</v>
      </c>
      <c r="I46" s="250">
        <f>(H46/0.833)*0.167</f>
        <v>1.8140076221276018E-5</v>
      </c>
      <c r="J46" s="250">
        <f>SUM(H46:I46)*0.1</f>
        <v>1.0862321090584443E-5</v>
      </c>
      <c r="K46" s="250">
        <f>SUM(H46:J46)</f>
        <v>1.1948553199642886E-4</v>
      </c>
      <c r="L46" s="177" t="s">
        <v>540</v>
      </c>
    </row>
    <row r="47" spans="1:12" hidden="1" x14ac:dyDescent="0.2">
      <c r="A47" s="251" t="s">
        <v>517</v>
      </c>
      <c r="B47" s="251"/>
      <c r="C47" s="252" t="s">
        <v>518</v>
      </c>
      <c r="D47" s="256">
        <v>12</v>
      </c>
      <c r="E47" s="256">
        <v>17</v>
      </c>
      <c r="F47" s="256">
        <v>17</v>
      </c>
      <c r="G47" s="249"/>
      <c r="H47" s="249"/>
      <c r="I47" s="249"/>
      <c r="J47" s="249"/>
      <c r="K47" s="249"/>
    </row>
    <row r="48" spans="1:12" hidden="1" x14ac:dyDescent="0.2">
      <c r="A48" s="251" t="s">
        <v>519</v>
      </c>
      <c r="B48" s="251"/>
      <c r="C48" s="252" t="s">
        <v>518</v>
      </c>
      <c r="D48" s="256">
        <f>D47</f>
        <v>12</v>
      </c>
      <c r="E48" s="256">
        <f>0.5*E47</f>
        <v>8.5</v>
      </c>
      <c r="F48" s="256">
        <f>F47*0.5</f>
        <v>8.5</v>
      </c>
      <c r="G48" s="249"/>
      <c r="H48" s="249"/>
      <c r="I48" s="249"/>
      <c r="J48" s="249"/>
      <c r="K48" s="249"/>
    </row>
    <row r="49" spans="1:16" ht="16" hidden="1" x14ac:dyDescent="0.2">
      <c r="A49" s="251" t="s">
        <v>520</v>
      </c>
      <c r="B49" s="251"/>
      <c r="C49" s="252" t="s">
        <v>518</v>
      </c>
      <c r="D49" s="249">
        <f>D48*D$7*60/(3.28084^3)/1000000/453.59237</f>
        <v>1.7208120847966069E-2</v>
      </c>
      <c r="E49" s="249">
        <f t="shared" ref="E49:F49" si="17">E48*E$7*60/(3.28084^3)/1000000/453.59237</f>
        <v>1.2189085600642632E-2</v>
      </c>
      <c r="F49" s="249">
        <f t="shared" si="17"/>
        <v>1.2189085600642632E-2</v>
      </c>
      <c r="G49" s="249">
        <f>AVERAGE(D49:F49)</f>
        <v>1.3862097349750446E-2</v>
      </c>
      <c r="H49" s="249"/>
      <c r="I49" s="249"/>
      <c r="J49" s="249"/>
      <c r="K49" s="249"/>
      <c r="P49" s="258"/>
    </row>
    <row r="50" spans="1:16" ht="16" x14ac:dyDescent="0.2">
      <c r="A50" s="251" t="s">
        <v>521</v>
      </c>
      <c r="B50" s="251" t="s">
        <v>545</v>
      </c>
      <c r="C50" s="252" t="s">
        <v>518</v>
      </c>
      <c r="D50" s="249">
        <f>D49*(D$5/60)/D$6</f>
        <v>2.584369797679886E-4</v>
      </c>
      <c r="E50" s="249">
        <f t="shared" ref="E50:F50" si="18">E49*(E$5/60)/E$6</f>
        <v>1.5015540232675705E-4</v>
      </c>
      <c r="F50" s="249">
        <f t="shared" si="18"/>
        <v>1.9234549972645286E-4</v>
      </c>
      <c r="G50" s="249">
        <f>AVERAGE(D50:F50)</f>
        <v>2.0031262727373284E-4</v>
      </c>
      <c r="H50" s="250">
        <f>G50</f>
        <v>2.0031262727373284E-4</v>
      </c>
      <c r="I50" s="250">
        <f>(H50/0.833)*0.167</f>
        <v>4.0158713991252566E-5</v>
      </c>
      <c r="J50" s="250">
        <f>SUM(H50:I50)*0.1</f>
        <v>2.4047134126498542E-5</v>
      </c>
      <c r="K50" s="250">
        <f>SUM(H50:J50)</f>
        <v>2.6451847539148393E-4</v>
      </c>
      <c r="L50" s="177" t="s">
        <v>540</v>
      </c>
      <c r="N50" s="259"/>
      <c r="O50" s="258"/>
      <c r="P50" s="258"/>
    </row>
    <row r="51" spans="1:16" hidden="1" x14ac:dyDescent="0.2">
      <c r="A51" s="251" t="s">
        <v>522</v>
      </c>
      <c r="B51" s="251"/>
      <c r="C51" s="252" t="s">
        <v>523</v>
      </c>
      <c r="D51" s="256">
        <v>6.1</v>
      </c>
      <c r="E51" s="256">
        <v>12</v>
      </c>
      <c r="F51" s="256">
        <v>12</v>
      </c>
      <c r="G51" s="249"/>
      <c r="H51" s="249"/>
      <c r="I51" s="249"/>
      <c r="J51" s="249"/>
      <c r="K51" s="249"/>
    </row>
    <row r="52" spans="1:16" hidden="1" x14ac:dyDescent="0.2">
      <c r="A52" s="251" t="s">
        <v>524</v>
      </c>
      <c r="B52" s="251"/>
      <c r="C52" s="252" t="s">
        <v>523</v>
      </c>
      <c r="D52" s="256">
        <f>D51</f>
        <v>6.1</v>
      </c>
      <c r="E52" s="256">
        <f>0.5*E51</f>
        <v>6</v>
      </c>
      <c r="F52" s="256">
        <f>F51*0.5</f>
        <v>6</v>
      </c>
      <c r="G52" s="249"/>
      <c r="H52" s="249"/>
      <c r="I52" s="249"/>
      <c r="J52" s="249"/>
      <c r="K52" s="249"/>
    </row>
    <row r="53" spans="1:16" hidden="1" x14ac:dyDescent="0.2">
      <c r="A53" s="251" t="s">
        <v>525</v>
      </c>
      <c r="B53" s="251"/>
      <c r="C53" s="252" t="s">
        <v>523</v>
      </c>
      <c r="D53" s="249">
        <f>D52*D$7*60/(3.28084^3)/1000000/453.59237</f>
        <v>8.7474614310494182E-3</v>
      </c>
      <c r="E53" s="249">
        <f t="shared" ref="E53:F53" si="19">E52*E$7*60/(3.28084^3)/1000000/453.59237</f>
        <v>8.6040604239830346E-3</v>
      </c>
      <c r="F53" s="249">
        <f t="shared" si="19"/>
        <v>8.6040604239830346E-3</v>
      </c>
      <c r="G53" s="249">
        <f>AVERAGE(D53:F53)</f>
        <v>8.6518607596718297E-3</v>
      </c>
      <c r="H53" s="249"/>
      <c r="I53" s="249"/>
      <c r="J53" s="249"/>
      <c r="K53" s="249"/>
    </row>
    <row r="54" spans="1:16" x14ac:dyDescent="0.2">
      <c r="A54" s="251" t="s">
        <v>526</v>
      </c>
      <c r="B54" s="251" t="s">
        <v>546</v>
      </c>
      <c r="C54" s="252" t="s">
        <v>523</v>
      </c>
      <c r="D54" s="249">
        <f>D53*(D$5/60)/D$6</f>
        <v>1.3137213138206085E-4</v>
      </c>
      <c r="E54" s="249">
        <f t="shared" ref="E54:F54" si="20">E53*(E$5/60)/E$6</f>
        <v>1.0599204870124029E-4</v>
      </c>
      <c r="F54" s="249">
        <f t="shared" si="20"/>
        <v>1.35773293924555E-4</v>
      </c>
      <c r="G54" s="249">
        <f>AVERAGE(D54:F54)</f>
        <v>1.243791580026187E-4</v>
      </c>
      <c r="H54" s="250">
        <f>G54</f>
        <v>1.243791580026187E-4</v>
      </c>
      <c r="I54" s="250">
        <f>(H54/0.833)*0.167</f>
        <v>2.4935557486719478E-5</v>
      </c>
      <c r="J54" s="250">
        <f>SUM(H54:I54)*0.1</f>
        <v>1.493147154893382E-5</v>
      </c>
      <c r="K54" s="250">
        <f>SUM(H54:J54)</f>
        <v>1.64246187038272E-4</v>
      </c>
      <c r="L54" s="177" t="s">
        <v>540</v>
      </c>
    </row>
    <row r="55" spans="1:16" hidden="1" x14ac:dyDescent="0.2">
      <c r="A55" s="251" t="s">
        <v>527</v>
      </c>
      <c r="B55" s="251"/>
      <c r="C55" s="252" t="s">
        <v>528</v>
      </c>
      <c r="D55" s="256">
        <v>13</v>
      </c>
      <c r="E55" s="256">
        <v>18</v>
      </c>
      <c r="F55" s="256">
        <v>18</v>
      </c>
      <c r="G55" s="249"/>
      <c r="H55" s="249"/>
      <c r="I55" s="249"/>
      <c r="J55" s="249"/>
      <c r="K55" s="249"/>
    </row>
    <row r="56" spans="1:16" hidden="1" x14ac:dyDescent="0.2">
      <c r="A56" s="251" t="s">
        <v>529</v>
      </c>
      <c r="B56" s="251"/>
      <c r="C56" s="252" t="s">
        <v>528</v>
      </c>
      <c r="D56" s="256">
        <f>D55</f>
        <v>13</v>
      </c>
      <c r="E56" s="256">
        <f>0.5*E55</f>
        <v>9</v>
      </c>
      <c r="F56" s="256">
        <f>F55*0.5</f>
        <v>9</v>
      </c>
      <c r="G56" s="249"/>
      <c r="H56" s="249"/>
      <c r="I56" s="249"/>
      <c r="J56" s="249"/>
      <c r="K56" s="249"/>
    </row>
    <row r="57" spans="1:16" hidden="1" x14ac:dyDescent="0.2">
      <c r="A57" s="251" t="s">
        <v>530</v>
      </c>
      <c r="B57" s="251"/>
      <c r="C57" s="252" t="s">
        <v>528</v>
      </c>
      <c r="D57" s="249">
        <f>D56*D$7*60/(3.28084^3)/1000000/453.59237</f>
        <v>1.8642130918629908E-2</v>
      </c>
      <c r="E57" s="249">
        <f t="shared" ref="E57:F57" si="21">E56*E$7*60/(3.28084^3)/1000000/453.59237</f>
        <v>1.2906090635974553E-2</v>
      </c>
      <c r="F57" s="249">
        <f t="shared" si="21"/>
        <v>1.2906090635974553E-2</v>
      </c>
      <c r="G57" s="249">
        <f>AVERAGE(D57:F57)</f>
        <v>1.4818104063526337E-2</v>
      </c>
      <c r="H57" s="249"/>
      <c r="I57" s="249"/>
      <c r="J57" s="249"/>
      <c r="K57" s="249"/>
    </row>
    <row r="58" spans="1:16" x14ac:dyDescent="0.2">
      <c r="A58" s="251" t="s">
        <v>531</v>
      </c>
      <c r="B58" s="251" t="s">
        <v>547</v>
      </c>
      <c r="C58" s="252" t="s">
        <v>528</v>
      </c>
      <c r="D58" s="249">
        <f>D57*(D$5/60)/D$6</f>
        <v>2.7997339474865432E-4</v>
      </c>
      <c r="E58" s="249">
        <f t="shared" ref="E58" si="22">E57*(E$5/60)/E$6</f>
        <v>1.5898807305186042E-4</v>
      </c>
      <c r="F58" s="249">
        <f>F57*(F$5/60)/F$6</f>
        <v>2.036599408868325E-4</v>
      </c>
      <c r="G58" s="249">
        <f>AVERAGE(D58:F58)</f>
        <v>2.1420713622911577E-4</v>
      </c>
      <c r="H58" s="250">
        <f>G58</f>
        <v>2.1420713622911577E-4</v>
      </c>
      <c r="I58" s="250">
        <f>(H58/0.833)*0.167</f>
        <v>4.2944287815440976E-5</v>
      </c>
      <c r="J58" s="250">
        <f>SUM(H58:I58)*0.1</f>
        <v>2.5715142404455676E-5</v>
      </c>
      <c r="K58" s="250">
        <f>SUM(H58:J58)</f>
        <v>2.8286656644901242E-4</v>
      </c>
      <c r="L58" s="177" t="s">
        <v>540</v>
      </c>
    </row>
    <row r="60" spans="1:16" s="176" customFormat="1" ht="17" x14ac:dyDescent="0.2">
      <c r="A60" s="542" t="s">
        <v>532</v>
      </c>
      <c r="B60" s="177"/>
      <c r="D60" s="237"/>
      <c r="E60" s="237"/>
      <c r="F60" s="237"/>
      <c r="G60" s="238"/>
      <c r="H60" s="238"/>
      <c r="I60" s="238"/>
      <c r="J60" s="238"/>
      <c r="K60" s="238"/>
    </row>
    <row r="61" spans="1:16" s="176" customFormat="1" ht="17" x14ac:dyDescent="0.2">
      <c r="A61" s="177" t="s">
        <v>533</v>
      </c>
      <c r="B61" s="177"/>
      <c r="D61" s="237"/>
      <c r="E61" s="237"/>
      <c r="F61" s="237"/>
      <c r="G61" s="238"/>
      <c r="H61" s="238"/>
      <c r="I61" s="238"/>
      <c r="J61" s="238"/>
      <c r="K61" s="238"/>
    </row>
    <row r="62" spans="1:16" s="176" customFormat="1" ht="17" x14ac:dyDescent="0.2">
      <c r="A62" s="177" t="s">
        <v>534</v>
      </c>
      <c r="B62" s="177"/>
      <c r="D62" s="237"/>
      <c r="E62" s="237"/>
      <c r="F62" s="237"/>
      <c r="G62" s="238"/>
      <c r="H62" s="238"/>
      <c r="I62" s="238"/>
      <c r="J62" s="238"/>
      <c r="K62" s="238"/>
    </row>
    <row r="63" spans="1:16" s="176" customFormat="1" ht="17" x14ac:dyDescent="0.2">
      <c r="A63" s="177" t="s">
        <v>535</v>
      </c>
      <c r="B63" s="177"/>
      <c r="D63" s="237"/>
      <c r="E63" s="237"/>
      <c r="F63" s="237"/>
      <c r="G63" s="238"/>
      <c r="H63" s="238"/>
      <c r="I63" s="238"/>
      <c r="J63" s="238"/>
      <c r="K63" s="238"/>
    </row>
    <row r="65" spans="1:11" s="176" customFormat="1" x14ac:dyDescent="0.2">
      <c r="A65" s="177" t="s">
        <v>22</v>
      </c>
      <c r="B65" s="177"/>
      <c r="D65" s="237"/>
      <c r="E65" s="237"/>
      <c r="F65" s="237"/>
      <c r="G65" s="238"/>
      <c r="H65" s="238"/>
      <c r="I65" s="238"/>
      <c r="J65" s="238"/>
      <c r="K65" s="238"/>
    </row>
    <row r="66" spans="1:11" s="176" customFormat="1" x14ac:dyDescent="0.2">
      <c r="A66" s="177" t="s">
        <v>536</v>
      </c>
      <c r="B66" s="177"/>
      <c r="D66" s="237"/>
      <c r="E66" s="237"/>
      <c r="F66" s="237"/>
      <c r="G66" s="238"/>
      <c r="H66" s="238"/>
      <c r="I66" s="238"/>
      <c r="J66" s="238"/>
      <c r="K66" s="238"/>
    </row>
    <row r="67" spans="1:11" s="176" customFormat="1" x14ac:dyDescent="0.2">
      <c r="A67" s="177" t="s">
        <v>537</v>
      </c>
      <c r="B67" s="177"/>
      <c r="D67" s="237"/>
      <c r="E67" s="237"/>
      <c r="F67" s="237"/>
      <c r="G67" s="238"/>
      <c r="H67" s="238"/>
      <c r="I67" s="238"/>
      <c r="J67" s="238"/>
      <c r="K67" s="238"/>
    </row>
    <row r="68" spans="1:11" s="176" customFormat="1" x14ac:dyDescent="0.2">
      <c r="A68" s="177" t="s">
        <v>538</v>
      </c>
      <c r="B68" s="177"/>
      <c r="D68" s="237"/>
      <c r="E68" s="237"/>
      <c r="F68" s="237"/>
      <c r="G68" s="238"/>
      <c r="H68" s="238"/>
      <c r="I68" s="238"/>
      <c r="J68" s="238"/>
      <c r="K68" s="238"/>
    </row>
  </sheetData>
  <sheetProtection algorithmName="SHA-512" hashValue="mntDA/hyDb+KPwQ1Ur2wLtlAa2W0CEhG4j8kwUNTCq9zB4YMw33mP92dcXeCfIxhOILhKJ+WLA2BwXe3jAIa0A==" saltValue="TdzwV3nY2dkxmcIwKNM3cA==" spinCount="100000" sheet="1" objects="1" scenarios="1"/>
  <autoFilter ref="A4:P58" xr:uid="{73D45E38-9B75-314C-BD59-0D1017499219}">
    <filterColumn colId="11">
      <customFilters>
        <customFilter operator="notEqual" val=" "/>
      </customFilters>
    </filterColumn>
  </autoFilter>
  <mergeCells count="1">
    <mergeCell ref="H3:K3"/>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94DD0-F8CB-4041-870F-BC8193CE04B0}">
  <sheetPr>
    <tabColor rgb="FF00B0F0"/>
  </sheetPr>
  <dimension ref="A1:H18"/>
  <sheetViews>
    <sheetView workbookViewId="0"/>
  </sheetViews>
  <sheetFormatPr baseColWidth="10" defaultColWidth="8.83203125" defaultRowHeight="15" x14ac:dyDescent="0.2"/>
  <cols>
    <col min="1" max="1" width="16.83203125" style="261" customWidth="1"/>
    <col min="2" max="2" width="13.5" style="260" customWidth="1"/>
    <col min="3" max="3" width="45.83203125" style="176" customWidth="1"/>
    <col min="4" max="4" width="40.1640625" style="176" customWidth="1"/>
    <col min="5" max="5" width="12.83203125" style="176" customWidth="1"/>
    <col min="6" max="6" width="23.33203125" style="176" bestFit="1" customWidth="1"/>
    <col min="7" max="7" width="24" style="177" customWidth="1"/>
    <col min="8" max="8" width="16.33203125" style="177" customWidth="1"/>
    <col min="9" max="16384" width="8.83203125" style="177"/>
  </cols>
  <sheetData>
    <row r="1" spans="1:8" ht="19" x14ac:dyDescent="0.25">
      <c r="A1" s="236" t="s">
        <v>574</v>
      </c>
    </row>
    <row r="3" spans="1:8" s="271" customFormat="1" ht="19" x14ac:dyDescent="0.25">
      <c r="A3" s="596" t="s">
        <v>573</v>
      </c>
      <c r="B3" s="597" t="s">
        <v>44</v>
      </c>
      <c r="C3" s="597" t="s">
        <v>572</v>
      </c>
      <c r="D3" s="596" t="s">
        <v>22</v>
      </c>
      <c r="E3" s="599" t="s">
        <v>571</v>
      </c>
      <c r="F3" s="599"/>
      <c r="G3" s="599" t="s">
        <v>570</v>
      </c>
      <c r="H3" s="599"/>
    </row>
    <row r="4" spans="1:8" s="271" customFormat="1" ht="19" x14ac:dyDescent="0.25">
      <c r="A4" s="596"/>
      <c r="B4" s="598"/>
      <c r="C4" s="598"/>
      <c r="D4" s="596"/>
      <c r="E4" s="272" t="s">
        <v>569</v>
      </c>
      <c r="F4" s="272" t="s">
        <v>568</v>
      </c>
      <c r="G4" s="272" t="s">
        <v>569</v>
      </c>
      <c r="H4" s="272" t="s">
        <v>568</v>
      </c>
    </row>
    <row r="5" spans="1:8" s="261" customFormat="1" ht="44.25" customHeight="1" x14ac:dyDescent="0.2">
      <c r="A5" s="270" t="s">
        <v>567</v>
      </c>
      <c r="B5" s="266" t="s">
        <v>562</v>
      </c>
      <c r="C5" s="269" t="s">
        <v>566</v>
      </c>
      <c r="D5" s="269" t="s">
        <v>565</v>
      </c>
      <c r="E5" s="266"/>
      <c r="F5" s="268"/>
      <c r="G5" s="267">
        <v>1.5799999999999999E-9</v>
      </c>
      <c r="H5" s="266" t="s">
        <v>564</v>
      </c>
    </row>
    <row r="6" spans="1:8" s="261" customFormat="1" ht="32" x14ac:dyDescent="0.2">
      <c r="A6" s="269" t="s">
        <v>563</v>
      </c>
      <c r="B6" s="266" t="s">
        <v>562</v>
      </c>
      <c r="C6" s="269" t="s">
        <v>561</v>
      </c>
      <c r="D6" s="269" t="s">
        <v>560</v>
      </c>
      <c r="E6" s="266">
        <f>AVERAGE(0.002,0.0145,0.002,0.002)</f>
        <v>5.1250000000000011E-3</v>
      </c>
      <c r="F6" s="268" t="s">
        <v>559</v>
      </c>
      <c r="G6" s="267">
        <f>E6*(454*2000)/(1000000*1000*454)</f>
        <v>1.0250000000000002E-8</v>
      </c>
      <c r="H6" s="266" t="s">
        <v>558</v>
      </c>
    </row>
    <row r="8" spans="1:8" x14ac:dyDescent="0.2">
      <c r="A8" s="177" t="s">
        <v>557</v>
      </c>
      <c r="G8" s="262"/>
    </row>
    <row r="9" spans="1:8" x14ac:dyDescent="0.2">
      <c r="A9" s="177" t="s">
        <v>556</v>
      </c>
      <c r="G9" s="262"/>
    </row>
    <row r="10" spans="1:8" x14ac:dyDescent="0.2">
      <c r="A10" s="177" t="s">
        <v>555</v>
      </c>
      <c r="G10" s="265"/>
    </row>
    <row r="11" spans="1:8" x14ac:dyDescent="0.2">
      <c r="A11" s="177" t="s">
        <v>554</v>
      </c>
    </row>
    <row r="12" spans="1:8" x14ac:dyDescent="0.2">
      <c r="A12" s="264" t="s">
        <v>553</v>
      </c>
    </row>
    <row r="13" spans="1:8" x14ac:dyDescent="0.2">
      <c r="A13" s="177" t="s">
        <v>552</v>
      </c>
    </row>
    <row r="14" spans="1:8" x14ac:dyDescent="0.2">
      <c r="A14" s="177" t="s">
        <v>551</v>
      </c>
    </row>
    <row r="15" spans="1:8" x14ac:dyDescent="0.2">
      <c r="A15" s="263" t="s">
        <v>550</v>
      </c>
    </row>
    <row r="18" spans="7:7" x14ac:dyDescent="0.2">
      <c r="G18" s="262"/>
    </row>
  </sheetData>
  <sheetProtection algorithmName="SHA-512" hashValue="qQ+F1/rRD21VFJwCK9Devi+1g7jFGeOwNnUlEMlKqxaI2PX/O2Oci7CcCeU/y6ElIJe/hl7Pm7xu//aIlEDsSA==" saltValue="No9N7XcTCRiXrbGjPYmBsw==" spinCount="100000" sheet="1" objects="1" scenarios="1"/>
  <mergeCells count="6">
    <mergeCell ref="A3:A4"/>
    <mergeCell ref="B3:B4"/>
    <mergeCell ref="G3:H3"/>
    <mergeCell ref="E3:F3"/>
    <mergeCell ref="D3:D4"/>
    <mergeCell ref="C3:C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675EB-4CD8-B144-A27B-3DE56BA50AB4}">
  <sheetPr>
    <tabColor rgb="FF00B0F0"/>
  </sheetPr>
  <dimension ref="A1:H22"/>
  <sheetViews>
    <sheetView workbookViewId="0">
      <selection activeCell="G5" sqref="G5"/>
    </sheetView>
  </sheetViews>
  <sheetFormatPr baseColWidth="10" defaultColWidth="8.6640625" defaultRowHeight="15" x14ac:dyDescent="0.2"/>
  <cols>
    <col min="1" max="1" width="13.33203125" style="261" customWidth="1"/>
    <col min="2" max="2" width="11.1640625" style="261" customWidth="1"/>
    <col min="3" max="3" width="49.83203125" style="261" customWidth="1"/>
    <col min="4" max="4" width="50.83203125" style="274" customWidth="1"/>
    <col min="5" max="5" width="11.83203125" style="274" customWidth="1"/>
    <col min="6" max="6" width="24.1640625" style="274" customWidth="1"/>
    <col min="7" max="7" width="12.5" style="274" customWidth="1"/>
    <col min="8" max="8" width="23.5" style="261" customWidth="1"/>
    <col min="9" max="9" width="8.6640625" style="261"/>
    <col min="10" max="10" width="11.5" style="261" bestFit="1" customWidth="1"/>
    <col min="11" max="11" width="8.6640625" style="261"/>
    <col min="12" max="12" width="12.1640625" style="261" bestFit="1" customWidth="1"/>
    <col min="13" max="16384" width="8.6640625" style="261"/>
  </cols>
  <sheetData>
    <row r="1" spans="1:8" ht="19" x14ac:dyDescent="0.25">
      <c r="A1" s="236" t="s">
        <v>599</v>
      </c>
    </row>
    <row r="2" spans="1:8" ht="19" x14ac:dyDescent="0.25">
      <c r="A2" s="236"/>
    </row>
    <row r="3" spans="1:8" s="277" customFormat="1" ht="20" x14ac:dyDescent="0.25">
      <c r="A3" s="596" t="s">
        <v>573</v>
      </c>
      <c r="B3" s="273" t="s">
        <v>44</v>
      </c>
      <c r="C3" s="596" t="s">
        <v>572</v>
      </c>
      <c r="D3" s="596" t="s">
        <v>22</v>
      </c>
      <c r="E3" s="596" t="s">
        <v>571</v>
      </c>
      <c r="F3" s="596"/>
      <c r="G3" s="596" t="s">
        <v>570</v>
      </c>
      <c r="H3" s="596"/>
    </row>
    <row r="4" spans="1:8" s="277" customFormat="1" ht="20" x14ac:dyDescent="0.25">
      <c r="A4" s="596"/>
      <c r="B4" s="273" t="s">
        <v>598</v>
      </c>
      <c r="C4" s="596"/>
      <c r="D4" s="596"/>
      <c r="E4" s="273" t="s">
        <v>569</v>
      </c>
      <c r="F4" s="273" t="s">
        <v>568</v>
      </c>
      <c r="G4" s="273" t="s">
        <v>569</v>
      </c>
      <c r="H4" s="273" t="s">
        <v>568</v>
      </c>
    </row>
    <row r="5" spans="1:8" ht="48" x14ac:dyDescent="0.2">
      <c r="A5" s="269" t="s">
        <v>567</v>
      </c>
      <c r="B5" s="269" t="s">
        <v>579</v>
      </c>
      <c r="C5" s="269" t="s">
        <v>597</v>
      </c>
      <c r="D5" s="269" t="s">
        <v>596</v>
      </c>
      <c r="E5" s="266">
        <v>2.3199999999999998E-2</v>
      </c>
      <c r="F5" s="266" t="s">
        <v>595</v>
      </c>
      <c r="G5" s="267">
        <f t="shared" ref="G5:G13" si="0">E5/(1000000*454*1.10231)</f>
        <v>4.6358394268312077E-11</v>
      </c>
      <c r="H5" s="266" t="s">
        <v>580</v>
      </c>
    </row>
    <row r="6" spans="1:8" ht="16" x14ac:dyDescent="0.2">
      <c r="A6" s="269" t="s">
        <v>567</v>
      </c>
      <c r="B6" s="269" t="s">
        <v>579</v>
      </c>
      <c r="C6" s="269" t="s">
        <v>586</v>
      </c>
      <c r="D6" s="269" t="s">
        <v>594</v>
      </c>
      <c r="E6" s="266">
        <v>0.22</v>
      </c>
      <c r="F6" s="266" t="s">
        <v>584</v>
      </c>
      <c r="G6" s="267">
        <f t="shared" si="0"/>
        <v>4.396054628891663E-10</v>
      </c>
      <c r="H6" s="266" t="s">
        <v>580</v>
      </c>
    </row>
    <row r="7" spans="1:8" ht="16" x14ac:dyDescent="0.2">
      <c r="A7" s="269" t="s">
        <v>567</v>
      </c>
      <c r="B7" s="269" t="s">
        <v>579</v>
      </c>
      <c r="C7" s="269" t="s">
        <v>586</v>
      </c>
      <c r="D7" s="269" t="s">
        <v>593</v>
      </c>
      <c r="E7" s="266">
        <v>0.04</v>
      </c>
      <c r="F7" s="266" t="s">
        <v>584</v>
      </c>
      <c r="G7" s="267">
        <f t="shared" si="0"/>
        <v>7.9928265979848416E-11</v>
      </c>
      <c r="H7" s="266" t="s">
        <v>580</v>
      </c>
    </row>
    <row r="8" spans="1:8" ht="16" x14ac:dyDescent="0.2">
      <c r="A8" s="269" t="s">
        <v>567</v>
      </c>
      <c r="B8" s="269" t="s">
        <v>579</v>
      </c>
      <c r="C8" s="269" t="s">
        <v>586</v>
      </c>
      <c r="D8" s="269" t="s">
        <v>592</v>
      </c>
      <c r="E8" s="266">
        <v>1.4999999999999999E-2</v>
      </c>
      <c r="F8" s="266" t="s">
        <v>584</v>
      </c>
      <c r="G8" s="267">
        <f t="shared" si="0"/>
        <v>2.9973099742443158E-11</v>
      </c>
      <c r="H8" s="266" t="s">
        <v>580</v>
      </c>
    </row>
    <row r="9" spans="1:8" ht="16" x14ac:dyDescent="0.2">
      <c r="A9" s="269" t="s">
        <v>567</v>
      </c>
      <c r="B9" s="269" t="s">
        <v>579</v>
      </c>
      <c r="C9" s="269" t="s">
        <v>586</v>
      </c>
      <c r="D9" s="269" t="s">
        <v>591</v>
      </c>
      <c r="E9" s="266">
        <v>0.02</v>
      </c>
      <c r="F9" s="266" t="s">
        <v>584</v>
      </c>
      <c r="G9" s="267">
        <f t="shared" si="0"/>
        <v>3.9964132989924208E-11</v>
      </c>
      <c r="H9" s="266" t="s">
        <v>580</v>
      </c>
    </row>
    <row r="10" spans="1:8" ht="16" x14ac:dyDescent="0.2">
      <c r="A10" s="269" t="s">
        <v>567</v>
      </c>
      <c r="B10" s="269" t="s">
        <v>579</v>
      </c>
      <c r="C10" s="269" t="s">
        <v>586</v>
      </c>
      <c r="D10" s="269" t="s">
        <v>590</v>
      </c>
      <c r="E10" s="266">
        <v>0.42</v>
      </c>
      <c r="F10" s="266" t="s">
        <v>584</v>
      </c>
      <c r="G10" s="267">
        <f t="shared" si="0"/>
        <v>8.3924679278840831E-10</v>
      </c>
      <c r="H10" s="266" t="s">
        <v>580</v>
      </c>
    </row>
    <row r="11" spans="1:8" ht="16" x14ac:dyDescent="0.2">
      <c r="A11" s="269" t="s">
        <v>567</v>
      </c>
      <c r="B11" s="269" t="s">
        <v>579</v>
      </c>
      <c r="C11" s="269" t="s">
        <v>586</v>
      </c>
      <c r="D11" s="269" t="s">
        <v>589</v>
      </c>
      <c r="E11" s="266">
        <v>1.2E-2</v>
      </c>
      <c r="F11" s="266" t="s">
        <v>584</v>
      </c>
      <c r="G11" s="267">
        <f t="shared" si="0"/>
        <v>2.3978479793954524E-11</v>
      </c>
      <c r="H11" s="266" t="s">
        <v>580</v>
      </c>
    </row>
    <row r="12" spans="1:8" ht="16" x14ac:dyDescent="0.2">
      <c r="A12" s="269" t="s">
        <v>567</v>
      </c>
      <c r="B12" s="269" t="s">
        <v>579</v>
      </c>
      <c r="C12" s="269" t="s">
        <v>586</v>
      </c>
      <c r="D12" s="269" t="s">
        <v>588</v>
      </c>
      <c r="E12" s="266">
        <v>0.28000000000000003</v>
      </c>
      <c r="F12" s="266" t="s">
        <v>584</v>
      </c>
      <c r="G12" s="267">
        <f t="shared" si="0"/>
        <v>5.5949786185893898E-10</v>
      </c>
      <c r="H12" s="266" t="s">
        <v>580</v>
      </c>
    </row>
    <row r="13" spans="1:8" ht="16" x14ac:dyDescent="0.2">
      <c r="A13" s="269" t="s">
        <v>567</v>
      </c>
      <c r="B13" s="269" t="s">
        <v>579</v>
      </c>
      <c r="C13" s="269" t="s">
        <v>586</v>
      </c>
      <c r="D13" s="269" t="s">
        <v>587</v>
      </c>
      <c r="E13" s="266">
        <v>0.56000000000000005</v>
      </c>
      <c r="F13" s="266" t="s">
        <v>584</v>
      </c>
      <c r="G13" s="267">
        <f t="shared" si="0"/>
        <v>1.118995723717878E-9</v>
      </c>
      <c r="H13" s="266" t="s">
        <v>580</v>
      </c>
    </row>
    <row r="14" spans="1:8" ht="32" x14ac:dyDescent="0.2">
      <c r="A14" s="269" t="s">
        <v>567</v>
      </c>
      <c r="B14" s="269" t="s">
        <v>579</v>
      </c>
      <c r="C14" s="269" t="s">
        <v>586</v>
      </c>
      <c r="D14" s="269" t="s">
        <v>585</v>
      </c>
      <c r="E14" s="275">
        <f>AVERAGE(E6:E13)</f>
        <v>0.19587500000000002</v>
      </c>
      <c r="F14" s="266" t="s">
        <v>584</v>
      </c>
      <c r="G14" s="267">
        <f>AVERAGE(G6:G13)</f>
        <v>3.9139872747007021E-10</v>
      </c>
      <c r="H14" s="266" t="s">
        <v>580</v>
      </c>
    </row>
    <row r="15" spans="1:8" ht="28.5" customHeight="1" x14ac:dyDescent="0.2">
      <c r="A15" s="269" t="s">
        <v>567</v>
      </c>
      <c r="B15" s="269" t="s">
        <v>579</v>
      </c>
      <c r="C15" s="276" t="s">
        <v>583</v>
      </c>
      <c r="D15" s="269" t="s">
        <v>582</v>
      </c>
      <c r="E15" s="275">
        <f>AVERAGE(E5:E14)</f>
        <v>0.1786075</v>
      </c>
      <c r="F15" s="266" t="s">
        <v>581</v>
      </c>
      <c r="G15" s="267">
        <f>E15/(1000000*454*1.10231)</f>
        <v>3.5689469414989441E-10</v>
      </c>
      <c r="H15" s="266" t="s">
        <v>580</v>
      </c>
    </row>
    <row r="16" spans="1:8" ht="28.5" customHeight="1" x14ac:dyDescent="0.2">
      <c r="A16" s="269" t="s">
        <v>563</v>
      </c>
      <c r="B16" s="269" t="s">
        <v>579</v>
      </c>
      <c r="C16" s="269" t="s">
        <v>561</v>
      </c>
      <c r="D16" s="269" t="s">
        <v>560</v>
      </c>
      <c r="E16" s="266">
        <f>AVERAGE(0.0002,0.0014,0.0004,0.00005)</f>
        <v>5.1250000000000004E-4</v>
      </c>
      <c r="F16" s="266" t="s">
        <v>559</v>
      </c>
      <c r="G16" s="267">
        <f>E16*(454*2000)/(1000000*1000*454)</f>
        <v>1.0250000000000001E-9</v>
      </c>
      <c r="H16" s="266" t="s">
        <v>558</v>
      </c>
    </row>
    <row r="18" spans="1:1" ht="16" x14ac:dyDescent="0.2">
      <c r="A18" s="261" t="s">
        <v>557</v>
      </c>
    </row>
    <row r="19" spans="1:1" x14ac:dyDescent="0.2">
      <c r="A19" s="177" t="s">
        <v>578</v>
      </c>
    </row>
    <row r="20" spans="1:1" x14ac:dyDescent="0.2">
      <c r="A20" s="177" t="s">
        <v>577</v>
      </c>
    </row>
    <row r="21" spans="1:1" x14ac:dyDescent="0.2">
      <c r="A21" s="264" t="s">
        <v>576</v>
      </c>
    </row>
    <row r="22" spans="1:1" ht="16" x14ac:dyDescent="0.2">
      <c r="A22" s="261" t="s">
        <v>575</v>
      </c>
    </row>
  </sheetData>
  <sheetProtection algorithmName="SHA-512" hashValue="kxPhMq0oBkDtqQypGelG99J22wfvcHUlW9pfrs0rtuh1vQsuI9VPFnyY+ts15opU4GrEUfl/W8nZmMPaFORaMg==" saltValue="j1xVkRyVBCMmex3gwfM1eg==" spinCount="100000" sheet="1" objects="1" scenarios="1"/>
  <mergeCells count="5">
    <mergeCell ref="A3:A4"/>
    <mergeCell ref="G3:H3"/>
    <mergeCell ref="E3:F3"/>
    <mergeCell ref="C3:C4"/>
    <mergeCell ref="D3:D4"/>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F3FD-F721-0548-8717-4E6D3F9659CA}">
  <sheetPr>
    <tabColor rgb="FF00B0F0"/>
  </sheetPr>
  <dimension ref="A1:K26"/>
  <sheetViews>
    <sheetView workbookViewId="0"/>
  </sheetViews>
  <sheetFormatPr baseColWidth="10" defaultColWidth="8.6640625" defaultRowHeight="15" x14ac:dyDescent="0.2"/>
  <cols>
    <col min="1" max="1" width="10.6640625" style="261" customWidth="1"/>
    <col min="2" max="2" width="20.83203125" style="261" customWidth="1"/>
    <col min="3" max="3" width="8.6640625" style="261"/>
    <col min="4" max="4" width="39.5" style="261" customWidth="1"/>
    <col min="5" max="5" width="43.1640625" style="260" customWidth="1"/>
    <col min="6" max="6" width="12.83203125" style="274" customWidth="1"/>
    <col min="7" max="7" width="17.5" style="274" customWidth="1"/>
    <col min="8" max="8" width="12.83203125" style="274" customWidth="1"/>
    <col min="9" max="9" width="23.33203125" style="274" bestFit="1" customWidth="1"/>
    <col min="10" max="10" width="11.33203125" style="261" hidden="1" customWidth="1"/>
    <col min="11" max="11" width="12.5" style="261" customWidth="1"/>
    <col min="12" max="16384" width="8.6640625" style="261"/>
  </cols>
  <sheetData>
    <row r="1" spans="1:10" ht="19" x14ac:dyDescent="0.25">
      <c r="A1" s="236" t="s">
        <v>651</v>
      </c>
    </row>
    <row r="2" spans="1:10" ht="19" x14ac:dyDescent="0.25">
      <c r="B2" s="236"/>
    </row>
    <row r="3" spans="1:10" s="284" customFormat="1" ht="17.5" customHeight="1" x14ac:dyDescent="0.2">
      <c r="A3" s="596" t="s">
        <v>650</v>
      </c>
      <c r="B3" s="596" t="s">
        <v>44</v>
      </c>
      <c r="C3" s="596"/>
      <c r="D3" s="596" t="s">
        <v>572</v>
      </c>
      <c r="E3" s="596" t="s">
        <v>22</v>
      </c>
      <c r="F3" s="596" t="s">
        <v>571</v>
      </c>
      <c r="G3" s="596"/>
      <c r="H3" s="596" t="s">
        <v>570</v>
      </c>
      <c r="I3" s="596"/>
      <c r="J3" s="284" t="s">
        <v>649</v>
      </c>
    </row>
    <row r="4" spans="1:10" s="284" customFormat="1" ht="17.5" customHeight="1" x14ac:dyDescent="0.2">
      <c r="A4" s="596"/>
      <c r="B4" s="273" t="s">
        <v>598</v>
      </c>
      <c r="C4" s="285" t="s">
        <v>648</v>
      </c>
      <c r="D4" s="596"/>
      <c r="E4" s="596"/>
      <c r="F4" s="273" t="s">
        <v>569</v>
      </c>
      <c r="G4" s="273" t="s">
        <v>568</v>
      </c>
      <c r="H4" s="273" t="s">
        <v>569</v>
      </c>
      <c r="I4" s="273" t="s">
        <v>568</v>
      </c>
    </row>
    <row r="5" spans="1:10" ht="17" x14ac:dyDescent="0.2">
      <c r="A5" s="282" t="s">
        <v>567</v>
      </c>
      <c r="B5" s="282" t="s">
        <v>19</v>
      </c>
      <c r="C5" s="282"/>
      <c r="D5" s="282" t="s">
        <v>603</v>
      </c>
      <c r="E5" s="281" t="s">
        <v>606</v>
      </c>
      <c r="F5" s="278">
        <v>1020</v>
      </c>
      <c r="G5" s="278" t="s">
        <v>601</v>
      </c>
      <c r="H5" s="279">
        <f>F5/(1000000*454)/2.205*2000</f>
        <v>2.0378195330995837E-3</v>
      </c>
      <c r="I5" s="278" t="s">
        <v>619</v>
      </c>
      <c r="J5" s="261" t="s">
        <v>647</v>
      </c>
    </row>
    <row r="6" spans="1:10" ht="17" x14ac:dyDescent="0.2">
      <c r="A6" s="282" t="s">
        <v>567</v>
      </c>
      <c r="B6" s="282" t="s">
        <v>646</v>
      </c>
      <c r="C6" s="282" t="s">
        <v>621</v>
      </c>
      <c r="D6" s="282" t="s">
        <v>603</v>
      </c>
      <c r="E6" s="281" t="s">
        <v>606</v>
      </c>
      <c r="F6" s="278">
        <v>39.6</v>
      </c>
      <c r="G6" s="278" t="s">
        <v>601</v>
      </c>
      <c r="H6" s="278"/>
      <c r="I6" s="278"/>
      <c r="J6" s="261" t="s">
        <v>645</v>
      </c>
    </row>
    <row r="7" spans="1:10" ht="17" x14ac:dyDescent="0.2">
      <c r="A7" s="282" t="s">
        <v>567</v>
      </c>
      <c r="B7" s="282" t="s">
        <v>644</v>
      </c>
      <c r="C7" s="282" t="s">
        <v>621</v>
      </c>
      <c r="D7" s="282" t="s">
        <v>603</v>
      </c>
      <c r="E7" s="281" t="s">
        <v>606</v>
      </c>
      <c r="F7" s="278">
        <v>10.199999999999999</v>
      </c>
      <c r="G7" s="278" t="s">
        <v>601</v>
      </c>
      <c r="H7" s="278"/>
      <c r="I7" s="278"/>
      <c r="J7" s="261" t="s">
        <v>643</v>
      </c>
    </row>
    <row r="8" spans="1:10" ht="17" x14ac:dyDescent="0.2">
      <c r="A8" s="282" t="s">
        <v>567</v>
      </c>
      <c r="B8" s="282" t="s">
        <v>642</v>
      </c>
      <c r="C8" s="282" t="s">
        <v>621</v>
      </c>
      <c r="D8" s="282" t="s">
        <v>603</v>
      </c>
      <c r="E8" s="281" t="s">
        <v>606</v>
      </c>
      <c r="F8" s="278">
        <v>9.75</v>
      </c>
      <c r="G8" s="278" t="s">
        <v>601</v>
      </c>
      <c r="H8" s="278"/>
      <c r="I8" s="278"/>
      <c r="J8" s="261" t="s">
        <v>641</v>
      </c>
    </row>
    <row r="9" spans="1:10" ht="17" x14ac:dyDescent="0.2">
      <c r="A9" s="282" t="s">
        <v>567</v>
      </c>
      <c r="B9" s="282" t="s">
        <v>640</v>
      </c>
      <c r="C9" s="282">
        <v>0</v>
      </c>
      <c r="D9" s="282" t="s">
        <v>603</v>
      </c>
      <c r="E9" s="281" t="s">
        <v>606</v>
      </c>
      <c r="F9" s="278">
        <v>2.67</v>
      </c>
      <c r="G9" s="278" t="s">
        <v>601</v>
      </c>
      <c r="H9" s="278"/>
      <c r="I9" s="278"/>
      <c r="J9" s="261" t="s">
        <v>639</v>
      </c>
    </row>
    <row r="10" spans="1:10" ht="17" x14ac:dyDescent="0.2">
      <c r="A10" s="282" t="s">
        <v>567</v>
      </c>
      <c r="B10" s="282" t="s">
        <v>638</v>
      </c>
      <c r="C10" s="282">
        <v>0</v>
      </c>
      <c r="D10" s="282" t="s">
        <v>603</v>
      </c>
      <c r="E10" s="281" t="s">
        <v>606</v>
      </c>
      <c r="F10" s="278">
        <v>45.1</v>
      </c>
      <c r="G10" s="278" t="s">
        <v>601</v>
      </c>
      <c r="H10" s="278"/>
      <c r="I10" s="278"/>
      <c r="J10" s="261" t="s">
        <v>637</v>
      </c>
    </row>
    <row r="11" spans="1:10" ht="17" x14ac:dyDescent="0.2">
      <c r="A11" s="282" t="s">
        <v>567</v>
      </c>
      <c r="B11" s="282" t="s">
        <v>636</v>
      </c>
      <c r="C11" s="282">
        <v>0.08</v>
      </c>
      <c r="D11" s="282" t="s">
        <v>603</v>
      </c>
      <c r="E11" s="281" t="s">
        <v>606</v>
      </c>
      <c r="F11" s="278">
        <v>25.4</v>
      </c>
      <c r="G11" s="278" t="s">
        <v>601</v>
      </c>
      <c r="H11" s="278"/>
      <c r="I11" s="278"/>
      <c r="J11" s="261" t="s">
        <v>635</v>
      </c>
    </row>
    <row r="12" spans="1:10" ht="17" x14ac:dyDescent="0.2">
      <c r="A12" s="282" t="s">
        <v>567</v>
      </c>
      <c r="B12" s="282" t="s">
        <v>634</v>
      </c>
      <c r="C12" s="282">
        <v>0</v>
      </c>
      <c r="D12" s="282" t="s">
        <v>603</v>
      </c>
      <c r="E12" s="281" t="s">
        <v>606</v>
      </c>
      <c r="F12" s="278">
        <v>18.2</v>
      </c>
      <c r="G12" s="278" t="s">
        <v>601</v>
      </c>
      <c r="H12" s="278"/>
      <c r="I12" s="278"/>
      <c r="J12" s="261" t="s">
        <v>633</v>
      </c>
    </row>
    <row r="13" spans="1:10" ht="17" x14ac:dyDescent="0.2">
      <c r="A13" s="282" t="s">
        <v>567</v>
      </c>
      <c r="B13" s="282" t="s">
        <v>632</v>
      </c>
      <c r="C13" s="282">
        <v>0.4</v>
      </c>
      <c r="D13" s="282" t="s">
        <v>603</v>
      </c>
      <c r="E13" s="281" t="s">
        <v>606</v>
      </c>
      <c r="F13" s="278">
        <v>1.9</v>
      </c>
      <c r="G13" s="278" t="s">
        <v>601</v>
      </c>
      <c r="H13" s="278"/>
      <c r="I13" s="278"/>
      <c r="J13" s="261" t="s">
        <v>631</v>
      </c>
    </row>
    <row r="14" spans="1:10" ht="17" x14ac:dyDescent="0.2">
      <c r="A14" s="282" t="s">
        <v>567</v>
      </c>
      <c r="B14" s="282" t="s">
        <v>630</v>
      </c>
      <c r="C14" s="282">
        <v>0.2</v>
      </c>
      <c r="D14" s="282" t="s">
        <v>603</v>
      </c>
      <c r="E14" s="281" t="s">
        <v>606</v>
      </c>
      <c r="F14" s="278">
        <v>1.9</v>
      </c>
      <c r="G14" s="278" t="s">
        <v>601</v>
      </c>
      <c r="H14" s="278"/>
      <c r="I14" s="278"/>
      <c r="J14" s="261" t="s">
        <v>629</v>
      </c>
    </row>
    <row r="15" spans="1:10" ht="17" x14ac:dyDescent="0.2">
      <c r="A15" s="282" t="s">
        <v>567</v>
      </c>
      <c r="B15" s="282" t="s">
        <v>628</v>
      </c>
      <c r="C15" s="282">
        <v>0.1</v>
      </c>
      <c r="D15" s="282" t="s">
        <v>603</v>
      </c>
      <c r="E15" s="281" t="s">
        <v>606</v>
      </c>
      <c r="F15" s="278">
        <v>0.96099999999999997</v>
      </c>
      <c r="G15" s="278" t="s">
        <v>601</v>
      </c>
      <c r="H15" s="278"/>
      <c r="I15" s="278"/>
      <c r="J15" s="261" t="s">
        <v>627</v>
      </c>
    </row>
    <row r="16" spans="1:10" ht="17" x14ac:dyDescent="0.2">
      <c r="A16" s="282" t="s">
        <v>567</v>
      </c>
      <c r="B16" s="282" t="s">
        <v>626</v>
      </c>
      <c r="C16" s="282">
        <v>0.8</v>
      </c>
      <c r="D16" s="282" t="s">
        <v>603</v>
      </c>
      <c r="E16" s="281" t="s">
        <v>606</v>
      </c>
      <c r="F16" s="278">
        <v>2.9</v>
      </c>
      <c r="G16" s="278" t="s">
        <v>601</v>
      </c>
      <c r="H16" s="278"/>
      <c r="I16" s="278"/>
      <c r="J16" s="261" t="s">
        <v>625</v>
      </c>
    </row>
    <row r="17" spans="1:11" ht="17" x14ac:dyDescent="0.2">
      <c r="A17" s="282" t="s">
        <v>567</v>
      </c>
      <c r="B17" s="282" t="s">
        <v>624</v>
      </c>
      <c r="C17" s="282">
        <v>0.03</v>
      </c>
      <c r="D17" s="282" t="s">
        <v>603</v>
      </c>
      <c r="E17" s="281" t="s">
        <v>606</v>
      </c>
      <c r="F17" s="278">
        <v>0.34300000000000003</v>
      </c>
      <c r="G17" s="278" t="s">
        <v>601</v>
      </c>
      <c r="H17" s="278"/>
      <c r="I17" s="278"/>
      <c r="J17" s="261" t="s">
        <v>623</v>
      </c>
    </row>
    <row r="18" spans="1:11" ht="17" x14ac:dyDescent="0.2">
      <c r="A18" s="282" t="s">
        <v>567</v>
      </c>
      <c r="B18" s="282" t="s">
        <v>622</v>
      </c>
      <c r="C18" s="282" t="s">
        <v>621</v>
      </c>
      <c r="D18" s="282" t="s">
        <v>603</v>
      </c>
      <c r="E18" s="281" t="s">
        <v>606</v>
      </c>
      <c r="F18" s="278">
        <v>1.51</v>
      </c>
      <c r="G18" s="278" t="s">
        <v>601</v>
      </c>
      <c r="H18" s="278"/>
      <c r="I18" s="278"/>
      <c r="J18" s="261" t="s">
        <v>620</v>
      </c>
    </row>
    <row r="19" spans="1:11" ht="17" x14ac:dyDescent="0.2">
      <c r="A19" s="282" t="s">
        <v>567</v>
      </c>
      <c r="B19" s="282" t="s">
        <v>223</v>
      </c>
      <c r="C19" s="282">
        <v>1</v>
      </c>
      <c r="D19" s="282" t="s">
        <v>603</v>
      </c>
      <c r="E19" s="281" t="s">
        <v>606</v>
      </c>
      <c r="F19" s="278">
        <v>0.69199999999999995</v>
      </c>
      <c r="G19" s="278" t="s">
        <v>601</v>
      </c>
      <c r="H19" s="279">
        <f>F19/(1000000*454)/2.205*2000</f>
        <v>1.3825207028479526E-6</v>
      </c>
      <c r="I19" s="278" t="s">
        <v>619</v>
      </c>
      <c r="J19" s="261" t="s">
        <v>618</v>
      </c>
      <c r="K19" s="283"/>
    </row>
    <row r="20" spans="1:11" ht="17" x14ac:dyDescent="0.2">
      <c r="A20" s="282" t="s">
        <v>567</v>
      </c>
      <c r="B20" s="282" t="s">
        <v>617</v>
      </c>
      <c r="C20" s="282"/>
      <c r="D20" s="282" t="s">
        <v>603</v>
      </c>
      <c r="E20" s="281" t="s">
        <v>606</v>
      </c>
      <c r="F20" s="278">
        <v>0.28799999999999998</v>
      </c>
      <c r="G20" s="278" t="s">
        <v>601</v>
      </c>
      <c r="H20" s="278"/>
      <c r="I20" s="278"/>
      <c r="J20" s="261" t="s">
        <v>616</v>
      </c>
    </row>
    <row r="21" spans="1:11" ht="17" x14ac:dyDescent="0.2">
      <c r="A21" s="282" t="s">
        <v>567</v>
      </c>
      <c r="B21" s="282" t="s">
        <v>615</v>
      </c>
      <c r="C21" s="282">
        <v>7.0000000000000007E-2</v>
      </c>
      <c r="D21" s="282" t="s">
        <v>603</v>
      </c>
      <c r="E21" s="281" t="s">
        <v>606</v>
      </c>
      <c r="F21" s="278">
        <v>1.25</v>
      </c>
      <c r="G21" s="278" t="s">
        <v>601</v>
      </c>
      <c r="H21" s="278"/>
      <c r="I21" s="278"/>
      <c r="J21" s="261" t="s">
        <v>614</v>
      </c>
    </row>
    <row r="22" spans="1:11" ht="17" x14ac:dyDescent="0.2">
      <c r="A22" s="282" t="s">
        <v>567</v>
      </c>
      <c r="B22" s="282" t="s">
        <v>613</v>
      </c>
      <c r="C22" s="282">
        <v>10</v>
      </c>
      <c r="D22" s="282" t="s">
        <v>603</v>
      </c>
      <c r="E22" s="281" t="s">
        <v>606</v>
      </c>
      <c r="F22" s="278">
        <v>0.34</v>
      </c>
      <c r="G22" s="278" t="s">
        <v>601</v>
      </c>
      <c r="H22" s="278"/>
      <c r="I22" s="278"/>
      <c r="J22" s="261" t="s">
        <v>612</v>
      </c>
    </row>
    <row r="23" spans="1:11" ht="17" x14ac:dyDescent="0.2">
      <c r="A23" s="282" t="s">
        <v>567</v>
      </c>
      <c r="B23" s="282" t="s">
        <v>611</v>
      </c>
      <c r="C23" s="282"/>
      <c r="D23" s="282" t="s">
        <v>603</v>
      </c>
      <c r="E23" s="281" t="s">
        <v>606</v>
      </c>
      <c r="F23" s="278">
        <v>0.35799999999999998</v>
      </c>
      <c r="G23" s="278" t="s">
        <v>601</v>
      </c>
      <c r="H23" s="278"/>
      <c r="I23" s="278"/>
      <c r="J23" s="261" t="s">
        <v>610</v>
      </c>
    </row>
    <row r="24" spans="1:11" ht="17" x14ac:dyDescent="0.2">
      <c r="A24" s="282" t="s">
        <v>567</v>
      </c>
      <c r="B24" s="282" t="s">
        <v>609</v>
      </c>
      <c r="C24" s="282">
        <v>8.9999999999999993E-3</v>
      </c>
      <c r="D24" s="282" t="s">
        <v>603</v>
      </c>
      <c r="E24" s="281" t="s">
        <v>606</v>
      </c>
      <c r="F24" s="278">
        <v>1.68</v>
      </c>
      <c r="G24" s="278" t="s">
        <v>601</v>
      </c>
      <c r="H24" s="278"/>
      <c r="I24" s="278"/>
      <c r="J24" s="261" t="s">
        <v>608</v>
      </c>
    </row>
    <row r="25" spans="1:11" ht="17" x14ac:dyDescent="0.2">
      <c r="A25" s="282" t="s">
        <v>567</v>
      </c>
      <c r="B25" s="282" t="s">
        <v>607</v>
      </c>
      <c r="C25" s="282"/>
      <c r="D25" s="282" t="s">
        <v>603</v>
      </c>
      <c r="E25" s="281" t="s">
        <v>606</v>
      </c>
      <c r="F25" s="278">
        <v>0.38100000000000001</v>
      </c>
      <c r="G25" s="278" t="s">
        <v>601</v>
      </c>
      <c r="H25" s="278"/>
      <c r="I25" s="278"/>
      <c r="J25" s="261" t="s">
        <v>605</v>
      </c>
    </row>
    <row r="26" spans="1:11" ht="32" x14ac:dyDescent="0.25">
      <c r="A26" s="282" t="s">
        <v>567</v>
      </c>
      <c r="B26" s="282" t="s">
        <v>604</v>
      </c>
      <c r="C26" s="282"/>
      <c r="D26" s="282" t="s">
        <v>603</v>
      </c>
      <c r="E26" s="281" t="s">
        <v>602</v>
      </c>
      <c r="F26" s="280">
        <f>SUMPRODUCT(C6:C25,F6:F25)</f>
        <v>9.7930099999999989</v>
      </c>
      <c r="G26" s="278" t="s">
        <v>601</v>
      </c>
      <c r="H26" s="279">
        <f>F26/(1000000*454)/2.205*2000</f>
        <v>1.9565085358666221E-5</v>
      </c>
      <c r="I26" s="278" t="s">
        <v>600</v>
      </c>
    </row>
  </sheetData>
  <sheetProtection algorithmName="SHA-512" hashValue="u8bBmIeWb+g3emn2E7pehl5lDSFwFuUe6q4ZgjDzIVMPNe0TliEft4A0HAlw3dF9TDPM/B/Hh4o5TweXv6y94A==" saltValue="F6/dzhIz5sW5O7vJ6iAXig==" spinCount="100000" sheet="1" objects="1" scenarios="1"/>
  <mergeCells count="6">
    <mergeCell ref="A3:A4"/>
    <mergeCell ref="H3:I3"/>
    <mergeCell ref="B3:C3"/>
    <mergeCell ref="D3:D4"/>
    <mergeCell ref="E3:E4"/>
    <mergeCell ref="F3:G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860F-7399-0B4D-9A90-90C24E319CB4}">
  <sheetPr codeName="Sheet27">
    <tabColor rgb="FF00B050"/>
  </sheetPr>
  <dimension ref="A1:N215"/>
  <sheetViews>
    <sheetView topLeftCell="A104" zoomScale="110" zoomScaleNormal="110" workbookViewId="0">
      <selection activeCell="L65" sqref="L65"/>
    </sheetView>
  </sheetViews>
  <sheetFormatPr baseColWidth="10" defaultColWidth="11" defaultRowHeight="16" x14ac:dyDescent="0.2"/>
  <cols>
    <col min="1" max="1" width="26.83203125" customWidth="1"/>
    <col min="2" max="2" width="28.6640625" customWidth="1"/>
    <col min="3" max="6" width="12.5" customWidth="1"/>
    <col min="7" max="10" width="11.6640625" customWidth="1"/>
  </cols>
  <sheetData>
    <row r="1" spans="1:8" ht="19" x14ac:dyDescent="0.25">
      <c r="A1" s="2" t="s">
        <v>198</v>
      </c>
      <c r="B1" s="139"/>
    </row>
    <row r="2" spans="1:8" ht="19" x14ac:dyDescent="0.25">
      <c r="A2" s="2" t="s">
        <v>1936</v>
      </c>
    </row>
    <row r="4" spans="1:8" x14ac:dyDescent="0.2">
      <c r="B4" s="480" t="s">
        <v>199</v>
      </c>
      <c r="C4" s="477" t="s">
        <v>1803</v>
      </c>
      <c r="D4" s="477"/>
      <c r="E4" s="477"/>
      <c r="F4" s="477"/>
      <c r="G4" s="477"/>
      <c r="H4" s="477"/>
    </row>
    <row r="5" spans="1:8" x14ac:dyDescent="0.2">
      <c r="B5" s="480" t="s">
        <v>200</v>
      </c>
      <c r="C5" t="s">
        <v>335</v>
      </c>
      <c r="D5" s="477"/>
      <c r="E5" s="477"/>
      <c r="F5" s="477"/>
      <c r="G5" s="477"/>
      <c r="H5" s="477"/>
    </row>
    <row r="6" spans="1:8" x14ac:dyDescent="0.2">
      <c r="B6" s="480"/>
      <c r="C6" t="s">
        <v>382</v>
      </c>
      <c r="D6" s="477"/>
      <c r="E6" s="477"/>
      <c r="F6" s="477"/>
      <c r="G6" s="477"/>
      <c r="H6" s="477"/>
    </row>
    <row r="7" spans="1:8" x14ac:dyDescent="0.2">
      <c r="B7" s="480"/>
      <c r="C7" t="s">
        <v>46</v>
      </c>
      <c r="D7" s="477"/>
      <c r="E7" s="477"/>
      <c r="F7" s="477"/>
      <c r="G7" s="477"/>
      <c r="H7" s="477"/>
    </row>
    <row r="8" spans="1:8" x14ac:dyDescent="0.2">
      <c r="B8" s="480" t="s">
        <v>201</v>
      </c>
      <c r="C8" s="477" t="s">
        <v>1937</v>
      </c>
      <c r="D8" s="477"/>
      <c r="E8" s="477"/>
      <c r="F8" s="477"/>
      <c r="G8" s="477"/>
      <c r="H8" s="477"/>
    </row>
    <row r="9" spans="1:8" x14ac:dyDescent="0.2">
      <c r="A9" s="26"/>
      <c r="B9" s="477"/>
      <c r="C9" s="477"/>
      <c r="D9" s="477"/>
      <c r="E9" s="477"/>
      <c r="F9" s="477"/>
      <c r="G9" s="477"/>
      <c r="H9" s="477"/>
    </row>
    <row r="10" spans="1:8" x14ac:dyDescent="0.2">
      <c r="B10" s="480" t="s">
        <v>199</v>
      </c>
      <c r="C10" s="477" t="s">
        <v>404</v>
      </c>
      <c r="D10" s="477"/>
      <c r="E10" s="477"/>
      <c r="F10" s="477"/>
      <c r="G10" s="477"/>
      <c r="H10" s="477"/>
    </row>
    <row r="11" spans="1:8" x14ac:dyDescent="0.2">
      <c r="B11" s="480" t="s">
        <v>200</v>
      </c>
      <c r="C11" t="s">
        <v>335</v>
      </c>
      <c r="D11" s="477"/>
      <c r="E11" s="477"/>
      <c r="F11" s="477"/>
      <c r="G11" s="477"/>
      <c r="H11" s="477"/>
    </row>
    <row r="12" spans="1:8" x14ac:dyDescent="0.2">
      <c r="B12" s="480"/>
      <c r="C12" t="s">
        <v>382</v>
      </c>
      <c r="D12" s="477"/>
      <c r="E12" s="477"/>
      <c r="F12" s="477"/>
      <c r="G12" s="477"/>
      <c r="H12" s="477"/>
    </row>
    <row r="13" spans="1:8" x14ac:dyDescent="0.2">
      <c r="B13" s="480"/>
      <c r="C13" t="s">
        <v>46</v>
      </c>
      <c r="D13" s="477"/>
      <c r="E13" s="477"/>
      <c r="F13" s="477"/>
      <c r="G13" s="477"/>
      <c r="H13" s="477"/>
    </row>
    <row r="14" spans="1:8" x14ac:dyDescent="0.2">
      <c r="B14" s="480" t="s">
        <v>201</v>
      </c>
      <c r="C14" s="477" t="s">
        <v>1938</v>
      </c>
      <c r="D14" s="477"/>
      <c r="E14" s="477"/>
      <c r="F14" s="477"/>
      <c r="G14" s="477"/>
      <c r="H14" s="477"/>
    </row>
    <row r="15" spans="1:8" x14ac:dyDescent="0.2">
      <c r="B15" s="480"/>
      <c r="C15" s="477"/>
      <c r="D15" s="477"/>
      <c r="E15" s="477"/>
      <c r="F15" s="477"/>
      <c r="G15" s="477"/>
      <c r="H15" s="477"/>
    </row>
    <row r="16" spans="1:8" x14ac:dyDescent="0.2">
      <c r="B16" s="480" t="s">
        <v>199</v>
      </c>
      <c r="C16" s="477" t="s">
        <v>1778</v>
      </c>
      <c r="D16" s="477"/>
      <c r="E16" s="477"/>
      <c r="F16" s="477"/>
      <c r="G16" s="477"/>
      <c r="H16" s="477"/>
    </row>
    <row r="17" spans="2:8" x14ac:dyDescent="0.2">
      <c r="B17" s="480" t="s">
        <v>200</v>
      </c>
      <c r="C17" s="477" t="s">
        <v>1775</v>
      </c>
      <c r="D17" s="477"/>
      <c r="E17" s="477"/>
      <c r="F17" s="477"/>
      <c r="G17" s="477"/>
      <c r="H17" s="477"/>
    </row>
    <row r="18" spans="2:8" x14ac:dyDescent="0.2">
      <c r="B18" s="480" t="s">
        <v>201</v>
      </c>
      <c r="C18" s="477" t="s">
        <v>1777</v>
      </c>
      <c r="D18" s="477"/>
      <c r="E18" s="477"/>
      <c r="F18" s="477"/>
      <c r="G18" s="477"/>
      <c r="H18" s="477"/>
    </row>
    <row r="19" spans="2:8" x14ac:dyDescent="0.2">
      <c r="B19" s="480"/>
      <c r="C19" s="477"/>
      <c r="D19" s="477"/>
      <c r="E19" s="477"/>
      <c r="F19" s="477"/>
      <c r="G19" s="477"/>
      <c r="H19" s="477"/>
    </row>
    <row r="20" spans="2:8" x14ac:dyDescent="0.2">
      <c r="B20" s="480" t="s">
        <v>199</v>
      </c>
      <c r="C20" s="477" t="s">
        <v>1779</v>
      </c>
      <c r="D20" s="477"/>
      <c r="E20" s="477"/>
      <c r="F20" s="477"/>
      <c r="G20" s="477"/>
      <c r="H20" s="477"/>
    </row>
    <row r="21" spans="2:8" x14ac:dyDescent="0.2">
      <c r="B21" s="480" t="s">
        <v>200</v>
      </c>
      <c r="C21" s="477" t="s">
        <v>1776</v>
      </c>
      <c r="D21" s="477"/>
      <c r="E21" s="477"/>
      <c r="F21" s="477"/>
      <c r="G21" s="477"/>
      <c r="H21" s="477"/>
    </row>
    <row r="22" spans="2:8" x14ac:dyDescent="0.2">
      <c r="B22" s="480" t="s">
        <v>201</v>
      </c>
      <c r="C22" s="477" t="s">
        <v>1919</v>
      </c>
      <c r="D22" s="477"/>
      <c r="E22" s="477"/>
      <c r="F22" s="477"/>
      <c r="G22" s="477"/>
      <c r="H22" s="477"/>
    </row>
    <row r="23" spans="2:8" x14ac:dyDescent="0.2">
      <c r="B23" s="174"/>
      <c r="C23" s="175"/>
      <c r="D23" s="175"/>
      <c r="E23" s="175"/>
      <c r="F23" s="175"/>
      <c r="G23" s="175"/>
      <c r="H23" s="175"/>
    </row>
    <row r="24" spans="2:8" x14ac:dyDescent="0.2">
      <c r="B24" s="174"/>
      <c r="C24" s="175"/>
      <c r="D24" s="175"/>
      <c r="E24" s="175"/>
      <c r="F24" s="175"/>
      <c r="G24" s="175"/>
      <c r="H24" s="175"/>
    </row>
    <row r="25" spans="2:8" x14ac:dyDescent="0.2">
      <c r="B25" s="26"/>
    </row>
    <row r="26" spans="2:8" x14ac:dyDescent="0.2">
      <c r="B26" s="26"/>
    </row>
    <row r="27" spans="2:8" x14ac:dyDescent="0.2">
      <c r="B27" s="26"/>
    </row>
    <row r="28" spans="2:8" x14ac:dyDescent="0.2">
      <c r="B28" s="26"/>
    </row>
    <row r="29" spans="2:8" x14ac:dyDescent="0.2">
      <c r="B29" s="26"/>
    </row>
    <row r="30" spans="2:8" x14ac:dyDescent="0.2">
      <c r="B30" s="26"/>
    </row>
    <row r="31" spans="2:8" x14ac:dyDescent="0.2">
      <c r="B31" s="26"/>
    </row>
    <row r="32" spans="2:8" x14ac:dyDescent="0.2">
      <c r="B32" s="26"/>
    </row>
    <row r="33" spans="1:5" x14ac:dyDescent="0.2">
      <c r="B33" s="26"/>
    </row>
    <row r="34" spans="1:5" x14ac:dyDescent="0.2">
      <c r="B34" s="26"/>
    </row>
    <row r="35" spans="1:5" x14ac:dyDescent="0.2">
      <c r="B35" s="26"/>
    </row>
    <row r="36" spans="1:5" x14ac:dyDescent="0.2">
      <c r="B36" s="26"/>
    </row>
    <row r="37" spans="1:5" x14ac:dyDescent="0.2">
      <c r="B37" s="26"/>
    </row>
    <row r="38" spans="1:5" x14ac:dyDescent="0.2">
      <c r="B38" s="26"/>
    </row>
    <row r="39" spans="1:5" x14ac:dyDescent="0.2">
      <c r="B39" s="26"/>
    </row>
    <row r="40" spans="1:5" x14ac:dyDescent="0.2">
      <c r="B40" s="26"/>
    </row>
    <row r="41" spans="1:5" x14ac:dyDescent="0.2">
      <c r="B41" s="26"/>
    </row>
    <row r="43" spans="1:5" ht="19" x14ac:dyDescent="0.25">
      <c r="A43" s="140" t="s">
        <v>204</v>
      </c>
    </row>
    <row r="45" spans="1:5" x14ac:dyDescent="0.2">
      <c r="A45" s="477" t="s">
        <v>202</v>
      </c>
      <c r="B45" s="477">
        <v>1</v>
      </c>
      <c r="C45" s="477"/>
      <c r="D45" s="477"/>
      <c r="E45" s="477"/>
    </row>
    <row r="46" spans="1:5" x14ac:dyDescent="0.2">
      <c r="A46" s="477" t="s">
        <v>205</v>
      </c>
      <c r="B46" s="477">
        <v>8</v>
      </c>
      <c r="C46" s="477" t="s">
        <v>42</v>
      </c>
      <c r="D46" s="477"/>
      <c r="E46" s="477"/>
    </row>
    <row r="47" spans="1:5" x14ac:dyDescent="0.2">
      <c r="A47" s="477" t="s">
        <v>205</v>
      </c>
      <c r="B47" s="477">
        <v>520</v>
      </c>
      <c r="C47" s="477" t="s">
        <v>43</v>
      </c>
      <c r="D47" s="477"/>
      <c r="E47" s="477"/>
    </row>
    <row r="48" spans="1:5" x14ac:dyDescent="0.2">
      <c r="A48" s="477" t="s">
        <v>203</v>
      </c>
      <c r="B48" s="477">
        <v>30</v>
      </c>
      <c r="C48" s="477" t="s">
        <v>206</v>
      </c>
      <c r="D48" s="477"/>
      <c r="E48" s="477"/>
    </row>
    <row r="49" spans="1:10" x14ac:dyDescent="0.2">
      <c r="A49" s="477" t="s">
        <v>217</v>
      </c>
      <c r="B49" s="481">
        <f>B48*B47</f>
        <v>15600</v>
      </c>
      <c r="C49" s="477" t="s">
        <v>219</v>
      </c>
      <c r="D49" s="477"/>
      <c r="E49" s="477"/>
    </row>
    <row r="50" spans="1:10" x14ac:dyDescent="0.2">
      <c r="A50" s="477" t="s">
        <v>218</v>
      </c>
      <c r="B50" s="477">
        <f>B48*B46</f>
        <v>240</v>
      </c>
      <c r="C50" s="477" t="s">
        <v>220</v>
      </c>
      <c r="D50" s="477"/>
      <c r="E50" s="477"/>
    </row>
    <row r="51" spans="1:10" x14ac:dyDescent="0.2">
      <c r="A51" s="477" t="s">
        <v>207</v>
      </c>
      <c r="B51" s="477">
        <v>0.06</v>
      </c>
      <c r="C51" s="477" t="s">
        <v>457</v>
      </c>
      <c r="D51" s="477"/>
      <c r="E51" s="477"/>
    </row>
    <row r="52" spans="1:10" x14ac:dyDescent="0.2">
      <c r="A52" t="s">
        <v>1939</v>
      </c>
      <c r="B52" s="144">
        <v>0.95</v>
      </c>
      <c r="C52" s="477"/>
      <c r="D52" s="477"/>
      <c r="E52" s="477"/>
    </row>
    <row r="53" spans="1:10" x14ac:dyDescent="0.2">
      <c r="A53" t="s">
        <v>1940</v>
      </c>
      <c r="B53" s="144">
        <v>0.95</v>
      </c>
      <c r="C53" s="477"/>
      <c r="D53" s="477"/>
      <c r="E53" s="477"/>
    </row>
    <row r="54" spans="1:10" x14ac:dyDescent="0.2">
      <c r="A54" s="477" t="s">
        <v>1772</v>
      </c>
      <c r="B54" s="481">
        <f>Tabl_B2_Melt_Shop!B41*1.1*2</f>
        <v>8140.0000000000009</v>
      </c>
      <c r="C54" s="477" t="s">
        <v>1770</v>
      </c>
      <c r="D54" s="477"/>
      <c r="E54" s="477"/>
    </row>
    <row r="55" spans="1:10" x14ac:dyDescent="0.2">
      <c r="A55" s="477" t="s">
        <v>1772</v>
      </c>
      <c r="B55" s="481">
        <f>Tabl_B2_Melt_Shop!B42*1.1*2</f>
        <v>1584000.0000000002</v>
      </c>
      <c r="C55" s="477" t="s">
        <v>1771</v>
      </c>
      <c r="D55" s="477"/>
      <c r="E55" s="477"/>
    </row>
    <row r="56" spans="1:10" x14ac:dyDescent="0.2">
      <c r="A56" s="477" t="s">
        <v>1773</v>
      </c>
      <c r="B56" s="481">
        <v>2011</v>
      </c>
      <c r="C56" s="477" t="s">
        <v>41</v>
      </c>
      <c r="D56" s="477"/>
      <c r="E56" s="477"/>
    </row>
    <row r="57" spans="1:10" x14ac:dyDescent="0.2">
      <c r="A57" s="477" t="s">
        <v>1773</v>
      </c>
      <c r="B57" s="481">
        <f>166755*2</f>
        <v>333510</v>
      </c>
      <c r="C57" s="477" t="s">
        <v>1784</v>
      </c>
      <c r="D57" s="477"/>
      <c r="E57" s="477"/>
    </row>
    <row r="58" spans="1:10" x14ac:dyDescent="0.2">
      <c r="A58" s="477" t="s">
        <v>1774</v>
      </c>
      <c r="B58" s="477">
        <v>4.3E-3</v>
      </c>
      <c r="C58" s="477" t="s">
        <v>1952</v>
      </c>
      <c r="D58" s="477"/>
      <c r="E58" s="477"/>
    </row>
    <row r="59" spans="1:10" x14ac:dyDescent="0.2">
      <c r="A59" s="477"/>
      <c r="B59" s="477"/>
      <c r="C59" s="477"/>
      <c r="D59" s="477"/>
      <c r="E59" s="477"/>
    </row>
    <row r="61" spans="1:10" ht="19" x14ac:dyDescent="0.25">
      <c r="A61" s="140" t="s">
        <v>1941</v>
      </c>
    </row>
    <row r="62" spans="1:10" ht="17" customHeight="1" x14ac:dyDescent="0.25">
      <c r="A62" s="140"/>
      <c r="G62" s="546">
        <f>1-I62</f>
        <v>0.83299999999999996</v>
      </c>
      <c r="H62" s="547"/>
      <c r="I62" s="548">
        <v>0.16700000000000001</v>
      </c>
      <c r="J62" s="548"/>
    </row>
    <row r="63" spans="1:10" ht="17" customHeight="1" x14ac:dyDescent="0.2">
      <c r="G63" s="547" t="s">
        <v>335</v>
      </c>
      <c r="H63" s="547"/>
      <c r="I63" s="547" t="s">
        <v>382</v>
      </c>
      <c r="J63" s="547"/>
    </row>
    <row r="64" spans="1:10" ht="51" x14ac:dyDescent="0.2">
      <c r="A64" s="29" t="s">
        <v>209</v>
      </c>
      <c r="B64" s="29" t="s">
        <v>208</v>
      </c>
      <c r="C64" s="29" t="s">
        <v>210</v>
      </c>
      <c r="D64" s="29" t="s">
        <v>1804</v>
      </c>
      <c r="E64" s="29" t="s">
        <v>211</v>
      </c>
      <c r="F64" s="29" t="s">
        <v>212</v>
      </c>
      <c r="G64" s="29" t="s">
        <v>211</v>
      </c>
      <c r="H64" s="29" t="s">
        <v>212</v>
      </c>
      <c r="I64" s="29" t="s">
        <v>211</v>
      </c>
      <c r="J64" s="29" t="s">
        <v>212</v>
      </c>
    </row>
    <row r="65" spans="1:14" x14ac:dyDescent="0.2">
      <c r="A65" t="s">
        <v>89</v>
      </c>
      <c r="B65" t="s">
        <v>213</v>
      </c>
      <c r="C65">
        <v>1.1299999999999999</v>
      </c>
      <c r="D65">
        <f>C65/100*$B$51</f>
        <v>6.7799999999999989E-4</v>
      </c>
      <c r="E65" s="13">
        <f>D65*$B$47*$B$53*(1-$B$52)</f>
        <v>1.6746600000000011E-2</v>
      </c>
      <c r="F65" s="13">
        <f>D65*$B$46*$B$53*(1-$B$52)</f>
        <v>2.5764000000000017E-4</v>
      </c>
      <c r="G65" s="13">
        <f>E65*$G$62</f>
        <v>1.3949917800000008E-2</v>
      </c>
      <c r="H65" s="13">
        <f>F65*$G$62</f>
        <v>2.1461412000000013E-4</v>
      </c>
      <c r="I65" s="13">
        <f>E65*$I$62</f>
        <v>2.7966822000000018E-3</v>
      </c>
      <c r="J65" s="13">
        <f>F65*$I$62</f>
        <v>4.302588000000003E-5</v>
      </c>
      <c r="L65" s="46"/>
      <c r="M65" s="46"/>
      <c r="N65" s="46"/>
    </row>
    <row r="66" spans="1:14" x14ac:dyDescent="0.2">
      <c r="A66" t="s">
        <v>87</v>
      </c>
      <c r="B66" t="s">
        <v>214</v>
      </c>
      <c r="C66">
        <v>0.28000000000000003</v>
      </c>
      <c r="D66">
        <f t="shared" ref="D66:D70" si="0">C66/100*$B$51</f>
        <v>1.6800000000000002E-4</v>
      </c>
      <c r="E66" s="13">
        <f t="shared" ref="E66:E70" si="1">D66*$B$47*$B$53*(1-$B$52)</f>
        <v>4.1496000000000033E-3</v>
      </c>
      <c r="F66" s="13">
        <f t="shared" ref="F66:F70" si="2">D66*$B$46*$B$53*(1-$B$52)</f>
        <v>6.3840000000000053E-5</v>
      </c>
      <c r="G66" s="13">
        <f t="shared" ref="G66:G70" si="3">E66*$G$62</f>
        <v>3.4566168000000025E-3</v>
      </c>
      <c r="H66" s="13">
        <f t="shared" ref="H66:H70" si="4">F66*$G$62</f>
        <v>5.3178720000000042E-5</v>
      </c>
      <c r="I66" s="13">
        <f t="shared" ref="I66:I70" si="5">E66*$I$62</f>
        <v>6.929832000000006E-4</v>
      </c>
      <c r="J66" s="13">
        <f t="shared" ref="J66:J70" si="6">F66*$I$62</f>
        <v>1.066128000000001E-5</v>
      </c>
    </row>
    <row r="67" spans="1:14" x14ac:dyDescent="0.2">
      <c r="A67" t="s">
        <v>85</v>
      </c>
      <c r="B67" t="s">
        <v>215</v>
      </c>
      <c r="C67">
        <v>0.15</v>
      </c>
      <c r="D67">
        <f t="shared" si="0"/>
        <v>8.9999999999999992E-5</v>
      </c>
      <c r="E67" s="13">
        <f t="shared" si="1"/>
        <v>2.2230000000000015E-3</v>
      </c>
      <c r="F67" s="13">
        <f t="shared" si="2"/>
        <v>3.4200000000000025E-5</v>
      </c>
      <c r="G67" s="13">
        <f t="shared" si="3"/>
        <v>1.8517590000000012E-3</v>
      </c>
      <c r="H67" s="13">
        <f t="shared" si="4"/>
        <v>2.8488600000000021E-5</v>
      </c>
      <c r="I67" s="13">
        <f t="shared" si="5"/>
        <v>3.7124100000000029E-4</v>
      </c>
      <c r="J67" s="13">
        <f t="shared" si="6"/>
        <v>5.7114000000000043E-6</v>
      </c>
    </row>
    <row r="68" spans="1:14" x14ac:dyDescent="0.2">
      <c r="A68" s="16">
        <v>365</v>
      </c>
      <c r="B68" t="s">
        <v>236</v>
      </c>
      <c r="C68">
        <v>0.08</v>
      </c>
      <c r="D68">
        <f t="shared" si="0"/>
        <v>4.8000000000000001E-5</v>
      </c>
      <c r="E68" s="13">
        <f t="shared" si="1"/>
        <v>1.1856000000000008E-3</v>
      </c>
      <c r="F68" s="13">
        <f t="shared" si="2"/>
        <v>1.8240000000000015E-5</v>
      </c>
      <c r="G68" s="13">
        <f t="shared" si="3"/>
        <v>9.8760480000000071E-4</v>
      </c>
      <c r="H68" s="13">
        <f t="shared" si="4"/>
        <v>1.5193920000000012E-5</v>
      </c>
      <c r="I68" s="13">
        <f t="shared" si="5"/>
        <v>1.9799520000000014E-4</v>
      </c>
      <c r="J68" s="13">
        <f t="shared" si="6"/>
        <v>3.0460800000000028E-6</v>
      </c>
    </row>
    <row r="69" spans="1:14" x14ac:dyDescent="0.2">
      <c r="A69" t="s">
        <v>92</v>
      </c>
      <c r="B69" t="s">
        <v>197</v>
      </c>
      <c r="C69">
        <v>5.0000000000000001E-3</v>
      </c>
      <c r="D69">
        <f t="shared" si="0"/>
        <v>3.0000000000000001E-6</v>
      </c>
      <c r="E69" s="13">
        <f t="shared" si="1"/>
        <v>7.4100000000000053E-5</v>
      </c>
      <c r="F69" s="13">
        <f t="shared" si="2"/>
        <v>1.1400000000000009E-6</v>
      </c>
      <c r="G69" s="13">
        <f t="shared" si="3"/>
        <v>6.1725300000000044E-5</v>
      </c>
      <c r="H69" s="13">
        <f t="shared" si="4"/>
        <v>9.4962000000000074E-7</v>
      </c>
      <c r="I69" s="13">
        <f t="shared" si="5"/>
        <v>1.2374700000000009E-5</v>
      </c>
      <c r="J69" s="13">
        <f t="shared" si="6"/>
        <v>1.9038000000000017E-7</v>
      </c>
    </row>
    <row r="70" spans="1:14" x14ac:dyDescent="0.2">
      <c r="A70" t="s">
        <v>88</v>
      </c>
      <c r="B70" t="s">
        <v>216</v>
      </c>
      <c r="C70">
        <v>4.0000000000000001E-3</v>
      </c>
      <c r="D70">
        <f t="shared" si="0"/>
        <v>2.4000000000000003E-6</v>
      </c>
      <c r="E70" s="13">
        <f t="shared" si="1"/>
        <v>5.9280000000000063E-5</v>
      </c>
      <c r="F70" s="13">
        <f t="shared" si="2"/>
        <v>9.1200000000000086E-7</v>
      </c>
      <c r="G70" s="13">
        <f t="shared" si="3"/>
        <v>4.9380240000000049E-5</v>
      </c>
      <c r="H70" s="13">
        <f t="shared" si="4"/>
        <v>7.5969600000000064E-7</v>
      </c>
      <c r="I70" s="13">
        <f t="shared" si="5"/>
        <v>9.8997600000000104E-6</v>
      </c>
      <c r="J70" s="13">
        <f t="shared" si="6"/>
        <v>1.5230400000000014E-7</v>
      </c>
    </row>
    <row r="73" spans="1:14" ht="19" x14ac:dyDescent="0.25">
      <c r="A73" s="140" t="s">
        <v>1942</v>
      </c>
    </row>
    <row r="74" spans="1:14" ht="17" customHeight="1" x14ac:dyDescent="0.25">
      <c r="A74" s="140"/>
    </row>
    <row r="75" spans="1:14" ht="17" customHeight="1" x14ac:dyDescent="0.2">
      <c r="E75" s="547" t="s">
        <v>46</v>
      </c>
      <c r="F75" s="547"/>
    </row>
    <row r="76" spans="1:14" ht="51" x14ac:dyDescent="0.2">
      <c r="A76" s="29" t="s">
        <v>209</v>
      </c>
      <c r="B76" s="29" t="s">
        <v>208</v>
      </c>
      <c r="C76" s="29" t="s">
        <v>210</v>
      </c>
      <c r="D76" s="29" t="s">
        <v>1804</v>
      </c>
      <c r="E76" s="29" t="s">
        <v>211</v>
      </c>
      <c r="F76" s="29" t="s">
        <v>212</v>
      </c>
    </row>
    <row r="77" spans="1:14" x14ac:dyDescent="0.2">
      <c r="A77" t="s">
        <v>89</v>
      </c>
      <c r="B77" t="s">
        <v>213</v>
      </c>
      <c r="C77">
        <v>1.1299999999999999</v>
      </c>
      <c r="D77">
        <f>C77/100*$B$51</f>
        <v>6.7799999999999989E-4</v>
      </c>
      <c r="E77" s="13">
        <f>D77*$B$47*(1-$B$53)</f>
        <v>1.7628000000000012E-2</v>
      </c>
      <c r="F77" s="13">
        <f>D77*$B$46*(1-$B$53)</f>
        <v>2.712000000000002E-4</v>
      </c>
      <c r="H77" s="13">
        <f>E77+E65</f>
        <v>3.4374600000000019E-2</v>
      </c>
      <c r="I77" s="13">
        <f>F77+F65</f>
        <v>5.2884000000000036E-4</v>
      </c>
      <c r="L77" s="46"/>
      <c r="M77" s="46"/>
      <c r="N77" s="46"/>
    </row>
    <row r="78" spans="1:14" x14ac:dyDescent="0.2">
      <c r="A78" t="s">
        <v>87</v>
      </c>
      <c r="B78" t="s">
        <v>214</v>
      </c>
      <c r="C78">
        <v>0.28000000000000003</v>
      </c>
      <c r="D78">
        <f t="shared" ref="D78:D82" si="7">C78/100*$B$51</f>
        <v>1.6800000000000002E-4</v>
      </c>
      <c r="E78" s="13">
        <f t="shared" ref="E78:E82" si="8">D78*$B$47*(1-$B$53)</f>
        <v>4.3680000000000038E-3</v>
      </c>
      <c r="F78" s="13">
        <f t="shared" ref="F78:F82" si="9">D78*$B$46*(1-$B$53)</f>
        <v>6.7200000000000061E-5</v>
      </c>
    </row>
    <row r="79" spans="1:14" x14ac:dyDescent="0.2">
      <c r="A79" t="s">
        <v>85</v>
      </c>
      <c r="B79" t="s">
        <v>215</v>
      </c>
      <c r="C79">
        <v>0.15</v>
      </c>
      <c r="D79">
        <f t="shared" si="7"/>
        <v>8.9999999999999992E-5</v>
      </c>
      <c r="E79" s="13">
        <f t="shared" si="8"/>
        <v>2.3400000000000018E-3</v>
      </c>
      <c r="F79" s="13">
        <f t="shared" si="9"/>
        <v>3.6000000000000028E-5</v>
      </c>
    </row>
    <row r="80" spans="1:14" x14ac:dyDescent="0.2">
      <c r="A80" s="16">
        <v>365</v>
      </c>
      <c r="B80" t="s">
        <v>236</v>
      </c>
      <c r="C80">
        <v>0.08</v>
      </c>
      <c r="D80">
        <f t="shared" si="7"/>
        <v>4.8000000000000001E-5</v>
      </c>
      <c r="E80" s="13">
        <f t="shared" si="8"/>
        <v>1.2480000000000011E-3</v>
      </c>
      <c r="F80" s="13">
        <f t="shared" si="9"/>
        <v>1.9200000000000016E-5</v>
      </c>
    </row>
    <row r="81" spans="1:12" x14ac:dyDescent="0.2">
      <c r="A81" t="s">
        <v>92</v>
      </c>
      <c r="B81" t="s">
        <v>197</v>
      </c>
      <c r="C81">
        <v>5.0000000000000001E-3</v>
      </c>
      <c r="D81">
        <f t="shared" si="7"/>
        <v>3.0000000000000001E-6</v>
      </c>
      <c r="E81" s="13">
        <f t="shared" si="8"/>
        <v>7.8000000000000066E-5</v>
      </c>
      <c r="F81" s="13">
        <f t="shared" si="9"/>
        <v>1.200000000000001E-6</v>
      </c>
    </row>
    <row r="82" spans="1:12" x14ac:dyDescent="0.2">
      <c r="A82" t="s">
        <v>88</v>
      </c>
      <c r="B82" t="s">
        <v>216</v>
      </c>
      <c r="C82">
        <v>4.0000000000000001E-3</v>
      </c>
      <c r="D82">
        <f t="shared" si="7"/>
        <v>2.4000000000000003E-6</v>
      </c>
      <c r="E82" s="13">
        <f t="shared" si="8"/>
        <v>6.2400000000000067E-5</v>
      </c>
      <c r="F82" s="13">
        <f t="shared" si="9"/>
        <v>9.6000000000000097E-7</v>
      </c>
    </row>
    <row r="88" spans="1:12" x14ac:dyDescent="0.2">
      <c r="F88" s="546">
        <f>1-H88</f>
        <v>0.83299999999999996</v>
      </c>
      <c r="G88" s="547"/>
      <c r="H88" s="548">
        <v>0.16700000000000001</v>
      </c>
      <c r="I88" s="548"/>
    </row>
    <row r="89" spans="1:12" ht="19" x14ac:dyDescent="0.25">
      <c r="A89" s="140" t="s">
        <v>1944</v>
      </c>
      <c r="F89" s="547" t="s">
        <v>335</v>
      </c>
      <c r="G89" s="547"/>
      <c r="H89" s="547" t="s">
        <v>382</v>
      </c>
      <c r="I89" s="547"/>
    </row>
    <row r="90" spans="1:12" ht="51" x14ac:dyDescent="0.2">
      <c r="A90" s="29" t="s">
        <v>209</v>
      </c>
      <c r="B90" s="29" t="s">
        <v>208</v>
      </c>
      <c r="C90" s="29" t="s">
        <v>1805</v>
      </c>
      <c r="D90" s="29" t="s">
        <v>211</v>
      </c>
      <c r="E90" s="29" t="s">
        <v>212</v>
      </c>
      <c r="F90" s="29" t="s">
        <v>211</v>
      </c>
      <c r="G90" s="29" t="s">
        <v>212</v>
      </c>
      <c r="H90" s="29" t="s">
        <v>211</v>
      </c>
      <c r="I90" s="29" t="s">
        <v>212</v>
      </c>
    </row>
    <row r="91" spans="1:12" x14ac:dyDescent="0.2">
      <c r="A91" t="s">
        <v>100</v>
      </c>
      <c r="B91" t="s">
        <v>15</v>
      </c>
      <c r="C91">
        <v>8.0000000000000002E-3</v>
      </c>
      <c r="D91" s="13">
        <f>C91*$B$49/1000000*$B$53</f>
        <v>1.1855999999999999E-4</v>
      </c>
      <c r="E91" s="13">
        <f>C91*$B$50/1000000*$B$53</f>
        <v>1.8239999999999998E-6</v>
      </c>
      <c r="F91" s="13">
        <f>D91*$F$88</f>
        <v>9.8760479999999989E-5</v>
      </c>
      <c r="G91" s="13">
        <f>E91*$F$88</f>
        <v>1.5193919999999998E-6</v>
      </c>
      <c r="H91" s="13">
        <f>D91*$H$88</f>
        <v>1.979952E-5</v>
      </c>
      <c r="I91" s="13">
        <f>E91*$H$88</f>
        <v>3.0460799999999997E-7</v>
      </c>
      <c r="L91" s="13"/>
    </row>
    <row r="92" spans="1:12" x14ac:dyDescent="0.2">
      <c r="A92" t="s">
        <v>105</v>
      </c>
      <c r="B92" t="s">
        <v>17</v>
      </c>
      <c r="C92">
        <v>1.7000000000000001E-2</v>
      </c>
      <c r="D92" s="13">
        <f t="shared" ref="D92:D117" si="10">C92*$B$49/1000000*$B$53</f>
        <v>2.5194000000000003E-4</v>
      </c>
      <c r="E92" s="13">
        <f t="shared" ref="E92:E117" si="11">C92*$B$50/1000000*$B$53</f>
        <v>3.8759999999999998E-6</v>
      </c>
      <c r="F92" s="13">
        <f t="shared" ref="F92:F117" si="12">D92*$F$88</f>
        <v>2.0986602000000001E-4</v>
      </c>
      <c r="G92" s="13">
        <f t="shared" ref="G92:G117" si="13">E92*$F$88</f>
        <v>3.2287079999999999E-6</v>
      </c>
      <c r="H92" s="13">
        <f t="shared" ref="H92:H117" si="14">D92*$H$88</f>
        <v>4.2073980000000009E-5</v>
      </c>
      <c r="I92" s="13">
        <f t="shared" ref="I92:I117" si="15">E92*$H$88</f>
        <v>6.4729200000000002E-7</v>
      </c>
      <c r="L92" s="13"/>
    </row>
    <row r="93" spans="1:12" x14ac:dyDescent="0.2">
      <c r="A93" s="515">
        <v>401</v>
      </c>
      <c r="B93" t="s">
        <v>232</v>
      </c>
      <c r="C93">
        <v>1E-4</v>
      </c>
      <c r="D93" s="13">
        <f t="shared" si="10"/>
        <v>1.482E-6</v>
      </c>
      <c r="E93" s="13">
        <f t="shared" si="11"/>
        <v>2.2799999999999999E-8</v>
      </c>
      <c r="F93" s="13">
        <f t="shared" si="12"/>
        <v>1.234506E-6</v>
      </c>
      <c r="G93" s="13">
        <f t="shared" si="13"/>
        <v>1.8992399999999997E-8</v>
      </c>
      <c r="H93" s="13">
        <f t="shared" si="14"/>
        <v>2.4749400000000001E-7</v>
      </c>
      <c r="I93" s="13">
        <f t="shared" si="15"/>
        <v>3.8076E-9</v>
      </c>
      <c r="L93" s="13"/>
    </row>
    <row r="94" spans="1:12" x14ac:dyDescent="0.2">
      <c r="A94" t="s">
        <v>192</v>
      </c>
      <c r="B94" t="s">
        <v>223</v>
      </c>
      <c r="C94">
        <v>1.1999999999999999E-6</v>
      </c>
      <c r="D94" s="13">
        <f t="shared" si="10"/>
        <v>1.7783999999999999E-8</v>
      </c>
      <c r="E94" s="13">
        <f t="shared" si="11"/>
        <v>2.7359999999999997E-10</v>
      </c>
      <c r="F94" s="13">
        <f t="shared" si="12"/>
        <v>1.4814071999999999E-8</v>
      </c>
      <c r="G94" s="13">
        <f t="shared" si="13"/>
        <v>2.2790879999999997E-10</v>
      </c>
      <c r="H94" s="13">
        <f t="shared" si="14"/>
        <v>2.9699280000000001E-9</v>
      </c>
      <c r="I94" s="13">
        <f t="shared" si="15"/>
        <v>4.5691199999999994E-11</v>
      </c>
      <c r="L94" s="13"/>
    </row>
    <row r="95" spans="1:12" x14ac:dyDescent="0.2">
      <c r="A95" t="s">
        <v>107</v>
      </c>
      <c r="B95" t="s">
        <v>19</v>
      </c>
      <c r="C95">
        <v>2.9999999999999997E-4</v>
      </c>
      <c r="D95" s="13">
        <f t="shared" si="10"/>
        <v>4.4460000000000003E-6</v>
      </c>
      <c r="E95" s="13">
        <f t="shared" si="11"/>
        <v>6.839999999999999E-8</v>
      </c>
      <c r="F95" s="13">
        <f t="shared" si="12"/>
        <v>3.7035180000000003E-6</v>
      </c>
      <c r="G95" s="13">
        <f t="shared" si="13"/>
        <v>5.6977199999999992E-8</v>
      </c>
      <c r="H95" s="13">
        <f t="shared" si="14"/>
        <v>7.4248200000000012E-7</v>
      </c>
      <c r="I95" s="13">
        <f t="shared" si="15"/>
        <v>1.1422799999999998E-8</v>
      </c>
      <c r="L95" s="13"/>
    </row>
    <row r="96" spans="1:12" x14ac:dyDescent="0.2">
      <c r="A96" t="s">
        <v>97</v>
      </c>
      <c r="B96" t="s">
        <v>13</v>
      </c>
      <c r="C96">
        <v>4.3E-3</v>
      </c>
      <c r="D96" s="13">
        <f t="shared" si="10"/>
        <v>6.3725999999999993E-5</v>
      </c>
      <c r="E96" s="13">
        <f t="shared" si="11"/>
        <v>9.8039999999999996E-7</v>
      </c>
      <c r="F96" s="13">
        <f t="shared" si="12"/>
        <v>5.3083757999999993E-5</v>
      </c>
      <c r="G96" s="13">
        <f t="shared" si="13"/>
        <v>8.1667319999999993E-7</v>
      </c>
      <c r="H96" s="13">
        <f t="shared" si="14"/>
        <v>1.0642241999999999E-5</v>
      </c>
      <c r="I96" s="13">
        <f t="shared" si="15"/>
        <v>1.6372680000000001E-7</v>
      </c>
      <c r="L96" s="13"/>
    </row>
    <row r="97" spans="1:14" x14ac:dyDescent="0.2">
      <c r="A97" t="s">
        <v>98</v>
      </c>
      <c r="B97" t="s">
        <v>14</v>
      </c>
      <c r="C97">
        <v>2.7000000000000001E-3</v>
      </c>
      <c r="D97" s="13">
        <f t="shared" si="10"/>
        <v>4.0014E-5</v>
      </c>
      <c r="E97" s="13">
        <f t="shared" si="11"/>
        <v>6.1559999999999998E-7</v>
      </c>
      <c r="F97" s="13">
        <f t="shared" si="12"/>
        <v>3.3331662000000001E-5</v>
      </c>
      <c r="G97" s="13">
        <f t="shared" si="13"/>
        <v>5.1279479999999997E-7</v>
      </c>
      <c r="H97" s="13">
        <f t="shared" si="14"/>
        <v>6.6823380000000002E-6</v>
      </c>
      <c r="I97" s="13">
        <f t="shared" si="15"/>
        <v>1.028052E-7</v>
      </c>
      <c r="L97" s="13"/>
      <c r="M97" s="13"/>
      <c r="N97" s="13"/>
    </row>
    <row r="98" spans="1:14" x14ac:dyDescent="0.2">
      <c r="A98" t="s">
        <v>99</v>
      </c>
      <c r="B98" t="s">
        <v>33</v>
      </c>
      <c r="C98">
        <v>18</v>
      </c>
      <c r="D98" s="13">
        <f t="shared" si="10"/>
        <v>0.26676</v>
      </c>
      <c r="E98" s="13">
        <f t="shared" si="11"/>
        <v>4.104E-3</v>
      </c>
      <c r="F98" s="13">
        <f t="shared" si="12"/>
        <v>0.22221107999999998</v>
      </c>
      <c r="G98" s="13">
        <f t="shared" si="13"/>
        <v>3.418632E-3</v>
      </c>
      <c r="H98" s="13">
        <f t="shared" si="14"/>
        <v>4.4548919999999999E-2</v>
      </c>
      <c r="I98" s="13">
        <f t="shared" si="15"/>
        <v>6.85368E-4</v>
      </c>
      <c r="L98" s="13"/>
    </row>
    <row r="99" spans="1:14" x14ac:dyDescent="0.2">
      <c r="A99" t="s">
        <v>83</v>
      </c>
      <c r="B99" t="s">
        <v>221</v>
      </c>
      <c r="C99">
        <v>2.0000000000000001E-4</v>
      </c>
      <c r="D99" s="13">
        <f t="shared" si="10"/>
        <v>2.9639999999999999E-6</v>
      </c>
      <c r="E99" s="13">
        <f t="shared" si="11"/>
        <v>4.5599999999999998E-8</v>
      </c>
      <c r="F99" s="13">
        <f t="shared" si="12"/>
        <v>2.4690119999999999E-6</v>
      </c>
      <c r="G99" s="13">
        <f t="shared" si="13"/>
        <v>3.7984799999999995E-8</v>
      </c>
      <c r="H99" s="13">
        <f t="shared" si="14"/>
        <v>4.9498800000000001E-7</v>
      </c>
      <c r="I99" s="13">
        <f t="shared" si="15"/>
        <v>7.6151999999999999E-9</v>
      </c>
      <c r="L99" s="13"/>
    </row>
    <row r="100" spans="1:14" x14ac:dyDescent="0.2">
      <c r="A100" t="s">
        <v>95</v>
      </c>
      <c r="B100" t="s">
        <v>222</v>
      </c>
      <c r="C100">
        <v>4.4000000000000003E-3</v>
      </c>
      <c r="D100" s="13">
        <f t="shared" si="10"/>
        <v>6.5208000000000003E-5</v>
      </c>
      <c r="E100" s="13">
        <f t="shared" si="11"/>
        <v>1.0032E-6</v>
      </c>
      <c r="F100" s="13">
        <f t="shared" si="12"/>
        <v>5.4318264E-5</v>
      </c>
      <c r="G100" s="13">
        <f t="shared" si="13"/>
        <v>8.3566559999999994E-7</v>
      </c>
      <c r="H100" s="13">
        <f t="shared" si="14"/>
        <v>1.0889736000000002E-5</v>
      </c>
      <c r="I100" s="13">
        <f t="shared" si="15"/>
        <v>1.6753440000000002E-7</v>
      </c>
      <c r="L100" s="13"/>
    </row>
    <row r="101" spans="1:14" x14ac:dyDescent="0.2">
      <c r="A101" t="s">
        <v>93</v>
      </c>
      <c r="B101" t="s">
        <v>224</v>
      </c>
      <c r="C101">
        <v>1.2E-5</v>
      </c>
      <c r="D101" s="13">
        <f t="shared" si="10"/>
        <v>1.7784000000000001E-7</v>
      </c>
      <c r="E101" s="13">
        <f t="shared" si="11"/>
        <v>2.7359999999999997E-9</v>
      </c>
      <c r="F101" s="13">
        <f t="shared" si="12"/>
        <v>1.4814071999999999E-7</v>
      </c>
      <c r="G101" s="13">
        <f t="shared" si="13"/>
        <v>2.2790879999999996E-9</v>
      </c>
      <c r="H101" s="13">
        <f t="shared" si="14"/>
        <v>2.9699280000000003E-8</v>
      </c>
      <c r="I101" s="13">
        <f t="shared" si="15"/>
        <v>4.5691199999999999E-10</v>
      </c>
      <c r="L101" s="13"/>
    </row>
    <row r="102" spans="1:14" x14ac:dyDescent="0.2">
      <c r="A102" t="s">
        <v>84</v>
      </c>
      <c r="B102" t="s">
        <v>225</v>
      </c>
      <c r="C102">
        <v>1.1000000000000001E-3</v>
      </c>
      <c r="D102" s="13">
        <f t="shared" si="10"/>
        <v>1.6302000000000001E-5</v>
      </c>
      <c r="E102" s="13">
        <f t="shared" si="11"/>
        <v>2.508E-7</v>
      </c>
      <c r="F102" s="13">
        <f t="shared" si="12"/>
        <v>1.3579566E-5</v>
      </c>
      <c r="G102" s="13">
        <f t="shared" si="13"/>
        <v>2.0891639999999998E-7</v>
      </c>
      <c r="H102" s="13">
        <f t="shared" si="14"/>
        <v>2.7224340000000005E-6</v>
      </c>
      <c r="I102" s="13">
        <f t="shared" si="15"/>
        <v>4.1883600000000005E-8</v>
      </c>
      <c r="L102" s="13"/>
    </row>
    <row r="103" spans="1:14" x14ac:dyDescent="0.2">
      <c r="A103" t="s">
        <v>85</v>
      </c>
      <c r="B103" t="s">
        <v>215</v>
      </c>
      <c r="C103">
        <v>1.4E-3</v>
      </c>
      <c r="D103" s="13">
        <f t="shared" si="10"/>
        <v>2.0747999999999999E-5</v>
      </c>
      <c r="E103" s="13">
        <f t="shared" si="11"/>
        <v>3.1920000000000005E-7</v>
      </c>
      <c r="F103" s="13">
        <f t="shared" si="12"/>
        <v>1.7283083999999997E-5</v>
      </c>
      <c r="G103" s="13">
        <f t="shared" si="13"/>
        <v>2.6589360000000004E-7</v>
      </c>
      <c r="H103" s="13">
        <f t="shared" si="14"/>
        <v>3.4649160000000001E-6</v>
      </c>
      <c r="I103" s="13">
        <f t="shared" si="15"/>
        <v>5.3306400000000009E-8</v>
      </c>
      <c r="L103" s="13"/>
    </row>
    <row r="104" spans="1:14" x14ac:dyDescent="0.2">
      <c r="A104" t="s">
        <v>86</v>
      </c>
      <c r="B104" t="s">
        <v>227</v>
      </c>
      <c r="C104">
        <v>8.3999999999999995E-5</v>
      </c>
      <c r="D104" s="13">
        <f t="shared" si="10"/>
        <v>1.24488E-6</v>
      </c>
      <c r="E104" s="13">
        <f t="shared" si="11"/>
        <v>1.9151999999999995E-8</v>
      </c>
      <c r="F104" s="13">
        <f t="shared" si="12"/>
        <v>1.0369850399999999E-6</v>
      </c>
      <c r="G104" s="13">
        <f t="shared" si="13"/>
        <v>1.5953615999999995E-8</v>
      </c>
      <c r="H104" s="13">
        <f t="shared" si="14"/>
        <v>2.0789496000000001E-7</v>
      </c>
      <c r="I104" s="13">
        <f t="shared" si="15"/>
        <v>3.1983839999999995E-9</v>
      </c>
      <c r="L104" s="13"/>
    </row>
    <row r="105" spans="1:14" x14ac:dyDescent="0.2">
      <c r="A105" t="s">
        <v>87</v>
      </c>
      <c r="B105" t="s">
        <v>194</v>
      </c>
      <c r="C105">
        <v>8.4999999999999995E-4</v>
      </c>
      <c r="D105" s="13">
        <f t="shared" si="10"/>
        <v>1.2597E-5</v>
      </c>
      <c r="E105" s="13">
        <f t="shared" si="11"/>
        <v>1.9379999999999998E-7</v>
      </c>
      <c r="F105" s="13">
        <f t="shared" si="12"/>
        <v>1.0493300999999999E-5</v>
      </c>
      <c r="G105" s="13">
        <f t="shared" si="13"/>
        <v>1.6143539999999998E-7</v>
      </c>
      <c r="H105" s="13">
        <f t="shared" si="14"/>
        <v>2.103699E-6</v>
      </c>
      <c r="I105" s="13">
        <f t="shared" si="15"/>
        <v>3.2364599999999997E-8</v>
      </c>
      <c r="L105" s="13"/>
    </row>
    <row r="106" spans="1:14" x14ac:dyDescent="0.2">
      <c r="A106" t="s">
        <v>103</v>
      </c>
      <c r="B106" t="s">
        <v>32</v>
      </c>
      <c r="C106">
        <v>9.4999999999999998E-3</v>
      </c>
      <c r="D106" s="13">
        <f t="shared" si="10"/>
        <v>1.4078999999999999E-4</v>
      </c>
      <c r="E106" s="13">
        <f t="shared" si="11"/>
        <v>2.1659999999999997E-6</v>
      </c>
      <c r="F106" s="13">
        <f t="shared" si="12"/>
        <v>1.1727806999999999E-4</v>
      </c>
      <c r="G106" s="13">
        <f t="shared" si="13"/>
        <v>1.8042779999999996E-6</v>
      </c>
      <c r="H106" s="13">
        <f t="shared" si="14"/>
        <v>2.351193E-5</v>
      </c>
      <c r="I106" s="13">
        <f t="shared" si="15"/>
        <v>3.6172199999999999E-7</v>
      </c>
      <c r="L106" s="13"/>
    </row>
    <row r="107" spans="1:14" x14ac:dyDescent="0.2">
      <c r="A107" t="s">
        <v>106</v>
      </c>
      <c r="B107" t="s">
        <v>18</v>
      </c>
      <c r="C107">
        <v>6.3E-3</v>
      </c>
      <c r="D107" s="13">
        <f t="shared" si="10"/>
        <v>9.3366E-5</v>
      </c>
      <c r="E107" s="13">
        <f t="shared" si="11"/>
        <v>1.4363999999999999E-6</v>
      </c>
      <c r="F107" s="13">
        <f t="shared" si="12"/>
        <v>7.7773877999999991E-5</v>
      </c>
      <c r="G107" s="13">
        <f t="shared" si="13"/>
        <v>1.1965211999999999E-6</v>
      </c>
      <c r="H107" s="13">
        <f t="shared" si="14"/>
        <v>1.5592122E-5</v>
      </c>
      <c r="I107" s="13">
        <f t="shared" si="15"/>
        <v>2.3987879999999999E-7</v>
      </c>
      <c r="L107" s="13"/>
    </row>
    <row r="108" spans="1:14" x14ac:dyDescent="0.2">
      <c r="A108" t="s">
        <v>88</v>
      </c>
      <c r="B108" t="s">
        <v>228</v>
      </c>
      <c r="C108">
        <v>5.0000000000000001E-4</v>
      </c>
      <c r="D108" s="13">
        <f t="shared" si="10"/>
        <v>7.4099999999999994E-6</v>
      </c>
      <c r="E108" s="13">
        <f t="shared" si="11"/>
        <v>1.1399999999999999E-7</v>
      </c>
      <c r="F108" s="13">
        <f t="shared" si="12"/>
        <v>6.1725299999999993E-6</v>
      </c>
      <c r="G108" s="13">
        <f t="shared" si="13"/>
        <v>9.4961999999999987E-8</v>
      </c>
      <c r="H108" s="13">
        <f t="shared" si="14"/>
        <v>1.23747E-6</v>
      </c>
      <c r="I108" s="13">
        <f t="shared" si="15"/>
        <v>1.9037999999999998E-8</v>
      </c>
      <c r="L108" s="13"/>
    </row>
    <row r="109" spans="1:14" x14ac:dyDescent="0.2">
      <c r="A109" t="s">
        <v>89</v>
      </c>
      <c r="B109" t="s">
        <v>229</v>
      </c>
      <c r="C109">
        <v>3.8000000000000002E-4</v>
      </c>
      <c r="D109" s="13">
        <f t="shared" si="10"/>
        <v>5.6315999999999996E-6</v>
      </c>
      <c r="E109" s="13">
        <f t="shared" si="11"/>
        <v>8.664E-8</v>
      </c>
      <c r="F109" s="13">
        <f t="shared" si="12"/>
        <v>4.6911227999999996E-6</v>
      </c>
      <c r="G109" s="13">
        <f t="shared" si="13"/>
        <v>7.2171120000000003E-8</v>
      </c>
      <c r="H109" s="13">
        <f t="shared" si="14"/>
        <v>9.4047720000000002E-7</v>
      </c>
      <c r="I109" s="13">
        <f t="shared" si="15"/>
        <v>1.446888E-8</v>
      </c>
      <c r="L109" s="13"/>
    </row>
    <row r="110" spans="1:14" x14ac:dyDescent="0.2">
      <c r="A110" t="s">
        <v>90</v>
      </c>
      <c r="B110" t="s">
        <v>230</v>
      </c>
      <c r="C110">
        <v>2.5999999999999998E-4</v>
      </c>
      <c r="D110" s="13">
        <f t="shared" si="10"/>
        <v>3.8531999999999998E-6</v>
      </c>
      <c r="E110" s="13">
        <f t="shared" si="11"/>
        <v>5.9279999999999999E-8</v>
      </c>
      <c r="F110" s="13">
        <f t="shared" si="12"/>
        <v>3.2097155999999998E-6</v>
      </c>
      <c r="G110" s="13">
        <f t="shared" si="13"/>
        <v>4.938024E-8</v>
      </c>
      <c r="H110" s="13">
        <f t="shared" si="14"/>
        <v>6.4348440000000002E-7</v>
      </c>
      <c r="I110" s="13">
        <f t="shared" si="15"/>
        <v>9.8997600000000006E-9</v>
      </c>
      <c r="L110" s="13"/>
    </row>
    <row r="111" spans="1:14" x14ac:dyDescent="0.2">
      <c r="A111" t="s">
        <v>96</v>
      </c>
      <c r="B111" t="s">
        <v>196</v>
      </c>
      <c r="C111">
        <v>1.65E-3</v>
      </c>
      <c r="D111" s="13">
        <f t="shared" si="10"/>
        <v>2.4452999999999998E-5</v>
      </c>
      <c r="E111" s="13">
        <f t="shared" si="11"/>
        <v>3.7619999999999999E-7</v>
      </c>
      <c r="F111" s="13">
        <f t="shared" si="12"/>
        <v>2.0369348999999996E-5</v>
      </c>
      <c r="G111" s="13">
        <f t="shared" si="13"/>
        <v>3.1337459999999996E-7</v>
      </c>
      <c r="H111" s="13">
        <f t="shared" si="14"/>
        <v>4.0836509999999997E-6</v>
      </c>
      <c r="I111" s="13">
        <f t="shared" si="15"/>
        <v>6.2825400000000004E-8</v>
      </c>
      <c r="L111" s="13"/>
    </row>
    <row r="112" spans="1:14" x14ac:dyDescent="0.2">
      <c r="A112" s="515">
        <v>365</v>
      </c>
      <c r="B112" t="s">
        <v>231</v>
      </c>
      <c r="C112">
        <v>2.0999999999999999E-3</v>
      </c>
      <c r="D112" s="13">
        <f t="shared" si="10"/>
        <v>3.1121999999999998E-5</v>
      </c>
      <c r="E112" s="13">
        <f t="shared" si="11"/>
        <v>4.7879999999999997E-7</v>
      </c>
      <c r="F112" s="13">
        <f t="shared" si="12"/>
        <v>2.5924625999999997E-5</v>
      </c>
      <c r="G112" s="13">
        <f t="shared" si="13"/>
        <v>3.9884039999999996E-7</v>
      </c>
      <c r="H112" s="13">
        <f t="shared" si="14"/>
        <v>5.1973740000000001E-6</v>
      </c>
      <c r="I112" s="13">
        <f t="shared" si="15"/>
        <v>7.9959600000000001E-8</v>
      </c>
      <c r="L112" s="13"/>
    </row>
    <row r="113" spans="1:12" x14ac:dyDescent="0.2">
      <c r="A113" t="s">
        <v>91</v>
      </c>
      <c r="B113" t="s">
        <v>233</v>
      </c>
      <c r="C113">
        <v>2.4000000000000001E-5</v>
      </c>
      <c r="D113" s="13">
        <f t="shared" si="10"/>
        <v>3.5568000000000002E-7</v>
      </c>
      <c r="E113" s="13">
        <f t="shared" si="11"/>
        <v>5.4719999999999993E-9</v>
      </c>
      <c r="F113" s="13">
        <f t="shared" si="12"/>
        <v>2.9628143999999999E-7</v>
      </c>
      <c r="G113" s="13">
        <f t="shared" si="13"/>
        <v>4.5581759999999992E-9</v>
      </c>
      <c r="H113" s="13">
        <f t="shared" si="14"/>
        <v>5.9398560000000007E-8</v>
      </c>
      <c r="I113" s="13">
        <f t="shared" si="15"/>
        <v>9.1382399999999999E-10</v>
      </c>
      <c r="L113" s="13"/>
    </row>
    <row r="114" spans="1:12" x14ac:dyDescent="0.2">
      <c r="A114" t="s">
        <v>109</v>
      </c>
      <c r="B114" t="s">
        <v>21</v>
      </c>
      <c r="C114">
        <v>3.6600000000000001E-2</v>
      </c>
      <c r="D114" s="13">
        <f t="shared" si="10"/>
        <v>5.4241200000000004E-4</v>
      </c>
      <c r="E114" s="13">
        <f t="shared" si="11"/>
        <v>8.3448000000000001E-6</v>
      </c>
      <c r="F114" s="13">
        <f t="shared" si="12"/>
        <v>4.5182919600000003E-4</v>
      </c>
      <c r="G114" s="13">
        <f t="shared" si="13"/>
        <v>6.9512183999999994E-6</v>
      </c>
      <c r="H114" s="13">
        <f t="shared" si="14"/>
        <v>9.0582804000000007E-5</v>
      </c>
      <c r="I114" s="13">
        <f t="shared" si="15"/>
        <v>1.3935816E-6</v>
      </c>
      <c r="L114" s="13"/>
    </row>
    <row r="115" spans="1:12" x14ac:dyDescent="0.2">
      <c r="A115" t="s">
        <v>92</v>
      </c>
      <c r="B115" t="s">
        <v>197</v>
      </c>
      <c r="C115">
        <v>2.3E-3</v>
      </c>
      <c r="D115" s="13">
        <f t="shared" si="10"/>
        <v>3.4085999999999999E-5</v>
      </c>
      <c r="E115" s="13">
        <f t="shared" si="11"/>
        <v>5.2440000000000001E-7</v>
      </c>
      <c r="F115" s="13">
        <f t="shared" si="12"/>
        <v>2.8393637999999996E-5</v>
      </c>
      <c r="G115" s="13">
        <f t="shared" si="13"/>
        <v>4.3682519999999998E-7</v>
      </c>
      <c r="H115" s="13">
        <f t="shared" si="14"/>
        <v>5.6923620000000001E-6</v>
      </c>
      <c r="I115" s="13">
        <f t="shared" si="15"/>
        <v>8.7574800000000004E-8</v>
      </c>
      <c r="L115" s="13"/>
    </row>
    <row r="116" spans="1:12" x14ac:dyDescent="0.2">
      <c r="A116" t="s">
        <v>111</v>
      </c>
      <c r="B116" t="s">
        <v>234</v>
      </c>
      <c r="C116">
        <v>2.7199999999999998E-2</v>
      </c>
      <c r="D116" s="13">
        <f t="shared" si="10"/>
        <v>4.0310399999999999E-4</v>
      </c>
      <c r="E116" s="13">
        <f t="shared" si="11"/>
        <v>6.2015999999999992E-6</v>
      </c>
      <c r="F116" s="13">
        <f t="shared" si="12"/>
        <v>3.3578563199999998E-4</v>
      </c>
      <c r="G116" s="13">
        <f t="shared" si="13"/>
        <v>5.1659327999999995E-6</v>
      </c>
      <c r="H116" s="13">
        <f t="shared" si="14"/>
        <v>6.7318368000000002E-5</v>
      </c>
      <c r="I116" s="13">
        <f t="shared" si="15"/>
        <v>1.0356671999999999E-6</v>
      </c>
      <c r="L116" s="13"/>
    </row>
    <row r="117" spans="1:12" x14ac:dyDescent="0.2">
      <c r="A117" t="s">
        <v>94</v>
      </c>
      <c r="B117" t="s">
        <v>235</v>
      </c>
      <c r="C117">
        <v>2.9000000000000001E-2</v>
      </c>
      <c r="D117" s="13">
        <f t="shared" si="10"/>
        <v>4.2978000000000005E-4</v>
      </c>
      <c r="E117" s="13">
        <f t="shared" si="11"/>
        <v>6.6119999999999995E-6</v>
      </c>
      <c r="F117" s="13">
        <f t="shared" si="12"/>
        <v>3.5800674000000004E-4</v>
      </c>
      <c r="G117" s="13">
        <f t="shared" si="13"/>
        <v>5.5077959999999991E-6</v>
      </c>
      <c r="H117" s="13">
        <f t="shared" si="14"/>
        <v>7.177326000000001E-5</v>
      </c>
      <c r="I117" s="13">
        <f t="shared" si="15"/>
        <v>1.1042040000000001E-6</v>
      </c>
      <c r="L117" s="13"/>
    </row>
    <row r="122" spans="1:12" ht="19" x14ac:dyDescent="0.25">
      <c r="A122" s="140" t="s">
        <v>1943</v>
      </c>
    </row>
    <row r="123" spans="1:12" ht="51" x14ac:dyDescent="0.2">
      <c r="A123" s="29" t="s">
        <v>209</v>
      </c>
      <c r="B123" s="29" t="s">
        <v>208</v>
      </c>
      <c r="C123" s="29" t="s">
        <v>1805</v>
      </c>
      <c r="D123" s="29" t="s">
        <v>211</v>
      </c>
      <c r="E123" s="29" t="s">
        <v>212</v>
      </c>
    </row>
    <row r="124" spans="1:12" x14ac:dyDescent="0.2">
      <c r="A124" t="s">
        <v>100</v>
      </c>
      <c r="B124" t="s">
        <v>15</v>
      </c>
      <c r="C124">
        <v>8.0000000000000002E-3</v>
      </c>
      <c r="D124" s="13">
        <f>C124*$B$49/1000000*(1-$B$53)</f>
        <v>6.2400000000000055E-6</v>
      </c>
      <c r="E124" s="13">
        <f>C124*$B$50/1000000*(1-$B$53)</f>
        <v>9.6000000000000079E-8</v>
      </c>
      <c r="L124" s="13"/>
    </row>
    <row r="125" spans="1:12" x14ac:dyDescent="0.2">
      <c r="A125" t="s">
        <v>105</v>
      </c>
      <c r="B125" t="s">
        <v>17</v>
      </c>
      <c r="C125">
        <v>1.7000000000000001E-2</v>
      </c>
      <c r="D125" s="13">
        <f t="shared" ref="D125:D150" si="16">C125*$B$49/1000000*(1-$B$53)</f>
        <v>1.3260000000000014E-5</v>
      </c>
      <c r="E125" s="13">
        <f t="shared" ref="E125:E150" si="17">C125*$B$50/1000000*(1-$B$53)</f>
        <v>2.0400000000000019E-7</v>
      </c>
      <c r="L125" s="13"/>
    </row>
    <row r="126" spans="1:12" x14ac:dyDescent="0.2">
      <c r="A126" s="515">
        <v>401</v>
      </c>
      <c r="B126" t="s">
        <v>232</v>
      </c>
      <c r="C126">
        <v>1E-4</v>
      </c>
      <c r="D126" s="13">
        <f t="shared" si="16"/>
        <v>7.8000000000000076E-8</v>
      </c>
      <c r="E126" s="13">
        <f t="shared" si="17"/>
        <v>1.200000000000001E-9</v>
      </c>
      <c r="L126" s="13"/>
    </row>
    <row r="127" spans="1:12" x14ac:dyDescent="0.2">
      <c r="A127" t="s">
        <v>192</v>
      </c>
      <c r="B127" t="s">
        <v>223</v>
      </c>
      <c r="C127">
        <v>1.1999999999999999E-6</v>
      </c>
      <c r="D127" s="13">
        <f t="shared" si="16"/>
        <v>9.360000000000009E-10</v>
      </c>
      <c r="E127" s="13">
        <f t="shared" si="17"/>
        <v>1.4400000000000013E-11</v>
      </c>
      <c r="L127" s="13"/>
    </row>
    <row r="128" spans="1:12" x14ac:dyDescent="0.2">
      <c r="A128" t="s">
        <v>107</v>
      </c>
      <c r="B128" t="s">
        <v>19</v>
      </c>
      <c r="C128">
        <v>2.9999999999999997E-4</v>
      </c>
      <c r="D128" s="13">
        <f t="shared" si="16"/>
        <v>2.3400000000000022E-7</v>
      </c>
      <c r="E128" s="13">
        <f t="shared" si="17"/>
        <v>3.6000000000000029E-9</v>
      </c>
      <c r="L128" s="13"/>
    </row>
    <row r="129" spans="1:14" x14ac:dyDescent="0.2">
      <c r="A129" t="s">
        <v>97</v>
      </c>
      <c r="B129" t="s">
        <v>13</v>
      </c>
      <c r="C129">
        <v>4.3E-3</v>
      </c>
      <c r="D129" s="13">
        <f t="shared" si="16"/>
        <v>3.354000000000003E-6</v>
      </c>
      <c r="E129" s="13">
        <f t="shared" si="17"/>
        <v>5.1600000000000045E-8</v>
      </c>
      <c r="L129" s="13"/>
    </row>
    <row r="130" spans="1:14" x14ac:dyDescent="0.2">
      <c r="A130" t="s">
        <v>98</v>
      </c>
      <c r="B130" t="s">
        <v>14</v>
      </c>
      <c r="C130">
        <v>2.7000000000000001E-3</v>
      </c>
      <c r="D130" s="13">
        <f t="shared" si="16"/>
        <v>2.1060000000000019E-6</v>
      </c>
      <c r="E130" s="13">
        <f t="shared" si="17"/>
        <v>3.2400000000000025E-8</v>
      </c>
      <c r="L130" s="13"/>
      <c r="M130" s="13"/>
      <c r="N130" s="13"/>
    </row>
    <row r="131" spans="1:14" x14ac:dyDescent="0.2">
      <c r="A131" t="s">
        <v>99</v>
      </c>
      <c r="B131" t="s">
        <v>33</v>
      </c>
      <c r="C131">
        <v>18</v>
      </c>
      <c r="D131" s="13">
        <f t="shared" si="16"/>
        <v>1.4040000000000013E-2</v>
      </c>
      <c r="E131" s="13">
        <f t="shared" si="17"/>
        <v>2.1600000000000018E-4</v>
      </c>
      <c r="L131" s="13"/>
    </row>
    <row r="132" spans="1:14" x14ac:dyDescent="0.2">
      <c r="A132" t="s">
        <v>83</v>
      </c>
      <c r="B132" t="s">
        <v>221</v>
      </c>
      <c r="C132">
        <v>2.0000000000000001E-4</v>
      </c>
      <c r="D132" s="13">
        <f t="shared" si="16"/>
        <v>1.5600000000000015E-7</v>
      </c>
      <c r="E132" s="13">
        <f t="shared" si="17"/>
        <v>2.4000000000000021E-9</v>
      </c>
      <c r="L132" s="13"/>
    </row>
    <row r="133" spans="1:14" x14ac:dyDescent="0.2">
      <c r="A133" t="s">
        <v>95</v>
      </c>
      <c r="B133" t="s">
        <v>222</v>
      </c>
      <c r="C133">
        <v>4.4000000000000003E-3</v>
      </c>
      <c r="D133" s="13">
        <f t="shared" si="16"/>
        <v>3.4320000000000033E-6</v>
      </c>
      <c r="E133" s="13">
        <f t="shared" si="17"/>
        <v>5.2800000000000056E-8</v>
      </c>
      <c r="L133" s="13"/>
    </row>
    <row r="134" spans="1:14" x14ac:dyDescent="0.2">
      <c r="A134" t="s">
        <v>93</v>
      </c>
      <c r="B134" t="s">
        <v>224</v>
      </c>
      <c r="C134">
        <v>1.2E-5</v>
      </c>
      <c r="D134" s="13">
        <f t="shared" si="16"/>
        <v>9.360000000000009E-9</v>
      </c>
      <c r="E134" s="13">
        <f t="shared" si="17"/>
        <v>1.4400000000000012E-10</v>
      </c>
      <c r="L134" s="13"/>
    </row>
    <row r="135" spans="1:14" x14ac:dyDescent="0.2">
      <c r="A135" t="s">
        <v>84</v>
      </c>
      <c r="B135" t="s">
        <v>225</v>
      </c>
      <c r="C135">
        <v>1.1000000000000001E-3</v>
      </c>
      <c r="D135" s="13">
        <f t="shared" si="16"/>
        <v>8.5800000000000083E-7</v>
      </c>
      <c r="E135" s="13">
        <f t="shared" si="17"/>
        <v>1.3200000000000014E-8</v>
      </c>
      <c r="L135" s="13"/>
    </row>
    <row r="136" spans="1:14" x14ac:dyDescent="0.2">
      <c r="A136" t="s">
        <v>85</v>
      </c>
      <c r="B136" t="s">
        <v>215</v>
      </c>
      <c r="C136">
        <v>1.4E-3</v>
      </c>
      <c r="D136" s="13">
        <f t="shared" si="16"/>
        <v>1.0920000000000009E-6</v>
      </c>
      <c r="E136" s="13">
        <f t="shared" si="17"/>
        <v>1.6800000000000018E-8</v>
      </c>
      <c r="L136" s="13"/>
    </row>
    <row r="137" spans="1:14" x14ac:dyDescent="0.2">
      <c r="A137" t="s">
        <v>86</v>
      </c>
      <c r="B137" t="s">
        <v>227</v>
      </c>
      <c r="C137">
        <v>8.3999999999999995E-5</v>
      </c>
      <c r="D137" s="13">
        <f t="shared" si="16"/>
        <v>6.552000000000006E-8</v>
      </c>
      <c r="E137" s="13">
        <f t="shared" si="17"/>
        <v>1.0080000000000007E-9</v>
      </c>
      <c r="L137" s="13"/>
    </row>
    <row r="138" spans="1:14" x14ac:dyDescent="0.2">
      <c r="A138" t="s">
        <v>87</v>
      </c>
      <c r="B138" t="s">
        <v>194</v>
      </c>
      <c r="C138">
        <v>8.4999999999999995E-4</v>
      </c>
      <c r="D138" s="13">
        <f t="shared" si="16"/>
        <v>6.6300000000000058E-7</v>
      </c>
      <c r="E138" s="13">
        <f t="shared" si="17"/>
        <v>1.0200000000000007E-8</v>
      </c>
      <c r="L138" s="13"/>
    </row>
    <row r="139" spans="1:14" x14ac:dyDescent="0.2">
      <c r="A139" t="s">
        <v>103</v>
      </c>
      <c r="B139" t="s">
        <v>32</v>
      </c>
      <c r="C139">
        <v>9.4999999999999998E-3</v>
      </c>
      <c r="D139" s="13">
        <f t="shared" si="16"/>
        <v>7.4100000000000061E-6</v>
      </c>
      <c r="E139" s="13">
        <f t="shared" si="17"/>
        <v>1.1400000000000009E-7</v>
      </c>
      <c r="L139" s="13"/>
    </row>
    <row r="140" spans="1:14" x14ac:dyDescent="0.2">
      <c r="A140" t="s">
        <v>106</v>
      </c>
      <c r="B140" t="s">
        <v>18</v>
      </c>
      <c r="C140">
        <v>6.3E-3</v>
      </c>
      <c r="D140" s="13">
        <f t="shared" si="16"/>
        <v>4.9140000000000041E-6</v>
      </c>
      <c r="E140" s="13">
        <f t="shared" si="17"/>
        <v>7.5600000000000068E-8</v>
      </c>
      <c r="L140" s="13"/>
    </row>
    <row r="141" spans="1:14" x14ac:dyDescent="0.2">
      <c r="A141" t="s">
        <v>88</v>
      </c>
      <c r="B141" t="s">
        <v>228</v>
      </c>
      <c r="C141">
        <v>5.0000000000000001E-4</v>
      </c>
      <c r="D141" s="13">
        <f t="shared" si="16"/>
        <v>3.9000000000000034E-7</v>
      </c>
      <c r="E141" s="13">
        <f t="shared" si="17"/>
        <v>6.0000000000000049E-9</v>
      </c>
      <c r="L141" s="13"/>
    </row>
    <row r="142" spans="1:14" x14ac:dyDescent="0.2">
      <c r="A142" t="s">
        <v>89</v>
      </c>
      <c r="B142" t="s">
        <v>229</v>
      </c>
      <c r="C142">
        <v>3.8000000000000002E-4</v>
      </c>
      <c r="D142" s="13">
        <f t="shared" si="16"/>
        <v>2.9640000000000025E-7</v>
      </c>
      <c r="E142" s="13">
        <f t="shared" si="17"/>
        <v>4.5600000000000041E-9</v>
      </c>
      <c r="L142" s="13"/>
    </row>
    <row r="143" spans="1:14" x14ac:dyDescent="0.2">
      <c r="A143" t="s">
        <v>90</v>
      </c>
      <c r="B143" t="s">
        <v>230</v>
      </c>
      <c r="C143">
        <v>2.5999999999999998E-4</v>
      </c>
      <c r="D143" s="13">
        <f t="shared" si="16"/>
        <v>2.0280000000000017E-7</v>
      </c>
      <c r="E143" s="13">
        <f t="shared" si="17"/>
        <v>3.1200000000000029E-9</v>
      </c>
      <c r="L143" s="13"/>
    </row>
    <row r="144" spans="1:14" x14ac:dyDescent="0.2">
      <c r="A144" t="s">
        <v>96</v>
      </c>
      <c r="B144" t="s">
        <v>196</v>
      </c>
      <c r="C144">
        <v>1.65E-3</v>
      </c>
      <c r="D144" s="13">
        <f t="shared" si="16"/>
        <v>1.287000000000001E-6</v>
      </c>
      <c r="E144" s="13">
        <f t="shared" si="17"/>
        <v>1.9800000000000018E-8</v>
      </c>
      <c r="L144" s="13"/>
    </row>
    <row r="145" spans="1:14" x14ac:dyDescent="0.2">
      <c r="A145" s="515">
        <v>365</v>
      </c>
      <c r="B145" t="s">
        <v>231</v>
      </c>
      <c r="C145">
        <v>2.0999999999999999E-3</v>
      </c>
      <c r="D145" s="13">
        <f t="shared" si="16"/>
        <v>1.6380000000000013E-6</v>
      </c>
      <c r="E145" s="13">
        <f t="shared" si="17"/>
        <v>2.5200000000000021E-8</v>
      </c>
      <c r="L145" s="13"/>
    </row>
    <row r="146" spans="1:14" x14ac:dyDescent="0.2">
      <c r="A146" t="s">
        <v>91</v>
      </c>
      <c r="B146" t="s">
        <v>233</v>
      </c>
      <c r="C146">
        <v>2.4000000000000001E-5</v>
      </c>
      <c r="D146" s="13">
        <f t="shared" si="16"/>
        <v>1.8720000000000018E-8</v>
      </c>
      <c r="E146" s="13">
        <f t="shared" si="17"/>
        <v>2.8800000000000025E-10</v>
      </c>
      <c r="L146" s="13"/>
    </row>
    <row r="147" spans="1:14" x14ac:dyDescent="0.2">
      <c r="A147" t="s">
        <v>109</v>
      </c>
      <c r="B147" t="s">
        <v>21</v>
      </c>
      <c r="C147">
        <v>3.6600000000000001E-2</v>
      </c>
      <c r="D147" s="13">
        <f t="shared" si="16"/>
        <v>2.8548000000000026E-5</v>
      </c>
      <c r="E147" s="13">
        <f t="shared" si="17"/>
        <v>4.3920000000000044E-7</v>
      </c>
      <c r="L147" s="13"/>
    </row>
    <row r="148" spans="1:14" x14ac:dyDescent="0.2">
      <c r="A148" t="s">
        <v>92</v>
      </c>
      <c r="B148" t="s">
        <v>197</v>
      </c>
      <c r="C148">
        <v>2.3E-3</v>
      </c>
      <c r="D148" s="13">
        <f t="shared" si="16"/>
        <v>1.7940000000000018E-6</v>
      </c>
      <c r="E148" s="13">
        <f t="shared" si="17"/>
        <v>2.7600000000000029E-8</v>
      </c>
      <c r="L148" s="13"/>
    </row>
    <row r="149" spans="1:14" x14ac:dyDescent="0.2">
      <c r="A149" t="s">
        <v>111</v>
      </c>
      <c r="B149" t="s">
        <v>234</v>
      </c>
      <c r="C149">
        <v>2.7199999999999998E-2</v>
      </c>
      <c r="D149" s="13">
        <f t="shared" si="16"/>
        <v>2.1216000000000018E-5</v>
      </c>
      <c r="E149" s="13">
        <f t="shared" si="17"/>
        <v>3.2640000000000022E-7</v>
      </c>
      <c r="L149" s="13"/>
    </row>
    <row r="150" spans="1:14" x14ac:dyDescent="0.2">
      <c r="A150" t="s">
        <v>94</v>
      </c>
      <c r="B150" t="s">
        <v>235</v>
      </c>
      <c r="C150">
        <v>2.9000000000000001E-2</v>
      </c>
      <c r="D150" s="13">
        <f t="shared" si="16"/>
        <v>2.2620000000000024E-5</v>
      </c>
      <c r="E150" s="13">
        <f t="shared" si="17"/>
        <v>3.4800000000000031E-7</v>
      </c>
      <c r="L150" s="13"/>
    </row>
    <row r="159" spans="1:14" ht="19" x14ac:dyDescent="0.25">
      <c r="A159" s="482" t="s">
        <v>1920</v>
      </c>
      <c r="B159" s="477"/>
      <c r="C159" s="477"/>
      <c r="D159" s="477"/>
      <c r="E159" s="477"/>
      <c r="F159" s="477"/>
      <c r="M159" s="13"/>
      <c r="N159" s="13"/>
    </row>
    <row r="160" spans="1:14" x14ac:dyDescent="0.2">
      <c r="A160" s="477"/>
      <c r="B160" s="477"/>
      <c r="C160" s="477"/>
      <c r="D160" s="477"/>
      <c r="E160" s="477"/>
      <c r="F160" s="477"/>
    </row>
    <row r="161" spans="1:9" ht="51" x14ac:dyDescent="0.2">
      <c r="A161" s="483" t="s">
        <v>209</v>
      </c>
      <c r="B161" s="483" t="s">
        <v>208</v>
      </c>
      <c r="C161" s="483" t="s">
        <v>1780</v>
      </c>
      <c r="D161" s="483" t="s">
        <v>1806</v>
      </c>
      <c r="E161" s="483" t="s">
        <v>211</v>
      </c>
      <c r="F161" s="483" t="s">
        <v>212</v>
      </c>
    </row>
    <row r="162" spans="1:9" x14ac:dyDescent="0.2">
      <c r="A162" s="518" t="s">
        <v>82</v>
      </c>
      <c r="B162" s="477" t="s">
        <v>245</v>
      </c>
      <c r="C162" s="477">
        <v>14300</v>
      </c>
      <c r="D162" s="478">
        <f>C162/1000000*$B$58</f>
        <v>6.1489999999999996E-5</v>
      </c>
      <c r="E162" s="478">
        <f>D162*$B$55</f>
        <v>97.400160000000014</v>
      </c>
      <c r="F162" s="478">
        <f>D162*$B$54</f>
        <v>0.50052859999999999</v>
      </c>
      <c r="H162" s="25"/>
      <c r="I162" s="25"/>
    </row>
    <row r="163" spans="1:9" x14ac:dyDescent="0.2">
      <c r="A163" s="518" t="s">
        <v>174</v>
      </c>
      <c r="B163" s="477" t="s">
        <v>246</v>
      </c>
      <c r="C163" s="477">
        <v>17</v>
      </c>
      <c r="D163" s="478">
        <f t="shared" ref="D163:D180" si="18">C163/1000000*$B$58</f>
        <v>7.3099999999999999E-8</v>
      </c>
      <c r="E163" s="478">
        <f t="shared" ref="E163:E180" si="19">D163*$B$55</f>
        <v>0.11579040000000002</v>
      </c>
      <c r="F163" s="478">
        <f t="shared" ref="F163:F180" si="20">D163*$B$54</f>
        <v>5.9503400000000004E-4</v>
      </c>
      <c r="H163" s="25"/>
      <c r="I163" s="25"/>
    </row>
    <row r="164" spans="1:9" x14ac:dyDescent="0.2">
      <c r="A164" s="519" t="s">
        <v>83</v>
      </c>
      <c r="B164" s="477" t="s">
        <v>247</v>
      </c>
      <c r="C164" s="477">
        <v>21.9</v>
      </c>
      <c r="D164" s="478">
        <f t="shared" si="18"/>
        <v>9.4169999999999989E-8</v>
      </c>
      <c r="E164" s="478">
        <f t="shared" si="19"/>
        <v>0.14916528000000001</v>
      </c>
      <c r="F164" s="478">
        <f t="shared" si="20"/>
        <v>7.6654380000000001E-4</v>
      </c>
      <c r="H164" s="25"/>
      <c r="I164" s="25"/>
    </row>
    <row r="165" spans="1:9" x14ac:dyDescent="0.2">
      <c r="A165" s="518" t="s">
        <v>93</v>
      </c>
      <c r="B165" s="477" t="s">
        <v>248</v>
      </c>
      <c r="C165" s="477">
        <v>0</v>
      </c>
      <c r="D165" s="478">
        <f t="shared" si="18"/>
        <v>0</v>
      </c>
      <c r="E165" s="478">
        <f t="shared" si="19"/>
        <v>0</v>
      </c>
      <c r="F165" s="478">
        <f t="shared" si="20"/>
        <v>0</v>
      </c>
      <c r="H165" s="25"/>
      <c r="I165" s="25"/>
    </row>
    <row r="166" spans="1:9" x14ac:dyDescent="0.2">
      <c r="A166" s="518" t="s">
        <v>84</v>
      </c>
      <c r="B166" s="477" t="s">
        <v>253</v>
      </c>
      <c r="C166" s="477">
        <v>15</v>
      </c>
      <c r="D166" s="478">
        <f t="shared" si="18"/>
        <v>6.4500000000000002E-8</v>
      </c>
      <c r="E166" s="478">
        <f t="shared" si="19"/>
        <v>0.10216800000000002</v>
      </c>
      <c r="F166" s="478">
        <f t="shared" si="20"/>
        <v>5.2503000000000011E-4</v>
      </c>
      <c r="H166" s="25"/>
      <c r="I166" s="25"/>
    </row>
    <row r="167" spans="1:9" x14ac:dyDescent="0.2">
      <c r="A167" s="518" t="s">
        <v>85</v>
      </c>
      <c r="B167" s="477" t="s">
        <v>215</v>
      </c>
      <c r="C167" s="477">
        <f>490*0.05</f>
        <v>24.5</v>
      </c>
      <c r="D167" s="478">
        <f t="shared" si="18"/>
        <v>1.0535E-7</v>
      </c>
      <c r="E167" s="478">
        <f t="shared" si="19"/>
        <v>0.16687440000000003</v>
      </c>
      <c r="F167" s="478">
        <f t="shared" si="20"/>
        <v>8.5754900000000009E-4</v>
      </c>
      <c r="H167" s="25"/>
      <c r="I167" s="25"/>
    </row>
    <row r="168" spans="1:9" x14ac:dyDescent="0.2">
      <c r="A168" s="518" t="s">
        <v>86</v>
      </c>
      <c r="B168" s="477" t="s">
        <v>249</v>
      </c>
      <c r="C168" s="477">
        <v>31.3</v>
      </c>
      <c r="D168" s="478">
        <f t="shared" si="18"/>
        <v>1.3459000000000002E-7</v>
      </c>
      <c r="E168" s="478">
        <f t="shared" si="19"/>
        <v>0.21319056000000006</v>
      </c>
      <c r="F168" s="478">
        <f t="shared" si="20"/>
        <v>1.0955626000000002E-3</v>
      </c>
      <c r="H168" s="25"/>
      <c r="I168" s="25"/>
    </row>
    <row r="169" spans="1:9" x14ac:dyDescent="0.2">
      <c r="A169" s="518" t="s">
        <v>87</v>
      </c>
      <c r="B169" s="477" t="s">
        <v>214</v>
      </c>
      <c r="C169" s="477">
        <v>977</v>
      </c>
      <c r="D169" s="478">
        <f t="shared" si="18"/>
        <v>4.2011000000000003E-6</v>
      </c>
      <c r="E169" s="478">
        <f t="shared" si="19"/>
        <v>6.6545424000000013</v>
      </c>
      <c r="F169" s="478">
        <f t="shared" si="20"/>
        <v>3.4196954000000009E-2</v>
      </c>
      <c r="H169" s="25"/>
      <c r="I169" s="25"/>
    </row>
    <row r="170" spans="1:9" x14ac:dyDescent="0.2">
      <c r="A170" s="518" t="s">
        <v>88</v>
      </c>
      <c r="B170" s="477" t="s">
        <v>216</v>
      </c>
      <c r="C170" s="477">
        <v>829</v>
      </c>
      <c r="D170" s="478">
        <f t="shared" si="18"/>
        <v>3.5646999999999999E-6</v>
      </c>
      <c r="E170" s="478">
        <f t="shared" si="19"/>
        <v>5.6464848000000005</v>
      </c>
      <c r="F170" s="478">
        <f t="shared" si="20"/>
        <v>2.9016658000000004E-2</v>
      </c>
      <c r="H170" s="25"/>
      <c r="I170" s="25"/>
    </row>
    <row r="171" spans="1:9" x14ac:dyDescent="0.2">
      <c r="A171" s="518" t="s">
        <v>89</v>
      </c>
      <c r="B171" s="477" t="s">
        <v>213</v>
      </c>
      <c r="C171" s="477">
        <v>3970</v>
      </c>
      <c r="D171" s="478">
        <f t="shared" si="18"/>
        <v>1.7071E-5</v>
      </c>
      <c r="E171" s="478">
        <f t="shared" si="19"/>
        <v>27.040464000000004</v>
      </c>
      <c r="F171" s="478">
        <f t="shared" si="20"/>
        <v>0.13895794</v>
      </c>
      <c r="H171" s="25"/>
      <c r="I171" s="25"/>
    </row>
    <row r="172" spans="1:9" x14ac:dyDescent="0.2">
      <c r="A172" s="518" t="s">
        <v>90</v>
      </c>
      <c r="B172" s="477" t="s">
        <v>250</v>
      </c>
      <c r="C172" s="477">
        <v>1.03</v>
      </c>
      <c r="D172" s="478">
        <f t="shared" si="18"/>
        <v>4.4290000000000003E-9</v>
      </c>
      <c r="E172" s="478">
        <f t="shared" si="19"/>
        <v>7.0155360000000019E-3</v>
      </c>
      <c r="F172" s="478">
        <f t="shared" si="20"/>
        <v>3.6052060000000004E-5</v>
      </c>
      <c r="H172" s="25"/>
      <c r="I172" s="25"/>
    </row>
    <row r="173" spans="1:9" x14ac:dyDescent="0.2">
      <c r="A173" s="519">
        <v>365</v>
      </c>
      <c r="B173" s="477" t="s">
        <v>231</v>
      </c>
      <c r="C173" s="477">
        <v>220</v>
      </c>
      <c r="D173" s="478">
        <f t="shared" si="18"/>
        <v>9.4600000000000003E-7</v>
      </c>
      <c r="E173" s="478">
        <f t="shared" si="19"/>
        <v>1.4984640000000002</v>
      </c>
      <c r="F173" s="478">
        <f t="shared" si="20"/>
        <v>7.7004400000000011E-3</v>
      </c>
      <c r="H173" s="25"/>
      <c r="I173" s="25"/>
    </row>
    <row r="174" spans="1:9" x14ac:dyDescent="0.2">
      <c r="A174" s="518" t="s">
        <v>91</v>
      </c>
      <c r="B174" s="477" t="s">
        <v>251</v>
      </c>
      <c r="C174" s="477">
        <v>0</v>
      </c>
      <c r="D174" s="478">
        <f t="shared" si="18"/>
        <v>0</v>
      </c>
      <c r="E174" s="478">
        <f t="shared" si="19"/>
        <v>0</v>
      </c>
      <c r="F174" s="478">
        <f t="shared" si="20"/>
        <v>0</v>
      </c>
      <c r="H174" s="25"/>
      <c r="I174" s="25"/>
    </row>
    <row r="175" spans="1:9" x14ac:dyDescent="0.2">
      <c r="A175" s="519" t="s">
        <v>193</v>
      </c>
      <c r="B175" s="477" t="s">
        <v>1781</v>
      </c>
      <c r="C175" s="477">
        <v>2.93</v>
      </c>
      <c r="D175" s="478">
        <f t="shared" si="18"/>
        <v>1.2599000000000001E-8</v>
      </c>
      <c r="E175" s="478">
        <f t="shared" si="19"/>
        <v>1.9956816000000006E-2</v>
      </c>
      <c r="F175" s="478">
        <f t="shared" si="20"/>
        <v>1.0255586000000002E-4</v>
      </c>
      <c r="H175" s="25"/>
      <c r="I175" s="25"/>
    </row>
    <row r="176" spans="1:9" x14ac:dyDescent="0.2">
      <c r="A176" s="519" t="s">
        <v>1782</v>
      </c>
      <c r="B176" s="477" t="s">
        <v>1783</v>
      </c>
      <c r="C176" s="477">
        <v>0</v>
      </c>
      <c r="D176" s="478">
        <f t="shared" si="18"/>
        <v>0</v>
      </c>
      <c r="E176" s="478">
        <f t="shared" si="19"/>
        <v>0</v>
      </c>
      <c r="F176" s="478">
        <f t="shared" si="20"/>
        <v>0</v>
      </c>
      <c r="H176" s="25"/>
      <c r="I176" s="25"/>
    </row>
    <row r="177" spans="1:14" x14ac:dyDescent="0.2">
      <c r="A177" s="519">
        <v>504</v>
      </c>
      <c r="B177" s="477" t="s">
        <v>254</v>
      </c>
      <c r="C177" s="477">
        <v>0</v>
      </c>
      <c r="D177" s="478">
        <f t="shared" si="18"/>
        <v>0</v>
      </c>
      <c r="E177" s="478">
        <f t="shared" si="19"/>
        <v>0</v>
      </c>
      <c r="F177" s="478">
        <f t="shared" si="20"/>
        <v>0</v>
      </c>
      <c r="H177" s="25"/>
      <c r="I177" s="25"/>
    </row>
    <row r="178" spans="1:14" x14ac:dyDescent="0.2">
      <c r="A178" s="518" t="s">
        <v>92</v>
      </c>
      <c r="B178" s="477" t="s">
        <v>197</v>
      </c>
      <c r="C178" s="477">
        <v>84.8</v>
      </c>
      <c r="D178" s="478">
        <f t="shared" si="18"/>
        <v>3.6464000000000001E-7</v>
      </c>
      <c r="E178" s="478">
        <f t="shared" si="19"/>
        <v>0.57758976000000006</v>
      </c>
      <c r="F178" s="478">
        <f t="shared" si="20"/>
        <v>2.9681696000000003E-3</v>
      </c>
      <c r="H178" s="25"/>
      <c r="I178" s="25"/>
    </row>
    <row r="179" spans="1:14" x14ac:dyDescent="0.2">
      <c r="A179" s="518" t="s">
        <v>94</v>
      </c>
      <c r="B179" s="477" t="s">
        <v>252</v>
      </c>
      <c r="C179" s="477">
        <v>15300</v>
      </c>
      <c r="D179" s="478">
        <f t="shared" si="18"/>
        <v>6.5789999999999992E-5</v>
      </c>
      <c r="E179" s="478">
        <f t="shared" si="19"/>
        <v>104.21136</v>
      </c>
      <c r="F179" s="478">
        <f t="shared" si="20"/>
        <v>0.53553059999999997</v>
      </c>
      <c r="H179" s="25"/>
      <c r="I179" s="25"/>
    </row>
    <row r="180" spans="1:14" x14ac:dyDescent="0.2">
      <c r="A180" s="518" t="s">
        <v>95</v>
      </c>
      <c r="B180" s="477" t="s">
        <v>222</v>
      </c>
      <c r="C180" s="477">
        <v>560</v>
      </c>
      <c r="D180" s="478">
        <f t="shared" si="18"/>
        <v>2.4079999999999996E-6</v>
      </c>
      <c r="E180" s="478">
        <f t="shared" si="19"/>
        <v>3.8142719999999999</v>
      </c>
      <c r="F180" s="478">
        <f t="shared" si="20"/>
        <v>1.960112E-2</v>
      </c>
      <c r="H180" s="25"/>
      <c r="I180" s="25"/>
    </row>
    <row r="181" spans="1:14" x14ac:dyDescent="0.2">
      <c r="A181" s="477"/>
      <c r="B181" s="477"/>
      <c r="C181" s="477"/>
      <c r="D181" s="477"/>
      <c r="E181" s="484"/>
      <c r="F181" s="485"/>
    </row>
    <row r="182" spans="1:14" x14ac:dyDescent="0.2">
      <c r="A182" s="477"/>
      <c r="B182" s="477"/>
      <c r="C182" s="477"/>
      <c r="D182" s="477"/>
      <c r="E182" s="477"/>
      <c r="F182" s="477"/>
    </row>
    <row r="183" spans="1:14" ht="19" x14ac:dyDescent="0.25">
      <c r="A183" s="482" t="s">
        <v>1921</v>
      </c>
      <c r="B183" s="477"/>
      <c r="C183" s="477"/>
      <c r="D183" s="477"/>
      <c r="E183" s="477"/>
      <c r="F183" s="477"/>
    </row>
    <row r="184" spans="1:14" x14ac:dyDescent="0.2">
      <c r="A184" s="477"/>
      <c r="B184" s="477"/>
      <c r="C184" s="477"/>
      <c r="D184" s="477"/>
      <c r="E184" s="477"/>
      <c r="F184" s="477"/>
      <c r="M184" s="13"/>
      <c r="N184" s="13"/>
    </row>
    <row r="185" spans="1:14" ht="51" x14ac:dyDescent="0.2">
      <c r="A185" s="517" t="s">
        <v>209</v>
      </c>
      <c r="B185" s="483" t="s">
        <v>208</v>
      </c>
      <c r="C185" s="483" t="s">
        <v>1780</v>
      </c>
      <c r="D185" s="483" t="s">
        <v>1807</v>
      </c>
      <c r="E185" s="483" t="s">
        <v>211</v>
      </c>
      <c r="F185" s="483" t="s">
        <v>212</v>
      </c>
    </row>
    <row r="186" spans="1:14" x14ac:dyDescent="0.2">
      <c r="A186" s="518" t="s">
        <v>82</v>
      </c>
      <c r="B186" s="477" t="s">
        <v>245</v>
      </c>
      <c r="C186" s="477">
        <v>14300</v>
      </c>
      <c r="D186" s="478">
        <f>C186/1000000*$B$58</f>
        <v>6.1489999999999996E-5</v>
      </c>
      <c r="E186" s="478">
        <f>D186*$B$57</f>
        <v>20.507529899999998</v>
      </c>
      <c r="F186" s="478">
        <f>D186*$B$56</f>
        <v>0.12365638999999999</v>
      </c>
      <c r="H186" s="25"/>
      <c r="I186" s="25"/>
    </row>
    <row r="187" spans="1:14" x14ac:dyDescent="0.2">
      <c r="A187" s="518" t="s">
        <v>174</v>
      </c>
      <c r="B187" s="477" t="s">
        <v>246</v>
      </c>
      <c r="C187" s="477">
        <v>17</v>
      </c>
      <c r="D187" s="478">
        <f t="shared" ref="D187:D204" si="21">C187/1000000*$B$58</f>
        <v>7.3099999999999999E-8</v>
      </c>
      <c r="E187" s="478">
        <f t="shared" ref="E187:E204" si="22">D187*$B$57</f>
        <v>2.4379581000000001E-2</v>
      </c>
      <c r="F187" s="478">
        <f t="shared" ref="F187:F204" si="23">D187*$B$56</f>
        <v>1.4700410000000001E-4</v>
      </c>
      <c r="H187" s="25"/>
      <c r="I187" s="25"/>
    </row>
    <row r="188" spans="1:14" x14ac:dyDescent="0.2">
      <c r="A188" s="519" t="s">
        <v>83</v>
      </c>
      <c r="B188" s="477" t="s">
        <v>247</v>
      </c>
      <c r="C188" s="477">
        <v>21.9</v>
      </c>
      <c r="D188" s="478">
        <f t="shared" si="21"/>
        <v>9.4169999999999989E-8</v>
      </c>
      <c r="E188" s="478">
        <f t="shared" si="22"/>
        <v>3.1406636699999997E-2</v>
      </c>
      <c r="F188" s="478">
        <f t="shared" si="23"/>
        <v>1.8937586999999997E-4</v>
      </c>
      <c r="H188" s="25"/>
      <c r="I188" s="25"/>
    </row>
    <row r="189" spans="1:14" x14ac:dyDescent="0.2">
      <c r="A189" s="518" t="s">
        <v>93</v>
      </c>
      <c r="B189" s="477" t="s">
        <v>248</v>
      </c>
      <c r="C189" s="477">
        <v>0</v>
      </c>
      <c r="D189" s="478">
        <f t="shared" si="21"/>
        <v>0</v>
      </c>
      <c r="E189" s="478">
        <f t="shared" si="22"/>
        <v>0</v>
      </c>
      <c r="F189" s="478">
        <f t="shared" si="23"/>
        <v>0</v>
      </c>
      <c r="H189" s="25"/>
      <c r="I189" s="25"/>
    </row>
    <row r="190" spans="1:14" x14ac:dyDescent="0.2">
      <c r="A190" s="518" t="s">
        <v>84</v>
      </c>
      <c r="B190" s="477" t="s">
        <v>253</v>
      </c>
      <c r="C190" s="477">
        <v>15</v>
      </c>
      <c r="D190" s="478">
        <f t="shared" si="21"/>
        <v>6.4500000000000002E-8</v>
      </c>
      <c r="E190" s="478">
        <f t="shared" si="22"/>
        <v>2.1511394999999999E-2</v>
      </c>
      <c r="F190" s="478">
        <f t="shared" si="23"/>
        <v>1.297095E-4</v>
      </c>
      <c r="H190" s="25"/>
      <c r="I190" s="25"/>
    </row>
    <row r="191" spans="1:14" x14ac:dyDescent="0.2">
      <c r="A191" s="518" t="s">
        <v>85</v>
      </c>
      <c r="B191" s="477" t="s">
        <v>215</v>
      </c>
      <c r="C191" s="477">
        <f>490*0.05</f>
        <v>24.5</v>
      </c>
      <c r="D191" s="478">
        <f t="shared" si="21"/>
        <v>1.0535E-7</v>
      </c>
      <c r="E191" s="478">
        <f t="shared" si="22"/>
        <v>3.5135278499999999E-2</v>
      </c>
      <c r="F191" s="478">
        <f t="shared" si="23"/>
        <v>2.1185885000000001E-4</v>
      </c>
      <c r="H191" s="25"/>
      <c r="I191" s="25"/>
    </row>
    <row r="192" spans="1:14" x14ac:dyDescent="0.2">
      <c r="A192" s="518" t="s">
        <v>86</v>
      </c>
      <c r="B192" s="477" t="s">
        <v>249</v>
      </c>
      <c r="C192" s="477">
        <v>31.3</v>
      </c>
      <c r="D192" s="478">
        <f t="shared" si="21"/>
        <v>1.3459000000000002E-7</v>
      </c>
      <c r="E192" s="478">
        <f t="shared" si="22"/>
        <v>4.4887110900000006E-2</v>
      </c>
      <c r="F192" s="478">
        <f t="shared" si="23"/>
        <v>2.7066049000000003E-4</v>
      </c>
      <c r="H192" s="25"/>
      <c r="I192" s="25"/>
    </row>
    <row r="193" spans="1:9" x14ac:dyDescent="0.2">
      <c r="A193" s="518" t="s">
        <v>87</v>
      </c>
      <c r="B193" s="477" t="s">
        <v>214</v>
      </c>
      <c r="C193" s="477">
        <v>977</v>
      </c>
      <c r="D193" s="478">
        <f t="shared" si="21"/>
        <v>4.2011000000000003E-6</v>
      </c>
      <c r="E193" s="478">
        <f t="shared" si="22"/>
        <v>1.4011088610000002</v>
      </c>
      <c r="F193" s="478">
        <f t="shared" si="23"/>
        <v>8.4484121000000002E-3</v>
      </c>
      <c r="H193" s="25"/>
      <c r="I193" s="25"/>
    </row>
    <row r="194" spans="1:9" x14ac:dyDescent="0.2">
      <c r="A194" s="518" t="s">
        <v>88</v>
      </c>
      <c r="B194" s="477" t="s">
        <v>216</v>
      </c>
      <c r="C194" s="477">
        <v>829</v>
      </c>
      <c r="D194" s="478">
        <f t="shared" si="21"/>
        <v>3.5646999999999999E-6</v>
      </c>
      <c r="E194" s="478">
        <f t="shared" si="22"/>
        <v>1.188863097</v>
      </c>
      <c r="F194" s="478">
        <f t="shared" si="23"/>
        <v>7.1686116999999999E-3</v>
      </c>
      <c r="H194" s="25"/>
      <c r="I194" s="25"/>
    </row>
    <row r="195" spans="1:9" x14ac:dyDescent="0.2">
      <c r="A195" s="518" t="s">
        <v>89</v>
      </c>
      <c r="B195" s="477" t="s">
        <v>213</v>
      </c>
      <c r="C195" s="477">
        <v>3970</v>
      </c>
      <c r="D195" s="478">
        <f t="shared" si="21"/>
        <v>1.7071E-5</v>
      </c>
      <c r="E195" s="478">
        <f t="shared" si="22"/>
        <v>5.69334921</v>
      </c>
      <c r="F195" s="478">
        <f t="shared" si="23"/>
        <v>3.4329780999999997E-2</v>
      </c>
      <c r="H195" s="25"/>
      <c r="I195" s="25"/>
    </row>
    <row r="196" spans="1:9" x14ac:dyDescent="0.2">
      <c r="A196" s="518" t="s">
        <v>90</v>
      </c>
      <c r="B196" s="477" t="s">
        <v>250</v>
      </c>
      <c r="C196" s="477">
        <v>1.03</v>
      </c>
      <c r="D196" s="478">
        <f t="shared" si="21"/>
        <v>4.4290000000000003E-9</v>
      </c>
      <c r="E196" s="478">
        <f t="shared" si="22"/>
        <v>1.4771157900000001E-3</v>
      </c>
      <c r="F196" s="478">
        <f t="shared" si="23"/>
        <v>8.9067190000000009E-6</v>
      </c>
      <c r="H196" s="25"/>
      <c r="I196" s="25"/>
    </row>
    <row r="197" spans="1:9" x14ac:dyDescent="0.2">
      <c r="A197" s="519">
        <v>365</v>
      </c>
      <c r="B197" s="477" t="s">
        <v>231</v>
      </c>
      <c r="C197" s="477">
        <v>220</v>
      </c>
      <c r="D197" s="478">
        <f t="shared" si="21"/>
        <v>9.4600000000000003E-7</v>
      </c>
      <c r="E197" s="478">
        <f t="shared" si="22"/>
        <v>0.31550045999999998</v>
      </c>
      <c r="F197" s="478">
        <f t="shared" si="23"/>
        <v>1.9024060000000001E-3</v>
      </c>
      <c r="H197" s="25"/>
      <c r="I197" s="25"/>
    </row>
    <row r="198" spans="1:9" x14ac:dyDescent="0.2">
      <c r="A198" s="518" t="s">
        <v>91</v>
      </c>
      <c r="B198" s="477" t="s">
        <v>251</v>
      </c>
      <c r="C198" s="477">
        <v>0</v>
      </c>
      <c r="D198" s="478">
        <f t="shared" si="21"/>
        <v>0</v>
      </c>
      <c r="E198" s="478">
        <f t="shared" si="22"/>
        <v>0</v>
      </c>
      <c r="F198" s="478">
        <f t="shared" si="23"/>
        <v>0</v>
      </c>
      <c r="H198" s="25"/>
      <c r="I198" s="25"/>
    </row>
    <row r="199" spans="1:9" x14ac:dyDescent="0.2">
      <c r="A199" s="519" t="s">
        <v>193</v>
      </c>
      <c r="B199" s="477" t="s">
        <v>1781</v>
      </c>
      <c r="C199" s="477">
        <v>2.93</v>
      </c>
      <c r="D199" s="478">
        <f t="shared" si="21"/>
        <v>1.2599000000000001E-8</v>
      </c>
      <c r="E199" s="478">
        <f t="shared" si="22"/>
        <v>4.2018924900000003E-3</v>
      </c>
      <c r="F199" s="478">
        <f t="shared" si="23"/>
        <v>2.5336589000000001E-5</v>
      </c>
      <c r="H199" s="25"/>
      <c r="I199" s="25"/>
    </row>
    <row r="200" spans="1:9" x14ac:dyDescent="0.2">
      <c r="A200" s="519" t="s">
        <v>1782</v>
      </c>
      <c r="B200" s="477" t="s">
        <v>1783</v>
      </c>
      <c r="C200" s="477">
        <v>0</v>
      </c>
      <c r="D200" s="478">
        <f t="shared" si="21"/>
        <v>0</v>
      </c>
      <c r="E200" s="478">
        <f t="shared" si="22"/>
        <v>0</v>
      </c>
      <c r="F200" s="478">
        <f t="shared" si="23"/>
        <v>0</v>
      </c>
      <c r="H200" s="25"/>
      <c r="I200" s="25"/>
    </row>
    <row r="201" spans="1:9" x14ac:dyDescent="0.2">
      <c r="A201" s="519">
        <v>504</v>
      </c>
      <c r="B201" s="477" t="s">
        <v>254</v>
      </c>
      <c r="C201" s="477">
        <v>0</v>
      </c>
      <c r="D201" s="478">
        <f t="shared" si="21"/>
        <v>0</v>
      </c>
      <c r="E201" s="478">
        <f t="shared" si="22"/>
        <v>0</v>
      </c>
      <c r="F201" s="478">
        <f t="shared" si="23"/>
        <v>0</v>
      </c>
      <c r="H201" s="25"/>
      <c r="I201" s="25"/>
    </row>
    <row r="202" spans="1:9" x14ac:dyDescent="0.2">
      <c r="A202" s="518" t="s">
        <v>92</v>
      </c>
      <c r="B202" s="477" t="s">
        <v>197</v>
      </c>
      <c r="C202" s="477">
        <v>84.8</v>
      </c>
      <c r="D202" s="478">
        <f t="shared" si="21"/>
        <v>3.6464000000000001E-7</v>
      </c>
      <c r="E202" s="478">
        <f t="shared" si="22"/>
        <v>0.1216110864</v>
      </c>
      <c r="F202" s="478">
        <f t="shared" si="23"/>
        <v>7.3329104000000001E-4</v>
      </c>
      <c r="H202" s="25"/>
      <c r="I202" s="25"/>
    </row>
    <row r="203" spans="1:9" x14ac:dyDescent="0.2">
      <c r="A203" s="518" t="s">
        <v>94</v>
      </c>
      <c r="B203" s="477" t="s">
        <v>252</v>
      </c>
      <c r="C203" s="477">
        <v>15300</v>
      </c>
      <c r="D203" s="478">
        <f t="shared" si="21"/>
        <v>6.5789999999999992E-5</v>
      </c>
      <c r="E203" s="478">
        <f t="shared" si="22"/>
        <v>21.941622899999999</v>
      </c>
      <c r="F203" s="478">
        <f t="shared" si="23"/>
        <v>0.13230368999999997</v>
      </c>
      <c r="H203" s="25"/>
      <c r="I203" s="25"/>
    </row>
    <row r="204" spans="1:9" x14ac:dyDescent="0.2">
      <c r="A204" s="518" t="s">
        <v>95</v>
      </c>
      <c r="B204" s="477" t="s">
        <v>222</v>
      </c>
      <c r="C204" s="477">
        <v>560</v>
      </c>
      <c r="D204" s="478">
        <f t="shared" si="21"/>
        <v>2.4079999999999996E-6</v>
      </c>
      <c r="E204" s="478">
        <f t="shared" si="22"/>
        <v>0.80309207999999987</v>
      </c>
      <c r="F204" s="478">
        <f t="shared" si="23"/>
        <v>4.842487999999999E-3</v>
      </c>
      <c r="H204" s="25"/>
      <c r="I204" s="25"/>
    </row>
    <row r="215" spans="5:6" x14ac:dyDescent="0.2">
      <c r="E215" s="13"/>
      <c r="F215" s="13"/>
    </row>
  </sheetData>
  <sheetProtection algorithmName="SHA-512" hashValue="sDkdVP152A+Dkp4nU3nXXDae1NzeKyZ2+UI/QbSAJPz9r3SaFUk20vMOtPrn0HmczdFC7FCi/vUVXPetKcwuXQ==" saltValue="pCrHCFKPmh+wZKj1yAfUbQ==" spinCount="100000" sheet="1" objects="1" scenarios="1"/>
  <mergeCells count="9">
    <mergeCell ref="G62:H62"/>
    <mergeCell ref="I62:J62"/>
    <mergeCell ref="G63:H63"/>
    <mergeCell ref="I63:J63"/>
    <mergeCell ref="F89:G89"/>
    <mergeCell ref="H89:I89"/>
    <mergeCell ref="E75:F75"/>
    <mergeCell ref="F88:G88"/>
    <mergeCell ref="H88:I88"/>
  </mergeCells>
  <pageMargins left="0.7" right="0.7" top="0.75" bottom="0.75" header="0.3" footer="0.3"/>
  <pageSetup orientation="portrait" horizontalDpi="0" verticalDpi="0"/>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D5FB-E47B-1F49-94A6-68E18E993E22}">
  <sheetPr>
    <tabColor rgb="FF00B0F0"/>
  </sheetPr>
  <dimension ref="A1:H6"/>
  <sheetViews>
    <sheetView workbookViewId="0"/>
  </sheetViews>
  <sheetFormatPr baseColWidth="10" defaultColWidth="8.83203125" defaultRowHeight="15" x14ac:dyDescent="0.2"/>
  <cols>
    <col min="1" max="1" width="14.33203125" style="177" customWidth="1"/>
    <col min="2" max="2" width="20.5" style="261" customWidth="1"/>
    <col min="3" max="3" width="42.83203125" style="261" customWidth="1"/>
    <col min="4" max="4" width="55.5" style="261" customWidth="1"/>
    <col min="5" max="5" width="12.83203125" style="176" customWidth="1"/>
    <col min="6" max="6" width="15.5" style="176" customWidth="1"/>
    <col min="7" max="7" width="12.83203125" style="176" customWidth="1"/>
    <col min="8" max="8" width="23.33203125" style="176" bestFit="1" customWidth="1"/>
    <col min="9" max="16384" width="8.83203125" style="177"/>
  </cols>
  <sheetData>
    <row r="1" spans="1:8" ht="19" x14ac:dyDescent="0.25">
      <c r="A1" s="236" t="s">
        <v>657</v>
      </c>
    </row>
    <row r="2" spans="1:8" ht="19" x14ac:dyDescent="0.25">
      <c r="B2" s="236"/>
    </row>
    <row r="3" spans="1:8" s="271" customFormat="1" ht="17.5" customHeight="1" x14ac:dyDescent="0.25">
      <c r="A3" s="596" t="s">
        <v>573</v>
      </c>
      <c r="B3" s="272" t="s">
        <v>44</v>
      </c>
      <c r="C3" s="596" t="s">
        <v>572</v>
      </c>
      <c r="D3" s="596" t="s">
        <v>22</v>
      </c>
      <c r="E3" s="599" t="s">
        <v>571</v>
      </c>
      <c r="F3" s="599"/>
      <c r="G3" s="599" t="s">
        <v>570</v>
      </c>
      <c r="H3" s="599"/>
    </row>
    <row r="4" spans="1:8" s="271" customFormat="1" ht="22.5" customHeight="1" x14ac:dyDescent="0.25">
      <c r="A4" s="596"/>
      <c r="B4" s="288" t="s">
        <v>598</v>
      </c>
      <c r="C4" s="596"/>
      <c r="D4" s="596"/>
      <c r="E4" s="272" t="s">
        <v>569</v>
      </c>
      <c r="F4" s="272" t="s">
        <v>568</v>
      </c>
      <c r="G4" s="272" t="s">
        <v>569</v>
      </c>
      <c r="H4" s="272" t="s">
        <v>568</v>
      </c>
    </row>
    <row r="5" spans="1:8" ht="32" x14ac:dyDescent="0.2">
      <c r="A5" s="251" t="s">
        <v>567</v>
      </c>
      <c r="B5" s="269" t="s">
        <v>655</v>
      </c>
      <c r="C5" s="287" t="s">
        <v>654</v>
      </c>
      <c r="D5" s="282" t="s">
        <v>656</v>
      </c>
      <c r="E5" s="252">
        <v>2500</v>
      </c>
      <c r="F5" s="252" t="s">
        <v>652</v>
      </c>
      <c r="G5" s="286">
        <f>E5/(1000000*454*1.10231)</f>
        <v>4.9955166237405259E-6</v>
      </c>
      <c r="H5" s="252" t="s">
        <v>619</v>
      </c>
    </row>
    <row r="6" spans="1:8" ht="32" x14ac:dyDescent="0.2">
      <c r="A6" s="251" t="s">
        <v>567</v>
      </c>
      <c r="B6" s="269" t="s">
        <v>655</v>
      </c>
      <c r="C6" s="287" t="s">
        <v>654</v>
      </c>
      <c r="D6" s="282" t="s">
        <v>653</v>
      </c>
      <c r="E6" s="252">
        <v>2500</v>
      </c>
      <c r="F6" s="252" t="s">
        <v>652</v>
      </c>
      <c r="G6" s="286">
        <f>E6/(1000000*454*1.10231)</f>
        <v>4.9955166237405259E-6</v>
      </c>
      <c r="H6" s="252" t="s">
        <v>619</v>
      </c>
    </row>
  </sheetData>
  <sheetProtection algorithmName="SHA-512" hashValue="taFoKrvFk3eEALdVEEkx0AKT4XuUiMMLV+Kzy6Bj6pCY2DmOUfrEvAnbbVUMaWU2SPLHkY3AXomR/e4vSa6hfw==" saltValue="oVV63+hGuP7IGJxzl0iZmg==" spinCount="100000" sheet="1" objects="1" scenarios="1"/>
  <mergeCells count="5">
    <mergeCell ref="A3:A4"/>
    <mergeCell ref="G3:H3"/>
    <mergeCell ref="C3:C4"/>
    <mergeCell ref="D3:D4"/>
    <mergeCell ref="E3:F3"/>
  </mergeCells>
  <pageMargins left="0.7" right="0.7" top="0.75" bottom="0.75" header="0.3" footer="0.3"/>
  <pageSetup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AC228-161C-3649-BE00-F1D19F37E81A}">
  <sheetPr>
    <tabColor rgb="FF00B0F0"/>
  </sheetPr>
  <dimension ref="A1:H7"/>
  <sheetViews>
    <sheetView workbookViewId="0"/>
  </sheetViews>
  <sheetFormatPr baseColWidth="10" defaultColWidth="8.83203125" defaultRowHeight="15" x14ac:dyDescent="0.2"/>
  <cols>
    <col min="1" max="1" width="12.5" style="177" customWidth="1"/>
    <col min="2" max="2" width="14.5" style="177" customWidth="1"/>
    <col min="3" max="3" width="27.83203125" style="177" customWidth="1"/>
    <col min="4" max="4" width="52.6640625" style="177" customWidth="1"/>
    <col min="5" max="5" width="16.83203125" style="177" customWidth="1"/>
    <col min="6" max="6" width="23.5" style="177" customWidth="1"/>
    <col min="7" max="7" width="15.83203125" style="177" customWidth="1"/>
    <col min="8" max="8" width="19.33203125" style="177" customWidth="1"/>
    <col min="9" max="16384" width="8.83203125" style="177"/>
  </cols>
  <sheetData>
    <row r="1" spans="1:8" ht="19" x14ac:dyDescent="0.25">
      <c r="A1" s="236" t="s">
        <v>664</v>
      </c>
      <c r="B1" s="261"/>
      <c r="C1" s="261"/>
      <c r="D1" s="261"/>
      <c r="E1" s="176"/>
      <c r="F1" s="176"/>
      <c r="G1" s="176"/>
      <c r="H1" s="176"/>
    </row>
    <row r="2" spans="1:8" ht="19" x14ac:dyDescent="0.25">
      <c r="B2" s="236"/>
      <c r="C2" s="261"/>
      <c r="D2" s="261"/>
      <c r="E2" s="176"/>
      <c r="F2" s="176"/>
      <c r="G2" s="176"/>
      <c r="H2" s="176"/>
    </row>
    <row r="3" spans="1:8" s="271" customFormat="1" ht="17.5" customHeight="1" x14ac:dyDescent="0.25">
      <c r="A3" s="596" t="s">
        <v>573</v>
      </c>
      <c r="B3" s="272" t="s">
        <v>44</v>
      </c>
      <c r="C3" s="596" t="s">
        <v>572</v>
      </c>
      <c r="D3" s="596" t="s">
        <v>22</v>
      </c>
      <c r="E3" s="599" t="s">
        <v>571</v>
      </c>
      <c r="F3" s="599"/>
      <c r="G3" s="599" t="s">
        <v>570</v>
      </c>
      <c r="H3" s="599"/>
    </row>
    <row r="4" spans="1:8" s="271" customFormat="1" ht="22.5" customHeight="1" x14ac:dyDescent="0.25">
      <c r="A4" s="596"/>
      <c r="B4" s="288" t="s">
        <v>598</v>
      </c>
      <c r="C4" s="596"/>
      <c r="D4" s="596"/>
      <c r="E4" s="272" t="s">
        <v>569</v>
      </c>
      <c r="F4" s="272" t="s">
        <v>568</v>
      </c>
      <c r="G4" s="272" t="s">
        <v>569</v>
      </c>
      <c r="H4" s="272" t="s">
        <v>568</v>
      </c>
    </row>
    <row r="5" spans="1:8" ht="16" x14ac:dyDescent="0.2">
      <c r="A5" s="289" t="s">
        <v>567</v>
      </c>
      <c r="B5" s="269" t="s">
        <v>661</v>
      </c>
      <c r="C5" s="269" t="s">
        <v>663</v>
      </c>
      <c r="D5" s="269" t="s">
        <v>662</v>
      </c>
      <c r="E5" s="256">
        <v>531</v>
      </c>
      <c r="F5" s="256" t="s">
        <v>658</v>
      </c>
      <c r="G5" s="249">
        <f>E5/(1000000*454*1.10231)</f>
        <v>1.0610477308824876E-6</v>
      </c>
      <c r="H5" s="256" t="s">
        <v>619</v>
      </c>
    </row>
    <row r="6" spans="1:8" ht="48" x14ac:dyDescent="0.2">
      <c r="A6" s="289" t="s">
        <v>567</v>
      </c>
      <c r="B6" s="269" t="s">
        <v>661</v>
      </c>
      <c r="C6" s="269" t="s">
        <v>597</v>
      </c>
      <c r="D6" s="269" t="s">
        <v>596</v>
      </c>
      <c r="E6" s="256">
        <v>24</v>
      </c>
      <c r="F6" s="256" t="s">
        <v>658</v>
      </c>
      <c r="G6" s="249">
        <f>E6/(1000000*454*1.10231)</f>
        <v>4.7956959587909052E-8</v>
      </c>
      <c r="H6" s="256" t="s">
        <v>619</v>
      </c>
    </row>
    <row r="7" spans="1:8" ht="16" x14ac:dyDescent="0.2">
      <c r="A7" s="289" t="s">
        <v>567</v>
      </c>
      <c r="B7" s="269" t="s">
        <v>661</v>
      </c>
      <c r="C7" s="269" t="s">
        <v>660</v>
      </c>
      <c r="D7" s="269" t="s">
        <v>659</v>
      </c>
      <c r="E7" s="256">
        <f>AVERAGE(E5:E6)</f>
        <v>277.5</v>
      </c>
      <c r="F7" s="256" t="s">
        <v>658</v>
      </c>
      <c r="G7" s="249">
        <f>AVERAGE(G5:G6)</f>
        <v>5.5450234523519837E-7</v>
      </c>
      <c r="H7" s="256" t="s">
        <v>619</v>
      </c>
    </row>
  </sheetData>
  <sheetProtection algorithmName="SHA-512" hashValue="1SUEmDIPk3Mf3ff7BUjbnGPm+ADcyDeQZXVXrCXMpd9fLkG/0B6/7KrmmowK/d551qu1XWelXlYdeR24SMVY0A==" saltValue="DkNR4yiTYnsnzAvqpwIeIQ==" spinCount="100000" sheet="1" objects="1" scenarios="1"/>
  <mergeCells count="5">
    <mergeCell ref="A3:A4"/>
    <mergeCell ref="C3:C4"/>
    <mergeCell ref="D3:D4"/>
    <mergeCell ref="E3:F3"/>
    <mergeCell ref="G3:H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5EDE-3486-9246-8A0D-7A933248B93B}">
  <sheetPr>
    <tabColor rgb="FF00B0F0"/>
  </sheetPr>
  <dimension ref="A1:P39"/>
  <sheetViews>
    <sheetView zoomScale="150" zoomScaleNormal="150" workbookViewId="0">
      <selection activeCell="F11" sqref="F11"/>
    </sheetView>
  </sheetViews>
  <sheetFormatPr baseColWidth="10" defaultColWidth="8.83203125" defaultRowHeight="15" x14ac:dyDescent="0.2"/>
  <cols>
    <col min="1" max="1" width="18.83203125" style="176" customWidth="1"/>
    <col min="2" max="2" width="10.5" style="176" customWidth="1"/>
    <col min="3" max="3" width="15.5" style="176" customWidth="1"/>
    <col min="4" max="4" width="13.5" style="291" customWidth="1"/>
    <col min="5" max="5" width="27.1640625" style="290" bestFit="1" customWidth="1"/>
    <col min="6" max="6" width="42.5" style="261" customWidth="1"/>
    <col min="7" max="11" width="10" style="177" customWidth="1"/>
    <col min="12" max="16384" width="8.83203125" style="177"/>
  </cols>
  <sheetData>
    <row r="1" spans="1:16" ht="19" x14ac:dyDescent="0.25">
      <c r="A1" s="308" t="s">
        <v>696</v>
      </c>
      <c r="B1" s="307"/>
    </row>
    <row r="2" spans="1:16" ht="17" thickBot="1" x14ac:dyDescent="0.25">
      <c r="A2" s="307"/>
      <c r="B2" s="307"/>
      <c r="J2"/>
      <c r="K2"/>
      <c r="L2"/>
    </row>
    <row r="3" spans="1:16" ht="32" x14ac:dyDescent="0.2">
      <c r="A3" s="306" t="s">
        <v>208</v>
      </c>
      <c r="B3" s="305" t="s">
        <v>695</v>
      </c>
      <c r="C3" s="303" t="s">
        <v>694</v>
      </c>
      <c r="D3" s="304" t="s">
        <v>569</v>
      </c>
      <c r="E3" s="303" t="s">
        <v>568</v>
      </c>
      <c r="F3" s="508" t="s">
        <v>693</v>
      </c>
      <c r="G3" s="509" t="s">
        <v>697</v>
      </c>
      <c r="H3" s="510" t="s">
        <v>698</v>
      </c>
      <c r="I3" s="511" t="s">
        <v>699</v>
      </c>
      <c r="J3" s="509" t="s">
        <v>697</v>
      </c>
      <c r="K3" s="510" t="s">
        <v>698</v>
      </c>
      <c r="L3" s="511" t="s">
        <v>699</v>
      </c>
    </row>
    <row r="4" spans="1:16" ht="17" x14ac:dyDescent="0.2">
      <c r="A4" s="605" t="s">
        <v>692</v>
      </c>
      <c r="B4" s="606"/>
      <c r="C4" s="606"/>
      <c r="D4" s="606"/>
      <c r="E4" s="606"/>
      <c r="F4" s="606"/>
      <c r="G4" s="609" t="s">
        <v>700</v>
      </c>
      <c r="H4" s="601"/>
      <c r="I4" s="602"/>
      <c r="J4" s="600" t="s">
        <v>1922</v>
      </c>
      <c r="K4" s="601"/>
      <c r="L4" s="602"/>
    </row>
    <row r="5" spans="1:16" ht="32" x14ac:dyDescent="0.2">
      <c r="A5" s="302" t="s">
        <v>681</v>
      </c>
      <c r="B5" s="256">
        <v>646</v>
      </c>
      <c r="C5" s="256" t="s">
        <v>579</v>
      </c>
      <c r="D5" s="249">
        <f>'Dioxins Furans'!G5</f>
        <v>1.5799999999999999E-9</v>
      </c>
      <c r="E5" s="301" t="s">
        <v>564</v>
      </c>
      <c r="F5" s="543" t="s">
        <v>691</v>
      </c>
      <c r="G5" s="309">
        <f>D5</f>
        <v>1.5799999999999999E-9</v>
      </c>
      <c r="H5" s="249">
        <f>(D5/0.833)*0.167</f>
        <v>3.1675870348139258E-10</v>
      </c>
      <c r="I5" s="310">
        <f>SUM(G5:H5)*0.1</f>
        <v>1.8967587034813927E-10</v>
      </c>
      <c r="J5" s="309">
        <f>D5</f>
        <v>1.5799999999999999E-9</v>
      </c>
      <c r="K5" s="249">
        <f>(J5/0.833)*0.167</f>
        <v>3.1675870348139258E-10</v>
      </c>
      <c r="L5" s="310">
        <f>SUM(J5:K5)*0.1</f>
        <v>1.8967587034813927E-10</v>
      </c>
      <c r="M5" s="265"/>
      <c r="N5" s="265"/>
      <c r="P5" s="265"/>
    </row>
    <row r="6" spans="1:16" ht="32" x14ac:dyDescent="0.2">
      <c r="A6" s="302" t="s">
        <v>680</v>
      </c>
      <c r="B6" s="256">
        <v>645</v>
      </c>
      <c r="C6" s="256" t="s">
        <v>579</v>
      </c>
      <c r="D6" s="249">
        <f>PCBs!G15</f>
        <v>3.5689469414989441E-10</v>
      </c>
      <c r="E6" s="301" t="s">
        <v>580</v>
      </c>
      <c r="F6" s="270" t="s">
        <v>690</v>
      </c>
      <c r="G6" s="309">
        <f t="shared" ref="G6:G11" si="0">D6</f>
        <v>3.5689469414989441E-10</v>
      </c>
      <c r="H6" s="249">
        <f t="shared" ref="H6:H11" si="1">(D6/0.833)*0.167</f>
        <v>7.1550316834372602E-11</v>
      </c>
      <c r="I6" s="310">
        <f t="shared" ref="I6:I11" si="2">SUM(G6:H6)*0.1</f>
        <v>4.2844501098426704E-11</v>
      </c>
      <c r="J6" s="309">
        <f>G6/0.9</f>
        <v>3.9654966016654933E-10</v>
      </c>
      <c r="K6" s="506">
        <f t="shared" ref="K6:K11" si="3">H6/0.9</f>
        <v>7.9500352038191775E-11</v>
      </c>
      <c r="L6" s="512">
        <f t="shared" ref="L6:L11" si="4">I6/0.9</f>
        <v>4.7605001220474117E-11</v>
      </c>
      <c r="M6" s="265"/>
      <c r="N6" s="265"/>
      <c r="P6" s="265"/>
    </row>
    <row r="7" spans="1:16" ht="17" x14ac:dyDescent="0.2">
      <c r="A7" s="302" t="s">
        <v>689</v>
      </c>
      <c r="B7" s="256">
        <v>401</v>
      </c>
      <c r="C7" s="256" t="s">
        <v>688</v>
      </c>
      <c r="D7" s="249">
        <f>PAHs!H26</f>
        <v>1.9565085358666221E-5</v>
      </c>
      <c r="E7" s="301" t="s">
        <v>600</v>
      </c>
      <c r="F7" s="270" t="s">
        <v>687</v>
      </c>
      <c r="G7" s="309">
        <f t="shared" si="0"/>
        <v>1.9565085358666221E-5</v>
      </c>
      <c r="H7" s="249">
        <f t="shared" si="1"/>
        <v>3.922412070704993E-6</v>
      </c>
      <c r="I7" s="310">
        <f t="shared" si="2"/>
        <v>2.3487497429371215E-6</v>
      </c>
      <c r="J7" s="309">
        <f t="shared" ref="J7:J11" si="5">G7/0.9</f>
        <v>2.1738983731851357E-5</v>
      </c>
      <c r="K7" s="506">
        <f t="shared" si="3"/>
        <v>4.3582356341166588E-6</v>
      </c>
      <c r="L7" s="512">
        <f t="shared" si="4"/>
        <v>2.6097219365968018E-6</v>
      </c>
      <c r="M7" s="265"/>
      <c r="N7" s="265"/>
      <c r="P7" s="265"/>
    </row>
    <row r="8" spans="1:16" ht="16" x14ac:dyDescent="0.2">
      <c r="A8" s="302" t="s">
        <v>19</v>
      </c>
      <c r="B8" s="256" t="s">
        <v>107</v>
      </c>
      <c r="C8" s="256" t="s">
        <v>684</v>
      </c>
      <c r="D8" s="249">
        <f>PAHs!H5</f>
        <v>2.0378195330995837E-3</v>
      </c>
      <c r="E8" s="301" t="s">
        <v>619</v>
      </c>
      <c r="F8" s="270" t="s">
        <v>687</v>
      </c>
      <c r="G8" s="309">
        <f t="shared" si="0"/>
        <v>2.0378195330995837E-3</v>
      </c>
      <c r="H8" s="249">
        <f t="shared" si="1"/>
        <v>4.0854245141372212E-4</v>
      </c>
      <c r="I8" s="310">
        <f t="shared" si="2"/>
        <v>2.4463619845133057E-4</v>
      </c>
      <c r="J8" s="309">
        <f t="shared" si="5"/>
        <v>2.2642439256662043E-3</v>
      </c>
      <c r="K8" s="506">
        <f t="shared" si="3"/>
        <v>4.539360571263579E-4</v>
      </c>
      <c r="L8" s="512">
        <f t="shared" si="4"/>
        <v>2.7181799827925618E-4</v>
      </c>
      <c r="M8" s="265"/>
      <c r="N8" s="265"/>
      <c r="P8" s="265"/>
    </row>
    <row r="9" spans="1:16" ht="16" x14ac:dyDescent="0.2">
      <c r="A9" s="302" t="s">
        <v>223</v>
      </c>
      <c r="B9" s="256" t="s">
        <v>192</v>
      </c>
      <c r="C9" s="256" t="s">
        <v>684</v>
      </c>
      <c r="D9" s="249">
        <f>PAHs!H19</f>
        <v>1.3825207028479526E-6</v>
      </c>
      <c r="E9" s="301" t="s">
        <v>619</v>
      </c>
      <c r="F9" s="270" t="s">
        <v>687</v>
      </c>
      <c r="G9" s="309">
        <f t="shared" si="0"/>
        <v>1.3825207028479526E-6</v>
      </c>
      <c r="H9" s="249">
        <f t="shared" si="1"/>
        <v>2.7716801605715258E-7</v>
      </c>
      <c r="I9" s="310">
        <f t="shared" si="2"/>
        <v>1.6596887189051054E-7</v>
      </c>
      <c r="J9" s="309">
        <f t="shared" si="5"/>
        <v>1.5361341142755028E-6</v>
      </c>
      <c r="K9" s="506">
        <f t="shared" si="3"/>
        <v>3.0796446228572507E-7</v>
      </c>
      <c r="L9" s="512">
        <f t="shared" si="4"/>
        <v>1.8440985765612282E-7</v>
      </c>
      <c r="M9" s="265"/>
      <c r="N9" s="265"/>
      <c r="P9" s="265"/>
    </row>
    <row r="10" spans="1:16" ht="16" x14ac:dyDescent="0.2">
      <c r="A10" s="302" t="s">
        <v>655</v>
      </c>
      <c r="B10" s="256" t="s">
        <v>686</v>
      </c>
      <c r="C10" s="256" t="s">
        <v>684</v>
      </c>
      <c r="D10" s="249">
        <f>Hexachlorobenzene!G6</f>
        <v>4.9955166237405259E-6</v>
      </c>
      <c r="E10" s="301" t="s">
        <v>619</v>
      </c>
      <c r="F10" s="270" t="s">
        <v>685</v>
      </c>
      <c r="G10" s="309">
        <f t="shared" si="0"/>
        <v>4.9955166237405259E-6</v>
      </c>
      <c r="H10" s="249">
        <f t="shared" si="1"/>
        <v>1.0015021322505017E-6</v>
      </c>
      <c r="I10" s="310">
        <f t="shared" si="2"/>
        <v>5.9970187559910278E-7</v>
      </c>
      <c r="J10" s="309">
        <f t="shared" si="5"/>
        <v>5.5505740263783623E-6</v>
      </c>
      <c r="K10" s="506">
        <f t="shared" si="3"/>
        <v>1.1127801469450018E-6</v>
      </c>
      <c r="L10" s="512">
        <f t="shared" si="4"/>
        <v>6.6633541733233636E-7</v>
      </c>
      <c r="M10" s="265"/>
      <c r="N10" s="265"/>
      <c r="P10" s="265"/>
    </row>
    <row r="11" spans="1:16" ht="33" thickBot="1" x14ac:dyDescent="0.25">
      <c r="A11" s="302" t="s">
        <v>661</v>
      </c>
      <c r="B11" s="256">
        <v>447</v>
      </c>
      <c r="C11" s="256" t="s">
        <v>684</v>
      </c>
      <c r="D11" s="249">
        <f>PBDEs!G7</f>
        <v>5.5450234523519837E-7</v>
      </c>
      <c r="E11" s="301" t="s">
        <v>619</v>
      </c>
      <c r="F11" s="270" t="s">
        <v>683</v>
      </c>
      <c r="G11" s="311">
        <f t="shared" si="0"/>
        <v>5.5450234523519837E-7</v>
      </c>
      <c r="H11" s="297">
        <f t="shared" si="1"/>
        <v>1.1116673667980568E-7</v>
      </c>
      <c r="I11" s="312">
        <f t="shared" si="2"/>
        <v>6.6566908191500412E-8</v>
      </c>
      <c r="J11" s="311">
        <f t="shared" si="5"/>
        <v>6.1611371692799819E-7</v>
      </c>
      <c r="K11" s="507">
        <f t="shared" si="3"/>
        <v>1.2351859631089521E-7</v>
      </c>
      <c r="L11" s="513">
        <f t="shared" si="4"/>
        <v>7.3963231323889348E-8</v>
      </c>
      <c r="M11" s="265"/>
      <c r="N11" s="265"/>
      <c r="P11" s="265"/>
    </row>
    <row r="12" spans="1:16" ht="16" x14ac:dyDescent="0.2">
      <c r="A12" s="605" t="s">
        <v>682</v>
      </c>
      <c r="B12" s="606"/>
      <c r="C12" s="606"/>
      <c r="D12" s="606"/>
      <c r="E12" s="606"/>
      <c r="F12" s="607"/>
      <c r="J12"/>
      <c r="K12"/>
      <c r="L12"/>
    </row>
    <row r="13" spans="1:16" ht="16" x14ac:dyDescent="0.2">
      <c r="A13" s="302" t="s">
        <v>681</v>
      </c>
      <c r="B13" s="256">
        <v>646</v>
      </c>
      <c r="C13" s="256" t="s">
        <v>579</v>
      </c>
      <c r="D13" s="249">
        <f>'Dioxins Furans'!G6</f>
        <v>1.0250000000000002E-8</v>
      </c>
      <c r="E13" s="301" t="s">
        <v>558</v>
      </c>
      <c r="F13" s="300" t="s">
        <v>561</v>
      </c>
      <c r="G13" s="177" t="s">
        <v>701</v>
      </c>
    </row>
    <row r="14" spans="1:16" ht="17" thickBot="1" x14ac:dyDescent="0.25">
      <c r="A14" s="299" t="s">
        <v>680</v>
      </c>
      <c r="B14" s="298">
        <v>645</v>
      </c>
      <c r="C14" s="298" t="s">
        <v>579</v>
      </c>
      <c r="D14" s="297">
        <f>PCBs!G16</f>
        <v>1.0250000000000001E-9</v>
      </c>
      <c r="E14" s="296" t="s">
        <v>558</v>
      </c>
      <c r="F14" s="295" t="s">
        <v>561</v>
      </c>
      <c r="G14" s="177" t="s">
        <v>702</v>
      </c>
    </row>
    <row r="16" spans="1:16" x14ac:dyDescent="0.2">
      <c r="A16" s="294" t="s">
        <v>557</v>
      </c>
      <c r="B16" s="237"/>
    </row>
    <row r="17" spans="1:6" ht="17" x14ac:dyDescent="0.2">
      <c r="A17" s="264" t="s">
        <v>679</v>
      </c>
      <c r="B17" s="237"/>
    </row>
    <row r="18" spans="1:6" x14ac:dyDescent="0.2">
      <c r="A18" s="264" t="s">
        <v>678</v>
      </c>
      <c r="B18" s="237"/>
    </row>
    <row r="19" spans="1:6" x14ac:dyDescent="0.2">
      <c r="A19" s="264" t="s">
        <v>677</v>
      </c>
      <c r="B19" s="237"/>
    </row>
    <row r="20" spans="1:6" x14ac:dyDescent="0.2">
      <c r="A20" s="264" t="s">
        <v>553</v>
      </c>
      <c r="B20" s="237"/>
    </row>
    <row r="21" spans="1:6" x14ac:dyDescent="0.2">
      <c r="A21" s="264" t="s">
        <v>576</v>
      </c>
      <c r="B21" s="237"/>
    </row>
    <row r="22" spans="1:6" x14ac:dyDescent="0.2">
      <c r="A22" s="264" t="s">
        <v>676</v>
      </c>
      <c r="B22" s="237"/>
    </row>
    <row r="23" spans="1:6" x14ac:dyDescent="0.2">
      <c r="A23" s="264" t="s">
        <v>675</v>
      </c>
      <c r="B23" s="237"/>
    </row>
    <row r="25" spans="1:6" x14ac:dyDescent="0.2">
      <c r="A25" s="293" t="s">
        <v>674</v>
      </c>
      <c r="B25" s="177"/>
      <c r="F25" s="177"/>
    </row>
    <row r="26" spans="1:6" ht="29.5" customHeight="1" x14ac:dyDescent="0.2">
      <c r="A26" s="604" t="s">
        <v>673</v>
      </c>
      <c r="B26" s="604"/>
      <c r="C26" s="604"/>
      <c r="D26" s="604"/>
      <c r="E26" s="604"/>
      <c r="F26" s="604"/>
    </row>
    <row r="27" spans="1:6" ht="7" customHeight="1" x14ac:dyDescent="0.2">
      <c r="A27" s="276"/>
      <c r="B27" s="276"/>
      <c r="C27" s="276"/>
      <c r="D27" s="276"/>
      <c r="E27" s="276"/>
      <c r="F27" s="276"/>
    </row>
    <row r="28" spans="1:6" ht="29.25" customHeight="1" x14ac:dyDescent="0.2">
      <c r="A28" s="603" t="s">
        <v>672</v>
      </c>
      <c r="B28" s="603"/>
      <c r="C28" s="603"/>
      <c r="D28" s="603"/>
      <c r="E28" s="603"/>
      <c r="F28" s="603"/>
    </row>
    <row r="29" spans="1:6" ht="17.5" customHeight="1" x14ac:dyDescent="0.2">
      <c r="A29" s="292" t="s">
        <v>671</v>
      </c>
      <c r="B29" s="276"/>
      <c r="C29" s="276"/>
      <c r="D29" s="276"/>
      <c r="E29" s="276"/>
      <c r="F29" s="276"/>
    </row>
    <row r="30" spans="1:6" ht="7" customHeight="1" x14ac:dyDescent="0.2">
      <c r="A30" s="261"/>
      <c r="B30" s="261"/>
      <c r="C30" s="261"/>
      <c r="D30" s="261"/>
      <c r="E30" s="261"/>
    </row>
    <row r="31" spans="1:6" ht="13.5" customHeight="1" x14ac:dyDescent="0.2">
      <c r="A31" s="604" t="s">
        <v>670</v>
      </c>
      <c r="B31" s="604"/>
      <c r="C31" s="604"/>
      <c r="D31" s="604"/>
      <c r="E31" s="604"/>
      <c r="F31" s="604"/>
    </row>
    <row r="32" spans="1:6" ht="14.5" customHeight="1" x14ac:dyDescent="0.2">
      <c r="A32" s="292" t="s">
        <v>669</v>
      </c>
      <c r="B32" s="276"/>
      <c r="C32" s="276"/>
      <c r="D32" s="276"/>
      <c r="E32" s="276"/>
      <c r="F32" s="276"/>
    </row>
    <row r="33" spans="1:6" ht="7" customHeight="1" x14ac:dyDescent="0.2">
      <c r="A33" s="276"/>
      <c r="B33" s="276"/>
      <c r="C33" s="276"/>
      <c r="D33" s="276"/>
      <c r="E33" s="276"/>
      <c r="F33" s="276"/>
    </row>
    <row r="34" spans="1:6" ht="29.5" customHeight="1" x14ac:dyDescent="0.2">
      <c r="A34" s="604" t="s">
        <v>668</v>
      </c>
      <c r="B34" s="604"/>
      <c r="C34" s="604"/>
      <c r="D34" s="604"/>
      <c r="E34" s="604"/>
      <c r="F34" s="604"/>
    </row>
    <row r="35" spans="1:6" ht="14" customHeight="1" x14ac:dyDescent="0.2">
      <c r="A35" s="292" t="s">
        <v>667</v>
      </c>
      <c r="B35" s="276"/>
      <c r="C35" s="276"/>
      <c r="D35" s="276"/>
      <c r="E35" s="276"/>
      <c r="F35" s="276"/>
    </row>
    <row r="36" spans="1:6" ht="5.5" customHeight="1" x14ac:dyDescent="0.2">
      <c r="A36" s="276"/>
      <c r="B36" s="276"/>
      <c r="C36" s="276"/>
      <c r="D36" s="276"/>
      <c r="E36" s="276"/>
      <c r="F36" s="276"/>
    </row>
    <row r="37" spans="1:6" ht="28.5" customHeight="1" x14ac:dyDescent="0.2">
      <c r="A37" s="608" t="s">
        <v>666</v>
      </c>
      <c r="B37" s="608"/>
      <c r="C37" s="608"/>
      <c r="D37" s="608"/>
      <c r="E37" s="608"/>
      <c r="F37" s="608"/>
    </row>
    <row r="38" spans="1:6" ht="7" customHeight="1" x14ac:dyDescent="0.2">
      <c r="A38" s="276"/>
      <c r="B38" s="276"/>
      <c r="C38" s="276"/>
      <c r="D38" s="276"/>
      <c r="E38" s="276"/>
      <c r="F38" s="276"/>
    </row>
    <row r="39" spans="1:6" ht="53.25" customHeight="1" x14ac:dyDescent="0.2">
      <c r="A39" s="604" t="s">
        <v>665</v>
      </c>
      <c r="B39" s="604"/>
      <c r="C39" s="604"/>
      <c r="D39" s="604"/>
      <c r="E39" s="604"/>
      <c r="F39" s="604"/>
    </row>
  </sheetData>
  <sheetProtection algorithmName="SHA-512" hashValue="cFGojWQFuWY1cIuAoEv03ua/mLg4bgDvK1f6bHELSTosHedU+6NrGwIv3DPz2YMa3Ud25iUsm2OW4cZ6IdpCAw==" saltValue="vONIohmd3zqLadM5bjKQeg==" spinCount="100000" sheet="1" objects="1" scenarios="1"/>
  <mergeCells count="10">
    <mergeCell ref="J4:L4"/>
    <mergeCell ref="A28:F28"/>
    <mergeCell ref="A34:F34"/>
    <mergeCell ref="A39:F39"/>
    <mergeCell ref="A4:F4"/>
    <mergeCell ref="A12:F12"/>
    <mergeCell ref="A26:F26"/>
    <mergeCell ref="A37:F37"/>
    <mergeCell ref="A31:F31"/>
    <mergeCell ref="G4:I4"/>
  </mergeCells>
  <hyperlinks>
    <hyperlink ref="A32" r:id="rId1" xr:uid="{F6672749-7BB5-9D49-8F6B-D3C05FDEDD11}"/>
    <hyperlink ref="A29" r:id="rId2" xr:uid="{25D754D5-67EF-7D4A-B9BF-49122A18FBEB}"/>
    <hyperlink ref="A35" r:id="rId3" xr:uid="{B3FEE5D6-479A-4846-981B-9C485EB93860}"/>
  </hyperlinks>
  <pageMargins left="0.7" right="0.7" top="0.75" bottom="0.75" header="0.3" footer="0.3"/>
  <pageSetup scale="68" orientation="portrait" r:id="rId4"/>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E1F3-89F6-3F40-9A29-00FAF4C0955A}">
  <sheetPr>
    <tabColor rgb="FF00B0F0"/>
  </sheetPr>
  <dimension ref="B1:T93"/>
  <sheetViews>
    <sheetView workbookViewId="0"/>
  </sheetViews>
  <sheetFormatPr baseColWidth="10" defaultColWidth="8.83203125" defaultRowHeight="15" customHeight="1" x14ac:dyDescent="0.15"/>
  <cols>
    <col min="1" max="1" width="3.1640625" style="314" customWidth="1"/>
    <col min="2" max="2" width="39.33203125" style="314" customWidth="1"/>
    <col min="3" max="3" width="5" style="314" customWidth="1"/>
    <col min="4" max="4" width="19.5" style="314" customWidth="1"/>
    <col min="5" max="5" width="18.1640625" style="314" customWidth="1"/>
    <col min="6" max="6" width="21.1640625" style="314" customWidth="1"/>
    <col min="7" max="7" width="19.83203125" style="314" customWidth="1"/>
    <col min="8" max="8" width="19" style="314" customWidth="1"/>
    <col min="9" max="15" width="17.6640625" style="314" customWidth="1"/>
    <col min="16" max="16" width="15" style="314" customWidth="1"/>
    <col min="17" max="17" width="12.6640625" style="314" customWidth="1"/>
    <col min="18" max="18" width="22.83203125" style="314" customWidth="1"/>
    <col min="19" max="1025" width="9.83203125" style="314" customWidth="1"/>
    <col min="1026" max="16384" width="8.83203125" style="314"/>
  </cols>
  <sheetData>
    <row r="1" spans="2:16" ht="15" customHeight="1" x14ac:dyDescent="0.15">
      <c r="E1" s="315"/>
    </row>
    <row r="2" spans="2:16" ht="15" customHeight="1" thickBot="1" x14ac:dyDescent="0.2">
      <c r="B2" s="617" t="s">
        <v>705</v>
      </c>
      <c r="C2" s="617"/>
      <c r="D2" s="617"/>
      <c r="E2" s="617"/>
      <c r="F2" s="316"/>
      <c r="G2" s="316"/>
      <c r="H2" s="316"/>
      <c r="I2" s="316"/>
      <c r="J2" s="316"/>
      <c r="K2" s="316"/>
      <c r="L2" s="316"/>
    </row>
    <row r="3" spans="2:16" ht="15" customHeight="1" x14ac:dyDescent="0.15">
      <c r="B3" s="618" t="s">
        <v>706</v>
      </c>
      <c r="C3" s="618"/>
    </row>
    <row r="5" spans="2:16" s="317" customFormat="1" ht="15" customHeight="1" x14ac:dyDescent="0.2">
      <c r="B5" s="619" t="s">
        <v>707</v>
      </c>
      <c r="C5" s="619"/>
    </row>
    <row r="6" spans="2:16" s="317" customFormat="1" ht="15" customHeight="1" x14ac:dyDescent="0.2">
      <c r="C6" s="318" t="s">
        <v>708</v>
      </c>
      <c r="D6" s="620" t="s">
        <v>709</v>
      </c>
      <c r="E6" s="620"/>
    </row>
    <row r="7" spans="2:16" s="317" customFormat="1" ht="15" customHeight="1" x14ac:dyDescent="0.2">
      <c r="C7" s="318" t="s">
        <v>710</v>
      </c>
      <c r="D7" s="620" t="s">
        <v>711</v>
      </c>
      <c r="E7" s="620"/>
    </row>
    <row r="8" spans="2:16" s="317" customFormat="1" ht="15" customHeight="1" x14ac:dyDescent="0.2">
      <c r="C8" s="318" t="s">
        <v>712</v>
      </c>
      <c r="D8" s="615" t="s">
        <v>713</v>
      </c>
      <c r="E8" s="616"/>
    </row>
    <row r="9" spans="2:16" s="317" customFormat="1" ht="15" customHeight="1" x14ac:dyDescent="0.2">
      <c r="C9" s="318"/>
      <c r="D9" s="319"/>
      <c r="E9" s="320"/>
    </row>
    <row r="10" spans="2:16" s="317" customFormat="1" ht="15" customHeight="1" x14ac:dyDescent="0.2">
      <c r="B10" s="613" t="s">
        <v>714</v>
      </c>
      <c r="C10" s="613"/>
      <c r="D10" s="321" t="s">
        <v>569</v>
      </c>
      <c r="E10" s="321" t="s">
        <v>568</v>
      </c>
      <c r="F10" s="322" t="s">
        <v>710</v>
      </c>
      <c r="G10" s="323"/>
      <c r="H10" s="323"/>
      <c r="I10" s="322" t="s">
        <v>715</v>
      </c>
      <c r="J10" s="323"/>
      <c r="K10" s="323"/>
      <c r="L10" s="323"/>
    </row>
    <row r="11" spans="2:16" s="317" customFormat="1" ht="15" customHeight="1" x14ac:dyDescent="0.2">
      <c r="C11" s="318" t="s">
        <v>716</v>
      </c>
      <c r="D11" s="324" t="s">
        <v>717</v>
      </c>
      <c r="E11" s="317" t="s">
        <v>718</v>
      </c>
      <c r="F11" s="614" t="s">
        <v>719</v>
      </c>
      <c r="G11" s="614"/>
      <c r="H11" s="614"/>
      <c r="I11" s="614" t="s">
        <v>720</v>
      </c>
      <c r="J11" s="614"/>
      <c r="K11" s="614"/>
      <c r="L11" s="614"/>
    </row>
    <row r="12" spans="2:16" s="317" customFormat="1" ht="15" customHeight="1" x14ac:dyDescent="0.2">
      <c r="C12" s="318" t="s">
        <v>721</v>
      </c>
      <c r="D12" s="324"/>
    </row>
    <row r="13" spans="2:16" s="317" customFormat="1" ht="15" customHeight="1" x14ac:dyDescent="0.2">
      <c r="C13" s="318" t="s">
        <v>722</v>
      </c>
      <c r="D13" s="325" t="s">
        <v>723</v>
      </c>
      <c r="E13" s="326" t="s">
        <v>724</v>
      </c>
      <c r="F13" s="610" t="s">
        <v>725</v>
      </c>
      <c r="G13" s="610"/>
      <c r="H13" s="610"/>
      <c r="I13" s="610" t="s">
        <v>726</v>
      </c>
      <c r="J13" s="610"/>
      <c r="K13" s="610"/>
      <c r="L13" s="610"/>
    </row>
    <row r="14" spans="2:16" s="317" customFormat="1" ht="15" customHeight="1" x14ac:dyDescent="0.2">
      <c r="C14" s="318" t="s">
        <v>727</v>
      </c>
      <c r="D14" s="328">
        <v>10000</v>
      </c>
      <c r="E14" s="317" t="s">
        <v>728</v>
      </c>
      <c r="F14" s="611" t="s">
        <v>729</v>
      </c>
      <c r="G14" s="611"/>
      <c r="H14" s="611"/>
    </row>
    <row r="15" spans="2:16" s="331" customFormat="1" ht="15" customHeight="1" x14ac:dyDescent="0.2">
      <c r="B15" s="317"/>
      <c r="C15" s="318"/>
      <c r="D15" s="329" t="s">
        <v>730</v>
      </c>
      <c r="E15" s="329" t="s">
        <v>731</v>
      </c>
      <c r="F15" s="329" t="s">
        <v>732</v>
      </c>
      <c r="G15" s="329" t="s">
        <v>733</v>
      </c>
      <c r="H15" s="329" t="s">
        <v>734</v>
      </c>
      <c r="I15" s="329" t="s">
        <v>735</v>
      </c>
      <c r="J15" s="329" t="s">
        <v>736</v>
      </c>
      <c r="K15" s="329" t="s">
        <v>737</v>
      </c>
      <c r="L15" s="329" t="s">
        <v>738</v>
      </c>
      <c r="M15" s="329" t="s">
        <v>739</v>
      </c>
      <c r="N15" s="329" t="s">
        <v>740</v>
      </c>
      <c r="O15" s="329" t="s">
        <v>741</v>
      </c>
      <c r="P15" s="330"/>
    </row>
    <row r="16" spans="2:16" s="331" customFormat="1" ht="15" customHeight="1" x14ac:dyDescent="0.2">
      <c r="B16" s="317"/>
      <c r="C16" s="318" t="s">
        <v>742</v>
      </c>
      <c r="D16" s="328">
        <v>6000</v>
      </c>
      <c r="E16" s="328">
        <v>6000</v>
      </c>
      <c r="F16" s="328">
        <v>6000</v>
      </c>
      <c r="G16" s="328">
        <v>6000</v>
      </c>
      <c r="H16" s="328">
        <v>6000</v>
      </c>
      <c r="I16" s="328">
        <v>6000</v>
      </c>
      <c r="J16" s="328">
        <v>6000</v>
      </c>
      <c r="K16" s="328">
        <v>6000</v>
      </c>
      <c r="L16" s="328">
        <v>6000</v>
      </c>
      <c r="M16" s="328">
        <v>6000</v>
      </c>
      <c r="N16" s="328">
        <v>6000</v>
      </c>
      <c r="O16" s="328">
        <v>6000</v>
      </c>
      <c r="P16" s="330"/>
    </row>
    <row r="17" spans="2:20" s="331" customFormat="1" ht="15" customHeight="1" x14ac:dyDescent="0.2">
      <c r="B17" s="317"/>
      <c r="C17" s="318"/>
      <c r="D17" s="332" t="s">
        <v>743</v>
      </c>
      <c r="E17" s="330"/>
      <c r="F17" s="330"/>
      <c r="G17" s="330"/>
      <c r="H17" s="330"/>
      <c r="I17" s="330"/>
      <c r="J17" s="330"/>
      <c r="K17" s="330"/>
      <c r="L17" s="330"/>
      <c r="M17" s="330"/>
      <c r="N17" s="330"/>
      <c r="O17" s="330"/>
      <c r="P17" s="330"/>
    </row>
    <row r="18" spans="2:20" s="331" customFormat="1" ht="15" customHeight="1" x14ac:dyDescent="0.2">
      <c r="B18" s="317"/>
      <c r="C18" s="318"/>
      <c r="D18" s="330"/>
      <c r="E18" s="330"/>
      <c r="F18" s="330"/>
      <c r="G18" s="330"/>
      <c r="H18" s="330"/>
      <c r="I18" s="330"/>
      <c r="J18" s="330"/>
      <c r="K18" s="330"/>
      <c r="L18" s="330"/>
      <c r="M18" s="330"/>
      <c r="N18" s="330"/>
      <c r="O18" s="330"/>
      <c r="P18" s="330"/>
    </row>
    <row r="19" spans="2:20" s="317" customFormat="1" ht="15" customHeight="1" x14ac:dyDescent="0.2">
      <c r="B19" s="333" t="s">
        <v>744</v>
      </c>
      <c r="C19" s="333"/>
      <c r="D19" s="334"/>
    </row>
    <row r="20" spans="2:20" s="317" customFormat="1" ht="15" customHeight="1" x14ac:dyDescent="0.2">
      <c r="B20" s="321" t="s">
        <v>714</v>
      </c>
      <c r="C20" s="335"/>
      <c r="D20" s="321" t="s">
        <v>569</v>
      </c>
      <c r="E20" s="321" t="s">
        <v>568</v>
      </c>
      <c r="F20" s="322" t="s">
        <v>710</v>
      </c>
      <c r="G20" s="323"/>
      <c r="H20" s="323"/>
      <c r="I20" s="322" t="s">
        <v>715</v>
      </c>
      <c r="J20" s="323"/>
      <c r="K20" s="323"/>
      <c r="L20" s="323"/>
    </row>
    <row r="21" spans="2:20" s="317" customFormat="1" ht="15" customHeight="1" x14ac:dyDescent="0.2">
      <c r="B21" s="336" t="s">
        <v>745</v>
      </c>
      <c r="C21" s="337" t="s">
        <v>746</v>
      </c>
      <c r="D21" s="338">
        <v>17</v>
      </c>
      <c r="E21" s="320" t="s">
        <v>747</v>
      </c>
      <c r="F21" s="612" t="s">
        <v>748</v>
      </c>
      <c r="G21" s="612"/>
      <c r="H21" s="612"/>
      <c r="I21" s="317" t="s">
        <v>749</v>
      </c>
      <c r="L21" s="339"/>
    </row>
    <row r="22" spans="2:20" s="317" customFormat="1" ht="15" customHeight="1" x14ac:dyDescent="0.2">
      <c r="B22" s="336" t="s">
        <v>750</v>
      </c>
      <c r="C22" s="337" t="s">
        <v>751</v>
      </c>
      <c r="D22" s="324">
        <v>9.17</v>
      </c>
      <c r="E22" s="320" t="s">
        <v>747</v>
      </c>
      <c r="F22" s="610" t="s">
        <v>752</v>
      </c>
      <c r="G22" s="610"/>
      <c r="H22" s="610"/>
      <c r="I22" s="327" t="s">
        <v>753</v>
      </c>
    </row>
    <row r="23" spans="2:20" s="317" customFormat="1" ht="15" customHeight="1" x14ac:dyDescent="0.2">
      <c r="B23" s="336" t="s">
        <v>754</v>
      </c>
      <c r="C23" s="337" t="s">
        <v>755</v>
      </c>
      <c r="D23" s="340">
        <f>(PI()/4)*D22</f>
        <v>7.2021011583546004</v>
      </c>
      <c r="E23" s="320" t="s">
        <v>747</v>
      </c>
      <c r="F23" s="610" t="s">
        <v>756</v>
      </c>
      <c r="G23" s="610"/>
      <c r="H23" s="610"/>
      <c r="I23" s="327"/>
    </row>
    <row r="24" spans="2:20" s="317" customFormat="1" ht="15" customHeight="1" x14ac:dyDescent="0.2">
      <c r="B24" s="336" t="s">
        <v>757</v>
      </c>
      <c r="C24" s="337" t="s">
        <v>758</v>
      </c>
      <c r="D24" s="340">
        <f>SQRT((D21*D22)/(PI()/4))</f>
        <v>14.088481558662187</v>
      </c>
      <c r="E24" s="320" t="s">
        <v>747</v>
      </c>
      <c r="F24" s="610" t="s">
        <v>759</v>
      </c>
      <c r="G24" s="610"/>
      <c r="H24" s="610"/>
      <c r="I24" s="327"/>
    </row>
    <row r="25" spans="2:20" s="317" customFormat="1" ht="15" customHeight="1" x14ac:dyDescent="0.2">
      <c r="B25" s="336" t="s">
        <v>760</v>
      </c>
      <c r="C25" s="337" t="s">
        <v>761</v>
      </c>
      <c r="D25" s="341">
        <f>D22/2</f>
        <v>4.585</v>
      </c>
      <c r="E25" s="342" t="s">
        <v>747</v>
      </c>
      <c r="F25" s="327" t="s">
        <v>762</v>
      </c>
      <c r="I25" s="327" t="s">
        <v>763</v>
      </c>
    </row>
    <row r="26" spans="2:20" s="317" customFormat="1" ht="15" customHeight="1" x14ac:dyDescent="0.2">
      <c r="B26" s="336" t="s">
        <v>764</v>
      </c>
      <c r="C26" s="343"/>
      <c r="D26" s="344">
        <f xml:space="preserve"> (PI() * (D24/2)^2) * D23 * 7.48</f>
        <v>8398.0619108277224</v>
      </c>
      <c r="E26" s="345" t="s">
        <v>765</v>
      </c>
      <c r="F26" s="327" t="s">
        <v>766</v>
      </c>
      <c r="I26" s="327" t="s">
        <v>767</v>
      </c>
    </row>
    <row r="27" spans="2:20" s="317" customFormat="1" ht="15" customHeight="1" x14ac:dyDescent="0.2">
      <c r="B27" s="336" t="s">
        <v>768</v>
      </c>
      <c r="C27" s="343" t="s">
        <v>769</v>
      </c>
      <c r="D27" s="346">
        <f>IFERROR(D14/D26,0)</f>
        <v>1.1907509263663416</v>
      </c>
      <c r="E27" s="347" t="s">
        <v>770</v>
      </c>
      <c r="F27" s="327" t="s">
        <v>771</v>
      </c>
      <c r="I27" s="348" t="s">
        <v>772</v>
      </c>
    </row>
    <row r="28" spans="2:20" s="317" customFormat="1" ht="15" customHeight="1" x14ac:dyDescent="0.15">
      <c r="B28" s="336" t="s">
        <v>773</v>
      </c>
      <c r="C28" s="343"/>
      <c r="D28" s="325" t="s">
        <v>774</v>
      </c>
      <c r="E28" s="345" t="s">
        <v>724</v>
      </c>
      <c r="F28" s="327" t="s">
        <v>775</v>
      </c>
      <c r="I28" s="331" t="s">
        <v>776</v>
      </c>
      <c r="J28" s="339"/>
      <c r="K28" s="339"/>
      <c r="Q28" s="349" t="s">
        <v>777</v>
      </c>
      <c r="R28" s="350">
        <v>3</v>
      </c>
      <c r="S28" s="350">
        <f>VLOOKUP(D29,Q28:R30,2)</f>
        <v>4</v>
      </c>
      <c r="T28" s="350" t="s">
        <v>778</v>
      </c>
    </row>
    <row r="29" spans="2:20" s="317" customFormat="1" ht="15" customHeight="1" x14ac:dyDescent="0.15">
      <c r="B29" s="336" t="s">
        <v>779</v>
      </c>
      <c r="C29" s="343"/>
      <c r="D29" s="351" t="s">
        <v>780</v>
      </c>
      <c r="E29" s="345" t="s">
        <v>724</v>
      </c>
      <c r="F29" s="327" t="s">
        <v>781</v>
      </c>
      <c r="I29" s="331" t="s">
        <v>782</v>
      </c>
      <c r="Q29" s="349" t="s">
        <v>780</v>
      </c>
      <c r="R29" s="350">
        <v>4</v>
      </c>
      <c r="S29" s="350"/>
      <c r="T29" s="350" t="s">
        <v>783</v>
      </c>
    </row>
    <row r="30" spans="2:20" s="317" customFormat="1" ht="15" customHeight="1" x14ac:dyDescent="0.15">
      <c r="B30" s="336" t="s">
        <v>784</v>
      </c>
      <c r="C30" s="337" t="s">
        <v>785</v>
      </c>
      <c r="D30" s="352">
        <f>VLOOKUP(D28,Tables!B27:F39,S28)</f>
        <v>0.9</v>
      </c>
      <c r="E30" s="353" t="s">
        <v>770</v>
      </c>
      <c r="F30" s="610" t="s">
        <v>786</v>
      </c>
      <c r="G30" s="610"/>
      <c r="H30" s="610"/>
      <c r="I30" s="317" t="s">
        <v>787</v>
      </c>
      <c r="Q30" s="349" t="s">
        <v>788</v>
      </c>
      <c r="R30" s="350">
        <v>5</v>
      </c>
      <c r="S30" s="350"/>
      <c r="T30" s="350"/>
    </row>
    <row r="31" spans="2:20" s="317" customFormat="1" ht="15" customHeight="1" x14ac:dyDescent="0.2">
      <c r="B31" s="336" t="s">
        <v>789</v>
      </c>
      <c r="C31" s="334" t="s">
        <v>790</v>
      </c>
      <c r="D31" s="354">
        <v>-0.03</v>
      </c>
      <c r="E31" s="353" t="s">
        <v>791</v>
      </c>
      <c r="F31" s="327" t="s">
        <v>792</v>
      </c>
      <c r="I31" s="355" t="s">
        <v>793</v>
      </c>
    </row>
    <row r="32" spans="2:20" s="317" customFormat="1" ht="15" customHeight="1" x14ac:dyDescent="0.2">
      <c r="B32" s="336" t="s">
        <v>794</v>
      </c>
      <c r="C32" s="334" t="s">
        <v>795</v>
      </c>
      <c r="D32" s="354">
        <v>0.03</v>
      </c>
      <c r="E32" s="353" t="s">
        <v>791</v>
      </c>
      <c r="F32" s="327" t="s">
        <v>796</v>
      </c>
      <c r="I32" s="355" t="s">
        <v>797</v>
      </c>
    </row>
    <row r="33" spans="2:16" s="317" customFormat="1" ht="15" customHeight="1" x14ac:dyDescent="0.2">
      <c r="C33" s="356"/>
      <c r="D33" s="334"/>
      <c r="E33" s="327"/>
      <c r="F33" s="327"/>
    </row>
    <row r="34" spans="2:16" s="317" customFormat="1" ht="15" customHeight="1" x14ac:dyDescent="0.2">
      <c r="C34" s="356"/>
      <c r="D34" s="334"/>
      <c r="E34" s="327"/>
      <c r="F34" s="327"/>
    </row>
    <row r="35" spans="2:16" s="317" customFormat="1" ht="15" customHeight="1" x14ac:dyDescent="0.2">
      <c r="B35" s="333" t="s">
        <v>798</v>
      </c>
      <c r="C35" s="357"/>
      <c r="D35" s="334"/>
      <c r="E35" s="327"/>
      <c r="F35" s="327"/>
    </row>
    <row r="36" spans="2:16" s="317" customFormat="1" ht="15" customHeight="1" x14ac:dyDescent="0.2">
      <c r="B36" s="321" t="s">
        <v>714</v>
      </c>
      <c r="C36" s="335"/>
      <c r="D36" s="321" t="s">
        <v>569</v>
      </c>
      <c r="E36" s="321" t="s">
        <v>568</v>
      </c>
      <c r="F36" s="322" t="s">
        <v>710</v>
      </c>
      <c r="G36" s="323"/>
      <c r="H36" s="323"/>
      <c r="I36" s="322" t="s">
        <v>715</v>
      </c>
      <c r="J36" s="323"/>
      <c r="K36" s="323"/>
      <c r="L36" s="323"/>
    </row>
    <row r="37" spans="2:16" s="339" customFormat="1" ht="15" customHeight="1" x14ac:dyDescent="0.2">
      <c r="B37" s="336" t="s">
        <v>799</v>
      </c>
      <c r="C37" s="357"/>
      <c r="D37" s="351" t="s">
        <v>800</v>
      </c>
      <c r="E37" s="358" t="s">
        <v>801</v>
      </c>
      <c r="F37" s="612" t="s">
        <v>802</v>
      </c>
      <c r="G37" s="612"/>
      <c r="H37" s="612"/>
      <c r="I37" s="317" t="s">
        <v>803</v>
      </c>
    </row>
    <row r="38" spans="2:16" s="317" customFormat="1" ht="15" customHeight="1" x14ac:dyDescent="0.2">
      <c r="B38" s="336" t="s">
        <v>804</v>
      </c>
      <c r="C38" s="334" t="s">
        <v>805</v>
      </c>
      <c r="D38" s="359">
        <f>VLOOKUP($D$37,'Table 7-1-7'!A245:R486,18,FALSE)</f>
        <v>62.983333333333341</v>
      </c>
      <c r="E38" s="358" t="s">
        <v>806</v>
      </c>
      <c r="F38" s="610" t="s">
        <v>807</v>
      </c>
      <c r="G38" s="610"/>
      <c r="H38" s="610"/>
      <c r="I38" s="317" t="s">
        <v>803</v>
      </c>
    </row>
    <row r="39" spans="2:16" s="317" customFormat="1" ht="15" customHeight="1" x14ac:dyDescent="0.2">
      <c r="B39" s="336" t="s">
        <v>808</v>
      </c>
      <c r="C39" s="334" t="s">
        <v>809</v>
      </c>
      <c r="D39" s="359">
        <f>VLOOKUP($D$37,'Table 7-1-7'!A3:R244,18,FALSE)</f>
        <v>43.80833333333333</v>
      </c>
      <c r="E39" s="358" t="s">
        <v>806</v>
      </c>
      <c r="F39" s="610" t="s">
        <v>807</v>
      </c>
      <c r="G39" s="610"/>
      <c r="H39" s="610"/>
      <c r="I39" s="317" t="s">
        <v>803</v>
      </c>
    </row>
    <row r="40" spans="2:16" s="317" customFormat="1" ht="15" customHeight="1" x14ac:dyDescent="0.2">
      <c r="B40" s="336" t="s">
        <v>810</v>
      </c>
      <c r="C40" s="334" t="s">
        <v>811</v>
      </c>
      <c r="D40" s="359">
        <f>VLOOKUP($D$37,'Table 7-1-7'!A971:Q1212,16,FALSE)</f>
        <v>14.59</v>
      </c>
      <c r="E40" s="353" t="s">
        <v>812</v>
      </c>
      <c r="F40" s="610" t="s">
        <v>813</v>
      </c>
      <c r="G40" s="610"/>
      <c r="H40" s="610"/>
      <c r="I40" s="611" t="s">
        <v>814</v>
      </c>
      <c r="J40" s="611"/>
      <c r="K40" s="611"/>
    </row>
    <row r="41" spans="2:16" s="317" customFormat="1" ht="15" customHeight="1" x14ac:dyDescent="0.2">
      <c r="B41" s="336" t="s">
        <v>815</v>
      </c>
      <c r="C41" s="334" t="s">
        <v>816</v>
      </c>
      <c r="D41" s="359">
        <f>VLOOKUP($D$37,'Table 7-1-7'!A729:R970,18,FALSE)</f>
        <v>1145.25</v>
      </c>
      <c r="E41" s="360" t="s">
        <v>817</v>
      </c>
      <c r="F41" s="610" t="s">
        <v>818</v>
      </c>
      <c r="G41" s="610"/>
      <c r="H41" s="610"/>
      <c r="I41" s="327" t="s">
        <v>803</v>
      </c>
    </row>
    <row r="42" spans="2:16" s="317" customFormat="1" ht="15" customHeight="1" x14ac:dyDescent="0.2">
      <c r="C42" s="361"/>
      <c r="D42" s="334"/>
    </row>
    <row r="43" spans="2:16" s="317" customFormat="1" ht="15" customHeight="1" x14ac:dyDescent="0.2">
      <c r="B43" s="336"/>
      <c r="C43" s="334"/>
      <c r="D43" s="362" t="s">
        <v>730</v>
      </c>
      <c r="E43" s="363" t="s">
        <v>731</v>
      </c>
      <c r="F43" s="364" t="s">
        <v>732</v>
      </c>
      <c r="G43" s="362" t="s">
        <v>733</v>
      </c>
      <c r="H43" s="363" t="s">
        <v>734</v>
      </c>
      <c r="I43" s="364" t="s">
        <v>735</v>
      </c>
      <c r="J43" s="362" t="s">
        <v>736</v>
      </c>
      <c r="K43" s="363" t="s">
        <v>737</v>
      </c>
      <c r="L43" s="364" t="s">
        <v>738</v>
      </c>
      <c r="M43" s="362" t="s">
        <v>739</v>
      </c>
      <c r="N43" s="363" t="s">
        <v>740</v>
      </c>
      <c r="O43" s="364" t="s">
        <v>741</v>
      </c>
      <c r="P43" s="334"/>
    </row>
    <row r="44" spans="2:16" s="317" customFormat="1" ht="15" customHeight="1" x14ac:dyDescent="0.15">
      <c r="B44" s="365" t="s">
        <v>819</v>
      </c>
      <c r="C44" s="334" t="s">
        <v>805</v>
      </c>
      <c r="D44" s="366">
        <f>VLOOKUP($D$37,'Table 7-1-7'!$A$245:$R$486,4,FALSE)</f>
        <v>47.4</v>
      </c>
      <c r="E44" s="366">
        <f>VLOOKUP($D$37,'Table 7-1-7'!$A$245:$R$486,5,FALSE)</f>
        <v>51.6</v>
      </c>
      <c r="F44" s="366">
        <f>VLOOKUP($D$37,'Table 7-1-7'!$A$245:$R$486,6,FALSE)</f>
        <v>55.6</v>
      </c>
      <c r="G44" s="366">
        <f>VLOOKUP($D$37,'Table 7-1-7'!$A$245:$R$486,7,FALSE)</f>
        <v>59.9</v>
      </c>
      <c r="H44" s="366">
        <f>VLOOKUP($D$37,'Table 7-1-7'!$A$245:$R$486,8,FALSE)</f>
        <v>67.099999999999994</v>
      </c>
      <c r="I44" s="366">
        <f>VLOOKUP($D$37,'Table 7-1-7'!$A$245:$R$486,9,FALSE)</f>
        <v>72.599999999999994</v>
      </c>
      <c r="J44" s="366">
        <f>VLOOKUP($D$37,'Table 7-1-7'!$A$245:$R$486,10,FALSE)</f>
        <v>81.8</v>
      </c>
      <c r="K44" s="366">
        <f>VLOOKUP($D$37,'Table 7-1-7'!$A$245:$R$486,11,FALSE)</f>
        <v>81.3</v>
      </c>
      <c r="L44" s="366">
        <f>VLOOKUP($D$37,'Table 7-1-7'!$A$245:$R$486,12,FALSE)</f>
        <v>76.3</v>
      </c>
      <c r="M44" s="366">
        <f>VLOOKUP($D$37,'Table 7-1-7'!$A$245:$R$486,13,FALSE)</f>
        <v>63.4</v>
      </c>
      <c r="N44" s="366">
        <f>VLOOKUP($D$37,'Table 7-1-7'!$A$245:$R$486,14,FALSE)</f>
        <v>52.2</v>
      </c>
      <c r="O44" s="366">
        <f>VLOOKUP($D$37,'Table 7-1-7'!$A$245:$R$486,15,FALSE)</f>
        <v>46.6</v>
      </c>
      <c r="P44" s="367"/>
    </row>
    <row r="45" spans="2:16" s="317" customFormat="1" ht="15" customHeight="1" x14ac:dyDescent="0.2">
      <c r="B45" s="336" t="s">
        <v>820</v>
      </c>
      <c r="C45" s="334" t="s">
        <v>809</v>
      </c>
      <c r="D45" s="366">
        <f>VLOOKUP($D$37,'Table 7-1-7'!$A$3:$R$244,4,FALSE)</f>
        <v>36</v>
      </c>
      <c r="E45" s="366">
        <f>VLOOKUP($D$37,'Table 7-1-7'!$A$3:$R$244,5,FALSE)</f>
        <v>35.9</v>
      </c>
      <c r="F45" s="366">
        <f>VLOOKUP($D$37,'Table 7-1-7'!$A$3:$R$244,6,FALSE)</f>
        <v>38.299999999999997</v>
      </c>
      <c r="G45" s="366">
        <f>VLOOKUP($D$37,'Table 7-1-7'!$A$3:$R$244,7,FALSE)</f>
        <v>40.9</v>
      </c>
      <c r="H45" s="366">
        <f>VLOOKUP($D$37,'Table 7-1-7'!$A$3:$R$244,8,FALSE)</f>
        <v>46.1</v>
      </c>
      <c r="I45" s="366">
        <f>VLOOKUP($D$37,'Table 7-1-7'!$A$3:$R$244,9,FALSE)</f>
        <v>50.3</v>
      </c>
      <c r="J45" s="366">
        <f>VLOOKUP($D$37,'Table 7-1-7'!$A$3:$R$244,10,FALSE)</f>
        <v>54.9</v>
      </c>
      <c r="K45" s="366">
        <f>VLOOKUP($D$37,'Table 7-1-7'!$A$3:$R$244,11,FALSE)</f>
        <v>54.3</v>
      </c>
      <c r="L45" s="366">
        <f>VLOOKUP($D$37,'Table 7-1-7'!$A$3:$R$244,12,FALSE)</f>
        <v>50.2</v>
      </c>
      <c r="M45" s="366">
        <f>VLOOKUP($D$37,'Table 7-1-7'!$A$3:$R$244,13,FALSE)</f>
        <v>43.7</v>
      </c>
      <c r="N45" s="366">
        <f>VLOOKUP($D$37,'Table 7-1-7'!$A$3:$R$244,14,FALSE)</f>
        <v>39.4</v>
      </c>
      <c r="O45" s="366">
        <f>VLOOKUP($D$37,'Table 7-1-7'!$A$3:$R$244,15,FALSE)</f>
        <v>35.700000000000003</v>
      </c>
      <c r="P45" s="367"/>
    </row>
    <row r="46" spans="2:16" s="317" customFormat="1" ht="15" customHeight="1" x14ac:dyDescent="0.15">
      <c r="B46" s="365" t="s">
        <v>821</v>
      </c>
      <c r="C46" s="334" t="s">
        <v>811</v>
      </c>
      <c r="D46" s="366">
        <f>VLOOKUP($D$37,'Table 7-1-7'!$A$971:$Q$1212,16,FALSE)</f>
        <v>14.59</v>
      </c>
      <c r="E46" s="366">
        <f>VLOOKUP($D$37,'Table 7-1-7'!$A$971:$Q$1212,16,FALSE)</f>
        <v>14.59</v>
      </c>
      <c r="F46" s="366">
        <f>VLOOKUP($D$37,'Table 7-1-7'!$A$971:$Q$1212,16,FALSE)</f>
        <v>14.59</v>
      </c>
      <c r="G46" s="366">
        <f>VLOOKUP($D$37,'Table 7-1-7'!$A$971:$Q$1212,16,FALSE)</f>
        <v>14.59</v>
      </c>
      <c r="H46" s="366">
        <f>VLOOKUP($D$37,'Table 7-1-7'!$A$971:$Q$1212,16,FALSE)</f>
        <v>14.59</v>
      </c>
      <c r="I46" s="366">
        <f>VLOOKUP($D$37,'Table 7-1-7'!$A$971:$Q$1212,16,FALSE)</f>
        <v>14.59</v>
      </c>
      <c r="J46" s="366">
        <f>VLOOKUP($D$37,'Table 7-1-7'!$A$971:$Q$1212,16,FALSE)</f>
        <v>14.59</v>
      </c>
      <c r="K46" s="366">
        <f>VLOOKUP($D$37,'Table 7-1-7'!$A$971:$Q$1212,16,FALSE)</f>
        <v>14.59</v>
      </c>
      <c r="L46" s="366">
        <f>VLOOKUP($D$37,'Table 7-1-7'!$A$971:$Q$1212,16,FALSE)</f>
        <v>14.59</v>
      </c>
      <c r="M46" s="366">
        <f>VLOOKUP($D$37,'Table 7-1-7'!$A$971:$Q$1212,16,FALSE)</f>
        <v>14.59</v>
      </c>
      <c r="N46" s="366">
        <f>VLOOKUP($D$37,'Table 7-1-7'!$A$971:$Q$1212,16,FALSE)</f>
        <v>14.59</v>
      </c>
      <c r="O46" s="366">
        <f>VLOOKUP($D$37,'Table 7-1-7'!$A$971:$Q$1212,16,FALSE)</f>
        <v>14.59</v>
      </c>
      <c r="P46" s="367"/>
    </row>
    <row r="47" spans="2:16" s="317" customFormat="1" ht="15" customHeight="1" x14ac:dyDescent="0.2">
      <c r="B47" s="336" t="s">
        <v>822</v>
      </c>
      <c r="C47" s="334" t="s">
        <v>816</v>
      </c>
      <c r="D47" s="366">
        <f>VLOOKUP($D$37,'Table 7-1-7'!$A$729:$R$970,4,FALSE)</f>
        <v>370</v>
      </c>
      <c r="E47" s="366">
        <f>VLOOKUP($D$37,'Table 7-1-7'!$A$729:$R$970,5,FALSE)</f>
        <v>638</v>
      </c>
      <c r="F47" s="366">
        <f>VLOOKUP($D$37,'Table 7-1-7'!$A$729:$R$970,6,FALSE)</f>
        <v>951</v>
      </c>
      <c r="G47" s="366">
        <f>VLOOKUP($D$37,'Table 7-1-7'!$A$729:$R$970,7,FALSE)</f>
        <v>1355</v>
      </c>
      <c r="H47" s="366">
        <f>VLOOKUP($D$37,'Table 7-1-7'!$A$729:$R$970,8,FALSE)</f>
        <v>1703</v>
      </c>
      <c r="I47" s="366">
        <f>VLOOKUP($D$37,'Table 7-1-7'!$A$729:$R$970,9,FALSE)</f>
        <v>1859</v>
      </c>
      <c r="J47" s="366">
        <f>VLOOKUP($D$37,'Table 7-1-7'!$A$729:$R$970,10,FALSE)</f>
        <v>2099</v>
      </c>
      <c r="K47" s="366">
        <f>VLOOKUP($D$37,'Table 7-1-7'!$A$729:$R$970,11,FALSE)</f>
        <v>1846</v>
      </c>
      <c r="L47" s="366">
        <f>VLOOKUP($D$37,'Table 7-1-7'!$A$729:$R$970,12,FALSE)</f>
        <v>1392</v>
      </c>
      <c r="M47" s="366">
        <f>VLOOKUP($D$37,'Table 7-1-7'!$A$729:$R$970,13,FALSE)</f>
        <v>807</v>
      </c>
      <c r="N47" s="366">
        <f>VLOOKUP($D$37,'Table 7-1-7'!$A$729:$R$970,14,FALSE)</f>
        <v>416</v>
      </c>
      <c r="O47" s="366">
        <f>VLOOKUP($D$37,'Table 7-1-7'!$A$729:$R$970,15,FALSE)</f>
        <v>307</v>
      </c>
      <c r="P47" s="367"/>
    </row>
    <row r="48" spans="2:16" s="317" customFormat="1" ht="15" customHeight="1" x14ac:dyDescent="0.2">
      <c r="C48" s="361"/>
      <c r="D48" s="334"/>
    </row>
    <row r="49" spans="2:20" s="317" customFormat="1" ht="15" customHeight="1" x14ac:dyDescent="0.2">
      <c r="C49" s="361"/>
      <c r="D49" s="334"/>
    </row>
    <row r="50" spans="2:20" s="317" customFormat="1" ht="15" customHeight="1" x14ac:dyDescent="0.2">
      <c r="B50" s="333" t="s">
        <v>823</v>
      </c>
      <c r="D50" s="321" t="s">
        <v>824</v>
      </c>
    </row>
    <row r="51" spans="2:20" s="317" customFormat="1" ht="15" customHeight="1" x14ac:dyDescent="0.2">
      <c r="B51" s="368" t="s">
        <v>825</v>
      </c>
      <c r="C51" s="369"/>
      <c r="D51" s="335" t="s">
        <v>730</v>
      </c>
      <c r="E51" s="335" t="s">
        <v>731</v>
      </c>
      <c r="F51" s="335" t="s">
        <v>732</v>
      </c>
      <c r="G51" s="335" t="s">
        <v>733</v>
      </c>
      <c r="H51" s="335" t="s">
        <v>734</v>
      </c>
      <c r="I51" s="335" t="s">
        <v>735</v>
      </c>
      <c r="J51" s="335" t="s">
        <v>736</v>
      </c>
      <c r="K51" s="335" t="s">
        <v>737</v>
      </c>
      <c r="L51" s="335" t="s">
        <v>738</v>
      </c>
      <c r="M51" s="335" t="s">
        <v>739</v>
      </c>
      <c r="N51" s="335" t="s">
        <v>740</v>
      </c>
      <c r="O51" s="335" t="s">
        <v>741</v>
      </c>
      <c r="P51" s="335"/>
      <c r="Q51" s="322"/>
      <c r="R51" s="370" t="s">
        <v>826</v>
      </c>
      <c r="S51" s="323"/>
      <c r="T51" s="323"/>
    </row>
    <row r="52" spans="2:20" s="317" customFormat="1" ht="15" customHeight="1" x14ac:dyDescent="0.2">
      <c r="B52" s="361" t="s">
        <v>827</v>
      </c>
      <c r="C52" s="371" t="s">
        <v>828</v>
      </c>
      <c r="D52" s="372">
        <f xml:space="preserve"> D53 + D54</f>
        <v>264.05179759558422</v>
      </c>
      <c r="E52" s="372">
        <f t="shared" ref="E52:O52" si="0" xml:space="preserve"> E53 + E54</f>
        <v>244.72239416659733</v>
      </c>
      <c r="F52" s="372">
        <f t="shared" si="0"/>
        <v>264.29620645270609</v>
      </c>
      <c r="G52" s="372">
        <f t="shared" si="0"/>
        <v>257.77160235733652</v>
      </c>
      <c r="H52" s="372">
        <f t="shared" si="0"/>
        <v>264.29620645270609</v>
      </c>
      <c r="I52" s="372">
        <f t="shared" si="0"/>
        <v>257.77160235733652</v>
      </c>
      <c r="J52" s="372">
        <f t="shared" si="0"/>
        <v>264.29620645270609</v>
      </c>
      <c r="K52" s="372">
        <f t="shared" si="0"/>
        <v>264.29620645270609</v>
      </c>
      <c r="L52" s="372">
        <f t="shared" si="0"/>
        <v>257.77160235733652</v>
      </c>
      <c r="M52" s="372">
        <f t="shared" si="0"/>
        <v>264.29620645270609</v>
      </c>
      <c r="N52" s="372">
        <f t="shared" si="0"/>
        <v>257.77160235733652</v>
      </c>
      <c r="O52" s="372">
        <f t="shared" si="0"/>
        <v>264.29620645270609</v>
      </c>
      <c r="P52" s="373">
        <f>SUM(D52:O52)</f>
        <v>3125.6378399077639</v>
      </c>
      <c r="Q52" s="374" t="s">
        <v>829</v>
      </c>
      <c r="R52" s="327" t="s">
        <v>830</v>
      </c>
    </row>
    <row r="53" spans="2:20" s="317" customFormat="1" ht="15" customHeight="1" x14ac:dyDescent="0.2">
      <c r="B53" s="375" t="s">
        <v>831</v>
      </c>
      <c r="C53" s="371" t="s">
        <v>832</v>
      </c>
      <c r="D53" s="376">
        <f>IF(D13="Under",0,(31*D57*D60*D62*D63))</f>
        <v>202.26272695645713</v>
      </c>
      <c r="E53" s="376">
        <f>IF(E13="Under",0,(28*E57*E60*E62*E63))</f>
        <v>182.68891467034837</v>
      </c>
      <c r="F53" s="376">
        <f>IF(F13="Under",0,(31*F57*F60*F62*F63))</f>
        <v>202.26272695645713</v>
      </c>
      <c r="G53" s="376">
        <f>IF(G13="Under",0,(30*G57*G60*G62*G63))</f>
        <v>195.73812286108753</v>
      </c>
      <c r="H53" s="376">
        <f>IF(H13="Under",0,(31*H57*H60*H62*H63))</f>
        <v>202.26272695645713</v>
      </c>
      <c r="I53" s="376">
        <f>IF(I13="Under",0,(30*I57*I60*I62*I63))</f>
        <v>195.73812286108753</v>
      </c>
      <c r="J53" s="376">
        <f>IF(J13="Under",0,(31*J57*J60*J62*J63))</f>
        <v>202.26272695645713</v>
      </c>
      <c r="K53" s="376">
        <f>IF(K13="Under",0,(31*K57*K60*K62*K63))</f>
        <v>202.26272695645713</v>
      </c>
      <c r="L53" s="376">
        <f>IF(L13="Under",0,(30*L57*L60*L62*L63))</f>
        <v>195.73812286108753</v>
      </c>
      <c r="M53" s="376">
        <f>IF(M13="Under",0,(31*M57*M60*M62*M63))</f>
        <v>202.26272695645713</v>
      </c>
      <c r="N53" s="376">
        <f>IF(N13="Under",0,(30*N57*N60*N62*N63))</f>
        <v>195.73812286108753</v>
      </c>
      <c r="O53" s="376">
        <f>IF(O13="Under",0,(31*O57*O60*O62*O63))</f>
        <v>202.26272695645713</v>
      </c>
      <c r="P53" s="377">
        <f t="shared" ref="P53:P54" si="1">SUM(D53:O53)</f>
        <v>2381.4804948098986</v>
      </c>
      <c r="Q53" s="378" t="s">
        <v>829</v>
      </c>
      <c r="R53" s="327" t="s">
        <v>833</v>
      </c>
    </row>
    <row r="54" spans="2:20" s="317" customFormat="1" ht="15" customHeight="1" x14ac:dyDescent="0.2">
      <c r="B54" s="375" t="s">
        <v>834</v>
      </c>
      <c r="C54" s="371" t="s">
        <v>835</v>
      </c>
      <c r="D54" s="376">
        <f>5.614*D55*D56*D65*D57*D64</f>
        <v>61.789070639127075</v>
      </c>
      <c r="E54" s="376">
        <f t="shared" ref="E54:O54" si="2">5.614*E55*E56*E65*E57</f>
        <v>62.033479496248958</v>
      </c>
      <c r="F54" s="376">
        <f t="shared" si="2"/>
        <v>62.033479496248958</v>
      </c>
      <c r="G54" s="376">
        <f t="shared" si="2"/>
        <v>62.033479496248958</v>
      </c>
      <c r="H54" s="376">
        <f t="shared" si="2"/>
        <v>62.033479496248958</v>
      </c>
      <c r="I54" s="376">
        <f t="shared" si="2"/>
        <v>62.033479496248958</v>
      </c>
      <c r="J54" s="376">
        <f t="shared" si="2"/>
        <v>62.033479496248958</v>
      </c>
      <c r="K54" s="376">
        <f t="shared" si="2"/>
        <v>62.033479496248958</v>
      </c>
      <c r="L54" s="376">
        <f t="shared" si="2"/>
        <v>62.033479496248958</v>
      </c>
      <c r="M54" s="376">
        <f t="shared" si="2"/>
        <v>62.033479496248958</v>
      </c>
      <c r="N54" s="376">
        <f t="shared" si="2"/>
        <v>62.033479496248958</v>
      </c>
      <c r="O54" s="376">
        <f t="shared" si="2"/>
        <v>62.033479496248958</v>
      </c>
      <c r="P54" s="377">
        <f t="shared" si="1"/>
        <v>744.15734509786557</v>
      </c>
      <c r="Q54" s="378" t="s">
        <v>829</v>
      </c>
      <c r="R54" s="327" t="s">
        <v>836</v>
      </c>
    </row>
    <row r="55" spans="2:20" s="317" customFormat="1" ht="15" customHeight="1" x14ac:dyDescent="0.2">
      <c r="B55" s="375" t="s">
        <v>837</v>
      </c>
      <c r="C55" s="371" t="s">
        <v>838</v>
      </c>
      <c r="D55" s="379">
        <f>D16/42</f>
        <v>142.85714285714286</v>
      </c>
      <c r="E55" s="379">
        <f t="shared" ref="E55:O55" si="3">E16/42</f>
        <v>142.85714285714286</v>
      </c>
      <c r="F55" s="379">
        <f t="shared" si="3"/>
        <v>142.85714285714286</v>
      </c>
      <c r="G55" s="379">
        <f t="shared" si="3"/>
        <v>142.85714285714286</v>
      </c>
      <c r="H55" s="379">
        <f t="shared" si="3"/>
        <v>142.85714285714286</v>
      </c>
      <c r="I55" s="379">
        <f t="shared" si="3"/>
        <v>142.85714285714286</v>
      </c>
      <c r="J55" s="379">
        <f t="shared" si="3"/>
        <v>142.85714285714286</v>
      </c>
      <c r="K55" s="379">
        <f t="shared" si="3"/>
        <v>142.85714285714286</v>
      </c>
      <c r="L55" s="379">
        <f t="shared" si="3"/>
        <v>142.85714285714286</v>
      </c>
      <c r="M55" s="379">
        <f t="shared" si="3"/>
        <v>142.85714285714286</v>
      </c>
      <c r="N55" s="379">
        <f t="shared" si="3"/>
        <v>142.85714285714286</v>
      </c>
      <c r="O55" s="379">
        <f t="shared" si="3"/>
        <v>142.85714285714286</v>
      </c>
      <c r="P55" s="380"/>
      <c r="Q55" s="378" t="s">
        <v>839</v>
      </c>
      <c r="R55" s="327" t="s">
        <v>840</v>
      </c>
    </row>
    <row r="56" spans="2:20" s="317" customFormat="1" ht="15" customHeight="1" x14ac:dyDescent="0.2">
      <c r="B56" s="375" t="s">
        <v>841</v>
      </c>
      <c r="C56" s="371" t="s">
        <v>842</v>
      </c>
      <c r="D56" s="381">
        <f>IF($D$27 &gt; 36, ((180 + $D$27) / ($D$27 * 6)), 1)</f>
        <v>1</v>
      </c>
      <c r="E56" s="381">
        <f t="shared" ref="E56:O56" si="4">IF($D$27 &gt; 36, ((180 + $D$27) / ($D$27 * 6)), 1)</f>
        <v>1</v>
      </c>
      <c r="F56" s="381">
        <f t="shared" si="4"/>
        <v>1</v>
      </c>
      <c r="G56" s="381">
        <f t="shared" si="4"/>
        <v>1</v>
      </c>
      <c r="H56" s="381">
        <f t="shared" si="4"/>
        <v>1</v>
      </c>
      <c r="I56" s="381">
        <f t="shared" si="4"/>
        <v>1</v>
      </c>
      <c r="J56" s="381">
        <f t="shared" si="4"/>
        <v>1</v>
      </c>
      <c r="K56" s="381">
        <f t="shared" si="4"/>
        <v>1</v>
      </c>
      <c r="L56" s="381">
        <f t="shared" si="4"/>
        <v>1</v>
      </c>
      <c r="M56" s="381">
        <f t="shared" si="4"/>
        <v>1</v>
      </c>
      <c r="N56" s="381">
        <f t="shared" si="4"/>
        <v>1</v>
      </c>
      <c r="O56" s="381">
        <f t="shared" si="4"/>
        <v>1</v>
      </c>
      <c r="P56" s="382"/>
      <c r="Q56" s="383" t="s">
        <v>770</v>
      </c>
      <c r="R56" s="317" t="s">
        <v>843</v>
      </c>
    </row>
    <row r="57" spans="2:20" s="317" customFormat="1" ht="15" customHeight="1" x14ac:dyDescent="0.2">
      <c r="B57" s="375" t="s">
        <v>844</v>
      </c>
      <c r="C57" s="371" t="s">
        <v>845</v>
      </c>
      <c r="D57" s="384">
        <f t="shared" ref="D57:O57" si="5">(D58 * D59) / (D66 * D67)</f>
        <v>7.7348478174874016E-2</v>
      </c>
      <c r="E57" s="384">
        <f t="shared" si="5"/>
        <v>7.7348478174874016E-2</v>
      </c>
      <c r="F57" s="384">
        <f t="shared" si="5"/>
        <v>7.7348478174874016E-2</v>
      </c>
      <c r="G57" s="384">
        <f t="shared" si="5"/>
        <v>7.7348478174874016E-2</v>
      </c>
      <c r="H57" s="384">
        <f t="shared" si="5"/>
        <v>7.7348478174874016E-2</v>
      </c>
      <c r="I57" s="384">
        <f t="shared" si="5"/>
        <v>7.7348478174874016E-2</v>
      </c>
      <c r="J57" s="384">
        <f t="shared" si="5"/>
        <v>7.7348478174874016E-2</v>
      </c>
      <c r="K57" s="384">
        <f t="shared" si="5"/>
        <v>7.7348478174874016E-2</v>
      </c>
      <c r="L57" s="384">
        <f t="shared" si="5"/>
        <v>7.7348478174874016E-2</v>
      </c>
      <c r="M57" s="384">
        <f t="shared" si="5"/>
        <v>7.7348478174874016E-2</v>
      </c>
      <c r="N57" s="384">
        <f t="shared" si="5"/>
        <v>7.7348478174874016E-2</v>
      </c>
      <c r="O57" s="384">
        <f t="shared" si="5"/>
        <v>7.7348478174874016E-2</v>
      </c>
      <c r="P57" s="385"/>
      <c r="Q57" s="386" t="s">
        <v>846</v>
      </c>
      <c r="R57" s="327" t="s">
        <v>847</v>
      </c>
    </row>
    <row r="58" spans="2:20" s="317" customFormat="1" ht="15" customHeight="1" x14ac:dyDescent="0.2">
      <c r="B58" s="375" t="s">
        <v>848</v>
      </c>
      <c r="C58" s="337" t="s">
        <v>849</v>
      </c>
      <c r="D58" s="359">
        <f>IF($D$11=Tables!$B$19, VLOOKUP($D$12,Tables!$B$51:$O$236,5,FALSE), VLOOKUP($D$11,Tables!$B$11:$H$18,2,FALSE))</f>
        <v>62</v>
      </c>
      <c r="E58" s="359">
        <f>IF($D$11=Tables!$B$19, VLOOKUP($D$12,Tables!$B$51:$O$236,5,FALSE), VLOOKUP($D$11,Tables!$B$11:$H$18,2,FALSE))</f>
        <v>62</v>
      </c>
      <c r="F58" s="359">
        <f>IF($D$11=Tables!$B$19, VLOOKUP($D$12,Tables!$B$51:$O$236,5,FALSE), VLOOKUP($D$11,Tables!$B$11:$H$18,2,FALSE))</f>
        <v>62</v>
      </c>
      <c r="G58" s="359">
        <f>IF($D$11=Tables!$B$19, VLOOKUP($D$12,Tables!$B$51:$O$236,5,FALSE), VLOOKUP($D$11,Tables!$B$11:$H$18,2,FALSE))</f>
        <v>62</v>
      </c>
      <c r="H58" s="359">
        <f>IF($D$11=Tables!$B$19, VLOOKUP($D$12,Tables!$B$51:$O$236,5,FALSE), VLOOKUP($D$11,Tables!$B$11:$H$18,2,FALSE))</f>
        <v>62</v>
      </c>
      <c r="I58" s="359">
        <f>IF($D$11=Tables!$B$19, VLOOKUP($D$12,Tables!$B$51:$O$236,5,FALSE), VLOOKUP($D$11,Tables!$B$11:$H$18,2,FALSE))</f>
        <v>62</v>
      </c>
      <c r="J58" s="359">
        <f>IF($D$11=Tables!$B$19, VLOOKUP($D$12,Tables!$B$51:$O$236,5,FALSE), VLOOKUP($D$11,Tables!$B$11:$H$18,2,FALSE))</f>
        <v>62</v>
      </c>
      <c r="K58" s="359">
        <f>IF($D$11=Tables!$B$19, VLOOKUP($D$12,Tables!$B$51:$O$236,5,FALSE), VLOOKUP($D$11,Tables!$B$11:$H$18,2,FALSE))</f>
        <v>62</v>
      </c>
      <c r="L58" s="359">
        <f>IF($D$11=Tables!$B$19, VLOOKUP($D$12,Tables!$B$51:$O$236,5,FALSE), VLOOKUP($D$11,Tables!$B$11:$H$18,2,FALSE))</f>
        <v>62</v>
      </c>
      <c r="M58" s="359">
        <f>IF($D$11=Tables!$B$19, VLOOKUP($D$12,Tables!$B$51:$O$236,5,FALSE), VLOOKUP($D$11,Tables!$B$11:$H$18,2,FALSE))</f>
        <v>62</v>
      </c>
      <c r="N58" s="359">
        <f>IF($D$11=Tables!$B$19, VLOOKUP($D$12,Tables!$B$51:$O$236,5,FALSE), VLOOKUP($D$11,Tables!$B$11:$H$18,2,FALSE))</f>
        <v>62</v>
      </c>
      <c r="O58" s="359">
        <f>IF($D$11=Tables!$B$19, VLOOKUP($D$12,Tables!$B$51:$O$236,5,FALSE), VLOOKUP($D$11,Tables!$B$11:$H$18,2,FALSE))</f>
        <v>62</v>
      </c>
      <c r="P58" s="367"/>
      <c r="Q58" s="353" t="s">
        <v>850</v>
      </c>
      <c r="R58" s="327" t="s">
        <v>851</v>
      </c>
    </row>
    <row r="59" spans="2:20" s="317" customFormat="1" ht="15" customHeight="1" x14ac:dyDescent="0.2">
      <c r="B59" s="336" t="s">
        <v>852</v>
      </c>
      <c r="C59" s="337" t="s">
        <v>853</v>
      </c>
      <c r="D59" s="387">
        <f>IF($D$11=Tables!$B$19,D82*D83,EXP(D77-(D78/D68)))</f>
        <v>7.0056917183678058</v>
      </c>
      <c r="E59" s="387">
        <f>IF($D$11=Tables!$B$19,E82*E83,EXP(E77-(E78/E68)))</f>
        <v>7.0056917183678058</v>
      </c>
      <c r="F59" s="387">
        <f>IF($D$11=Tables!$B$19,F82*F83,EXP(F77-(F78/F68)))</f>
        <v>7.0056917183678058</v>
      </c>
      <c r="G59" s="387">
        <f>IF($D$11=Tables!$B$19,G82*G83,EXP(G77-(G78/G68)))</f>
        <v>7.0056917183678058</v>
      </c>
      <c r="H59" s="387">
        <f>IF($D$11=Tables!$B$19,H82*H83,EXP(H77-(H78/H68)))</f>
        <v>7.0056917183678058</v>
      </c>
      <c r="I59" s="387">
        <f>IF($D$11=Tables!$B$19,I82*I83,EXP(I77-(I78/I68)))</f>
        <v>7.0056917183678058</v>
      </c>
      <c r="J59" s="387">
        <f>IF($D$11=Tables!$B$19,J82*J83,EXP(J77-(J78/J68)))</f>
        <v>7.0056917183678058</v>
      </c>
      <c r="K59" s="387">
        <f>IF($D$11=Tables!$B$19,K82*K83,EXP(K77-(K78/K68)))</f>
        <v>7.0056917183678058</v>
      </c>
      <c r="L59" s="387">
        <f>IF($D$11=Tables!$B$19,L82*L83,EXP(L77-(L78/L68)))</f>
        <v>7.0056917183678058</v>
      </c>
      <c r="M59" s="387">
        <f>IF($D$11=Tables!$B$19,M82*M83,EXP(M77-(M78/M68)))</f>
        <v>7.0056917183678058</v>
      </c>
      <c r="N59" s="387">
        <f>IF($D$11=Tables!$B$19,N82*N83,EXP(N77-(N78/N68)))</f>
        <v>7.0056917183678058</v>
      </c>
      <c r="O59" s="387">
        <f>IF($D$11=Tables!$B$19,O82*O83,EXP(O77-(O78/O68)))</f>
        <v>7.0056917183678058</v>
      </c>
      <c r="P59" s="388"/>
      <c r="Q59" s="353" t="s">
        <v>812</v>
      </c>
      <c r="R59" s="327" t="s">
        <v>854</v>
      </c>
    </row>
    <row r="60" spans="2:20" s="317" customFormat="1" ht="15" customHeight="1" x14ac:dyDescent="0.2">
      <c r="B60" s="375" t="s">
        <v>855</v>
      </c>
      <c r="C60" s="337" t="s">
        <v>856</v>
      </c>
      <c r="D60" s="379">
        <f xml:space="preserve"> (PI() / 4) * ($D$24^2) * D61</f>
        <v>561.36777478794932</v>
      </c>
      <c r="E60" s="379">
        <f t="shared" ref="E60:O60" si="6" xml:space="preserve"> (PI() / 4) * ($D$24^2) * E61</f>
        <v>561.36777478794932</v>
      </c>
      <c r="F60" s="379">
        <f t="shared" si="6"/>
        <v>561.36777478794932</v>
      </c>
      <c r="G60" s="379">
        <f t="shared" si="6"/>
        <v>561.36777478794932</v>
      </c>
      <c r="H60" s="379">
        <f t="shared" si="6"/>
        <v>561.36777478794932</v>
      </c>
      <c r="I60" s="379">
        <f t="shared" si="6"/>
        <v>561.36777478794932</v>
      </c>
      <c r="J60" s="379">
        <f t="shared" si="6"/>
        <v>561.36777478794932</v>
      </c>
      <c r="K60" s="379">
        <f t="shared" si="6"/>
        <v>561.36777478794932</v>
      </c>
      <c r="L60" s="379">
        <f t="shared" si="6"/>
        <v>561.36777478794932</v>
      </c>
      <c r="M60" s="379">
        <f t="shared" si="6"/>
        <v>561.36777478794932</v>
      </c>
      <c r="N60" s="379">
        <f t="shared" si="6"/>
        <v>561.36777478794932</v>
      </c>
      <c r="O60" s="379">
        <f t="shared" si="6"/>
        <v>561.36777478794932</v>
      </c>
      <c r="P60" s="380"/>
      <c r="Q60" s="386" t="s">
        <v>857</v>
      </c>
      <c r="R60" s="327" t="s">
        <v>858</v>
      </c>
    </row>
    <row r="61" spans="2:20" s="317" customFormat="1" ht="15" customHeight="1" x14ac:dyDescent="0.2">
      <c r="B61" s="336" t="s">
        <v>859</v>
      </c>
      <c r="C61" s="337" t="s">
        <v>860</v>
      </c>
      <c r="D61" s="379">
        <f>(1/2)*$D$23</f>
        <v>3.6010505791773002</v>
      </c>
      <c r="E61" s="379">
        <f t="shared" ref="E61:O61" si="7">(1/2)*$D$23</f>
        <v>3.6010505791773002</v>
      </c>
      <c r="F61" s="379">
        <f t="shared" si="7"/>
        <v>3.6010505791773002</v>
      </c>
      <c r="G61" s="379">
        <f t="shared" si="7"/>
        <v>3.6010505791773002</v>
      </c>
      <c r="H61" s="379">
        <f t="shared" si="7"/>
        <v>3.6010505791773002</v>
      </c>
      <c r="I61" s="379">
        <f t="shared" si="7"/>
        <v>3.6010505791773002</v>
      </c>
      <c r="J61" s="379">
        <f t="shared" si="7"/>
        <v>3.6010505791773002</v>
      </c>
      <c r="K61" s="379">
        <f t="shared" si="7"/>
        <v>3.6010505791773002</v>
      </c>
      <c r="L61" s="379">
        <f t="shared" si="7"/>
        <v>3.6010505791773002</v>
      </c>
      <c r="M61" s="379">
        <f t="shared" si="7"/>
        <v>3.6010505791773002</v>
      </c>
      <c r="N61" s="379">
        <f t="shared" si="7"/>
        <v>3.6010505791773002</v>
      </c>
      <c r="O61" s="379">
        <f t="shared" si="7"/>
        <v>3.6010505791773002</v>
      </c>
      <c r="P61" s="380"/>
      <c r="Q61" s="378" t="s">
        <v>747</v>
      </c>
      <c r="R61" s="327" t="s">
        <v>861</v>
      </c>
    </row>
    <row r="62" spans="2:20" s="317" customFormat="1" ht="15" customHeight="1" x14ac:dyDescent="0.2">
      <c r="B62" s="336" t="s">
        <v>862</v>
      </c>
      <c r="C62" s="337" t="s">
        <v>863</v>
      </c>
      <c r="D62" s="389">
        <f t="shared" ref="D62:O62" si="8">(D69/D68)+(D75-D76)/($D$40-D59)</f>
        <v>0.35117837068401031</v>
      </c>
      <c r="E62" s="389">
        <f t="shared" si="8"/>
        <v>0.35117837068401031</v>
      </c>
      <c r="F62" s="389">
        <f t="shared" si="8"/>
        <v>0.35117837068401031</v>
      </c>
      <c r="G62" s="389">
        <f t="shared" si="8"/>
        <v>0.35117837068401031</v>
      </c>
      <c r="H62" s="389">
        <f t="shared" si="8"/>
        <v>0.35117837068401031</v>
      </c>
      <c r="I62" s="389">
        <f t="shared" si="8"/>
        <v>0.35117837068401031</v>
      </c>
      <c r="J62" s="389">
        <f t="shared" si="8"/>
        <v>0.35117837068401031</v>
      </c>
      <c r="K62" s="389">
        <f t="shared" si="8"/>
        <v>0.35117837068401031</v>
      </c>
      <c r="L62" s="389">
        <f t="shared" si="8"/>
        <v>0.35117837068401031</v>
      </c>
      <c r="M62" s="389">
        <f t="shared" si="8"/>
        <v>0.35117837068401031</v>
      </c>
      <c r="N62" s="389">
        <f t="shared" si="8"/>
        <v>0.35117837068401031</v>
      </c>
      <c r="O62" s="389">
        <f t="shared" si="8"/>
        <v>0.35117837068401031</v>
      </c>
      <c r="P62" s="390"/>
      <c r="Q62" s="383" t="s">
        <v>770</v>
      </c>
      <c r="R62" s="327" t="s">
        <v>864</v>
      </c>
    </row>
    <row r="63" spans="2:20" s="317" customFormat="1" ht="15" customHeight="1" x14ac:dyDescent="0.2">
      <c r="B63" s="375" t="s">
        <v>865</v>
      </c>
      <c r="C63" s="371" t="s">
        <v>866</v>
      </c>
      <c r="D63" s="379">
        <f t="shared" ref="D63:O63" si="9">1 / (1 + (0.053 * D59 * D61))</f>
        <v>0.4278850895809021</v>
      </c>
      <c r="E63" s="379">
        <f t="shared" si="9"/>
        <v>0.4278850895809021</v>
      </c>
      <c r="F63" s="379">
        <f t="shared" si="9"/>
        <v>0.4278850895809021</v>
      </c>
      <c r="G63" s="379">
        <f t="shared" si="9"/>
        <v>0.4278850895809021</v>
      </c>
      <c r="H63" s="379">
        <f t="shared" si="9"/>
        <v>0.4278850895809021</v>
      </c>
      <c r="I63" s="379">
        <f t="shared" si="9"/>
        <v>0.4278850895809021</v>
      </c>
      <c r="J63" s="379">
        <f t="shared" si="9"/>
        <v>0.4278850895809021</v>
      </c>
      <c r="K63" s="379">
        <f t="shared" si="9"/>
        <v>0.4278850895809021</v>
      </c>
      <c r="L63" s="379">
        <f t="shared" si="9"/>
        <v>0.4278850895809021</v>
      </c>
      <c r="M63" s="379">
        <f t="shared" si="9"/>
        <v>0.4278850895809021</v>
      </c>
      <c r="N63" s="379">
        <f t="shared" si="9"/>
        <v>0.4278850895809021</v>
      </c>
      <c r="O63" s="379">
        <f t="shared" si="9"/>
        <v>0.4278850895809021</v>
      </c>
      <c r="P63" s="380"/>
      <c r="Q63" s="383" t="s">
        <v>770</v>
      </c>
      <c r="R63" s="327" t="s">
        <v>867</v>
      </c>
    </row>
    <row r="64" spans="2:20" s="317" customFormat="1" ht="15" customHeight="1" x14ac:dyDescent="0.2">
      <c r="B64" s="336" t="s">
        <v>868</v>
      </c>
      <c r="C64" s="371" t="s">
        <v>869</v>
      </c>
      <c r="D64" s="379">
        <f>(((0+$D$40)/D56-D59)/($D$32+$D$40-D59))</f>
        <v>0.99606004920074387</v>
      </c>
      <c r="E64" s="379">
        <f t="shared" ref="E64:O64" si="10">(((0+$D$40)/E56-E59)/($D$32+$D$40-E59))</f>
        <v>0.99606004920074387</v>
      </c>
      <c r="F64" s="379">
        <f t="shared" si="10"/>
        <v>0.99606004920074387</v>
      </c>
      <c r="G64" s="379">
        <f t="shared" si="10"/>
        <v>0.99606004920074387</v>
      </c>
      <c r="H64" s="379">
        <f t="shared" si="10"/>
        <v>0.99606004920074387</v>
      </c>
      <c r="I64" s="379">
        <f t="shared" si="10"/>
        <v>0.99606004920074387</v>
      </c>
      <c r="J64" s="379">
        <f t="shared" si="10"/>
        <v>0.99606004920074387</v>
      </c>
      <c r="K64" s="379">
        <f t="shared" si="10"/>
        <v>0.99606004920074387</v>
      </c>
      <c r="L64" s="379">
        <f t="shared" si="10"/>
        <v>0.99606004920074387</v>
      </c>
      <c r="M64" s="379">
        <f t="shared" si="10"/>
        <v>0.99606004920074387</v>
      </c>
      <c r="N64" s="379">
        <f t="shared" si="10"/>
        <v>0.99606004920074387</v>
      </c>
      <c r="O64" s="379">
        <f t="shared" si="10"/>
        <v>0.99606004920074387</v>
      </c>
      <c r="Q64" s="383" t="s">
        <v>770</v>
      </c>
      <c r="R64" s="327" t="s">
        <v>870</v>
      </c>
    </row>
    <row r="65" spans="2:20" s="317" customFormat="1" ht="15" customHeight="1" x14ac:dyDescent="0.2">
      <c r="B65" s="375" t="s">
        <v>871</v>
      </c>
      <c r="C65" s="371" t="s">
        <v>872</v>
      </c>
      <c r="D65" s="391">
        <v>1</v>
      </c>
      <c r="E65" s="391">
        <v>1</v>
      </c>
      <c r="F65" s="391">
        <v>1</v>
      </c>
      <c r="G65" s="391">
        <v>1</v>
      </c>
      <c r="H65" s="391">
        <v>1</v>
      </c>
      <c r="I65" s="391">
        <v>1</v>
      </c>
      <c r="J65" s="391">
        <v>1</v>
      </c>
      <c r="K65" s="391">
        <v>1</v>
      </c>
      <c r="L65" s="391">
        <v>1</v>
      </c>
      <c r="M65" s="391">
        <v>1</v>
      </c>
      <c r="N65" s="391">
        <v>1</v>
      </c>
      <c r="O65" s="391">
        <v>1</v>
      </c>
      <c r="P65" s="392"/>
      <c r="Q65" s="383" t="s">
        <v>770</v>
      </c>
      <c r="R65" s="327" t="s">
        <v>873</v>
      </c>
    </row>
    <row r="66" spans="2:20" s="317" customFormat="1" ht="15" customHeight="1" x14ac:dyDescent="0.2">
      <c r="B66" s="375" t="s">
        <v>874</v>
      </c>
      <c r="C66" s="371" t="s">
        <v>875</v>
      </c>
      <c r="D66" s="393">
        <v>10.731</v>
      </c>
      <c r="E66" s="393">
        <v>10.731</v>
      </c>
      <c r="F66" s="393">
        <v>10.731</v>
      </c>
      <c r="G66" s="393">
        <v>10.731</v>
      </c>
      <c r="H66" s="393">
        <v>10.731</v>
      </c>
      <c r="I66" s="393">
        <v>10.731</v>
      </c>
      <c r="J66" s="393">
        <v>10.731</v>
      </c>
      <c r="K66" s="393">
        <v>10.731</v>
      </c>
      <c r="L66" s="393">
        <v>10.731</v>
      </c>
      <c r="M66" s="393">
        <v>10.731</v>
      </c>
      <c r="N66" s="393">
        <v>10.731</v>
      </c>
      <c r="O66" s="393">
        <v>10.731</v>
      </c>
      <c r="P66" s="334"/>
      <c r="Q66" s="394" t="s">
        <v>876</v>
      </c>
      <c r="R66" s="327" t="s">
        <v>877</v>
      </c>
    </row>
    <row r="67" spans="2:20" s="317" customFormat="1" ht="15" customHeight="1" x14ac:dyDescent="0.2">
      <c r="B67" s="375" t="s">
        <v>878</v>
      </c>
      <c r="C67" s="371" t="s">
        <v>879</v>
      </c>
      <c r="D67" s="379">
        <f>(0.7*D73)+(0.3*D74)+(0.009*$D$41*$D$30)</f>
        <v>523.3000108333332</v>
      </c>
      <c r="E67" s="379">
        <f t="shared" ref="E67:O67" si="11">(0.7*E73)+(0.3*E74)+(0.009*$D$41*$D$30)</f>
        <v>523.3000108333332</v>
      </c>
      <c r="F67" s="379">
        <f t="shared" si="11"/>
        <v>523.3000108333332</v>
      </c>
      <c r="G67" s="379">
        <f t="shared" si="11"/>
        <v>523.3000108333332</v>
      </c>
      <c r="H67" s="379">
        <f t="shared" si="11"/>
        <v>523.3000108333332</v>
      </c>
      <c r="I67" s="379">
        <f t="shared" si="11"/>
        <v>523.3000108333332</v>
      </c>
      <c r="J67" s="379">
        <f t="shared" si="11"/>
        <v>523.3000108333332</v>
      </c>
      <c r="K67" s="379">
        <f t="shared" si="11"/>
        <v>523.3000108333332</v>
      </c>
      <c r="L67" s="379">
        <f t="shared" si="11"/>
        <v>523.3000108333332</v>
      </c>
      <c r="M67" s="379">
        <f t="shared" si="11"/>
        <v>523.3000108333332</v>
      </c>
      <c r="N67" s="379">
        <f t="shared" si="11"/>
        <v>523.3000108333332</v>
      </c>
      <c r="O67" s="379">
        <f t="shared" si="11"/>
        <v>523.3000108333332</v>
      </c>
      <c r="P67" s="380"/>
      <c r="Q67" s="378" t="s">
        <v>880</v>
      </c>
      <c r="R67" s="327" t="s">
        <v>881</v>
      </c>
    </row>
    <row r="68" spans="2:20" s="317" customFormat="1" ht="15" customHeight="1" x14ac:dyDescent="0.2">
      <c r="B68" s="375" t="s">
        <v>882</v>
      </c>
      <c r="C68" s="371" t="s">
        <v>883</v>
      </c>
      <c r="D68" s="379">
        <f>(0.4 * D73) + (0.6 * D74) + (0.005 * $D$30 * $D$41)</f>
        <v>520.10476333333338</v>
      </c>
      <c r="E68" s="379">
        <f t="shared" ref="E68:O68" si="12">(0.4 * E73) + (0.6 * E74) + (0.005 * $D$30 * $D$41)</f>
        <v>520.10476333333338</v>
      </c>
      <c r="F68" s="379">
        <f t="shared" si="12"/>
        <v>520.10476333333338</v>
      </c>
      <c r="G68" s="379">
        <f t="shared" si="12"/>
        <v>520.10476333333338</v>
      </c>
      <c r="H68" s="379">
        <f t="shared" si="12"/>
        <v>520.10476333333338</v>
      </c>
      <c r="I68" s="379">
        <f t="shared" si="12"/>
        <v>520.10476333333338</v>
      </c>
      <c r="J68" s="379">
        <f t="shared" si="12"/>
        <v>520.10476333333338</v>
      </c>
      <c r="K68" s="379">
        <f t="shared" si="12"/>
        <v>520.10476333333338</v>
      </c>
      <c r="L68" s="379">
        <f t="shared" si="12"/>
        <v>520.10476333333338</v>
      </c>
      <c r="M68" s="379">
        <f t="shared" si="12"/>
        <v>520.10476333333338</v>
      </c>
      <c r="N68" s="379">
        <f t="shared" si="12"/>
        <v>520.10476333333338</v>
      </c>
      <c r="O68" s="379">
        <f t="shared" si="12"/>
        <v>520.10476333333338</v>
      </c>
      <c r="P68" s="380"/>
      <c r="Q68" s="378" t="s">
        <v>880</v>
      </c>
      <c r="R68" s="327" t="s">
        <v>884</v>
      </c>
    </row>
    <row r="69" spans="2:20" s="317" customFormat="1" ht="15" customHeight="1" x14ac:dyDescent="0.2">
      <c r="B69" s="375" t="s">
        <v>885</v>
      </c>
      <c r="C69" s="371" t="s">
        <v>886</v>
      </c>
      <c r="D69" s="379">
        <f>(0.7*(D70)+(0.02*$D$30*$D$41))</f>
        <v>34.036999999999971</v>
      </c>
      <c r="E69" s="379">
        <f t="shared" ref="E69:O69" si="13">(0.7*(E70)+(0.02*$D$30*$D$41))</f>
        <v>34.036999999999971</v>
      </c>
      <c r="F69" s="379">
        <f t="shared" si="13"/>
        <v>34.036999999999971</v>
      </c>
      <c r="G69" s="379">
        <f t="shared" si="13"/>
        <v>34.036999999999971</v>
      </c>
      <c r="H69" s="379">
        <f t="shared" si="13"/>
        <v>34.036999999999971</v>
      </c>
      <c r="I69" s="379">
        <f t="shared" si="13"/>
        <v>34.036999999999971</v>
      </c>
      <c r="J69" s="379">
        <f t="shared" si="13"/>
        <v>34.036999999999971</v>
      </c>
      <c r="K69" s="379">
        <f t="shared" si="13"/>
        <v>34.036999999999971</v>
      </c>
      <c r="L69" s="379">
        <f t="shared" si="13"/>
        <v>34.036999999999971</v>
      </c>
      <c r="M69" s="379">
        <f t="shared" si="13"/>
        <v>34.036999999999971</v>
      </c>
      <c r="N69" s="379">
        <f t="shared" si="13"/>
        <v>34.036999999999971</v>
      </c>
      <c r="O69" s="379">
        <f t="shared" si="13"/>
        <v>34.036999999999971</v>
      </c>
      <c r="P69" s="380"/>
      <c r="Q69" s="378" t="s">
        <v>880</v>
      </c>
      <c r="R69" s="327" t="s">
        <v>887</v>
      </c>
    </row>
    <row r="70" spans="2:20" s="317" customFormat="1" ht="15" customHeight="1" x14ac:dyDescent="0.2">
      <c r="B70" s="375" t="s">
        <v>888</v>
      </c>
      <c r="C70" s="371" t="s">
        <v>889</v>
      </c>
      <c r="D70" s="379">
        <f xml:space="preserve"> D71 - D72</f>
        <v>19.174999999999955</v>
      </c>
      <c r="E70" s="379">
        <f t="shared" ref="E70:O70" si="14" xml:space="preserve"> E71 - E72</f>
        <v>19.174999999999955</v>
      </c>
      <c r="F70" s="379">
        <f t="shared" si="14"/>
        <v>19.174999999999955</v>
      </c>
      <c r="G70" s="379">
        <f t="shared" si="14"/>
        <v>19.174999999999955</v>
      </c>
      <c r="H70" s="379">
        <f t="shared" si="14"/>
        <v>19.174999999999955</v>
      </c>
      <c r="I70" s="379">
        <f t="shared" si="14"/>
        <v>19.174999999999955</v>
      </c>
      <c r="J70" s="379">
        <f t="shared" si="14"/>
        <v>19.174999999999955</v>
      </c>
      <c r="K70" s="379">
        <f t="shared" si="14"/>
        <v>19.174999999999955</v>
      </c>
      <c r="L70" s="379">
        <f t="shared" si="14"/>
        <v>19.174999999999955</v>
      </c>
      <c r="M70" s="379">
        <f t="shared" si="14"/>
        <v>19.174999999999955</v>
      </c>
      <c r="N70" s="379">
        <f t="shared" si="14"/>
        <v>19.174999999999955</v>
      </c>
      <c r="O70" s="379">
        <f t="shared" si="14"/>
        <v>19.174999999999955</v>
      </c>
      <c r="P70" s="380"/>
      <c r="Q70" s="378" t="s">
        <v>880</v>
      </c>
      <c r="R70" s="327" t="s">
        <v>890</v>
      </c>
    </row>
    <row r="71" spans="2:20" s="317" customFormat="1" ht="15" customHeight="1" x14ac:dyDescent="0.2">
      <c r="B71" s="375" t="s">
        <v>891</v>
      </c>
      <c r="C71" s="371" t="s">
        <v>892</v>
      </c>
      <c r="D71" s="379">
        <f>$D$38 + 459.7</f>
        <v>522.68333333333328</v>
      </c>
      <c r="E71" s="379">
        <f t="shared" ref="E71:O71" si="15">$D$38 + 459.7</f>
        <v>522.68333333333328</v>
      </c>
      <c r="F71" s="379">
        <f t="shared" si="15"/>
        <v>522.68333333333328</v>
      </c>
      <c r="G71" s="379">
        <f t="shared" si="15"/>
        <v>522.68333333333328</v>
      </c>
      <c r="H71" s="379">
        <f t="shared" si="15"/>
        <v>522.68333333333328</v>
      </c>
      <c r="I71" s="379">
        <f t="shared" si="15"/>
        <v>522.68333333333328</v>
      </c>
      <c r="J71" s="379">
        <f t="shared" si="15"/>
        <v>522.68333333333328</v>
      </c>
      <c r="K71" s="379">
        <f t="shared" si="15"/>
        <v>522.68333333333328</v>
      </c>
      <c r="L71" s="379">
        <f t="shared" si="15"/>
        <v>522.68333333333328</v>
      </c>
      <c r="M71" s="379">
        <f t="shared" si="15"/>
        <v>522.68333333333328</v>
      </c>
      <c r="N71" s="379">
        <f t="shared" si="15"/>
        <v>522.68333333333328</v>
      </c>
      <c r="O71" s="379">
        <f t="shared" si="15"/>
        <v>522.68333333333328</v>
      </c>
      <c r="P71" s="380"/>
      <c r="Q71" s="378" t="s">
        <v>880</v>
      </c>
      <c r="R71" s="317" t="s">
        <v>893</v>
      </c>
    </row>
    <row r="72" spans="2:20" s="317" customFormat="1" ht="15" customHeight="1" x14ac:dyDescent="0.2">
      <c r="B72" s="375" t="s">
        <v>894</v>
      </c>
      <c r="C72" s="371" t="s">
        <v>895</v>
      </c>
      <c r="D72" s="379">
        <f>$D$39 + 459.7</f>
        <v>503.50833333333333</v>
      </c>
      <c r="E72" s="379">
        <f t="shared" ref="E72:O72" si="16">$D$39 + 459.7</f>
        <v>503.50833333333333</v>
      </c>
      <c r="F72" s="379">
        <f t="shared" si="16"/>
        <v>503.50833333333333</v>
      </c>
      <c r="G72" s="379">
        <f t="shared" si="16"/>
        <v>503.50833333333333</v>
      </c>
      <c r="H72" s="379">
        <f t="shared" si="16"/>
        <v>503.50833333333333</v>
      </c>
      <c r="I72" s="379">
        <f t="shared" si="16"/>
        <v>503.50833333333333</v>
      </c>
      <c r="J72" s="379">
        <f t="shared" si="16"/>
        <v>503.50833333333333</v>
      </c>
      <c r="K72" s="379">
        <f t="shared" si="16"/>
        <v>503.50833333333333</v>
      </c>
      <c r="L72" s="379">
        <f t="shared" si="16"/>
        <v>503.50833333333333</v>
      </c>
      <c r="M72" s="379">
        <f t="shared" si="16"/>
        <v>503.50833333333333</v>
      </c>
      <c r="N72" s="379">
        <f t="shared" si="16"/>
        <v>503.50833333333333</v>
      </c>
      <c r="O72" s="379">
        <f t="shared" si="16"/>
        <v>503.50833333333333</v>
      </c>
      <c r="P72" s="380"/>
      <c r="Q72" s="378" t="s">
        <v>880</v>
      </c>
      <c r="R72" s="331" t="s">
        <v>893</v>
      </c>
      <c r="S72" s="331"/>
      <c r="T72" s="331"/>
    </row>
    <row r="73" spans="2:20" s="317" customFormat="1" ht="15" customHeight="1" x14ac:dyDescent="0.2">
      <c r="B73" s="375" t="s">
        <v>896</v>
      </c>
      <c r="C73" s="371" t="s">
        <v>897</v>
      </c>
      <c r="D73" s="379">
        <f>((D71+D72)/2)</f>
        <v>513.0958333333333</v>
      </c>
      <c r="E73" s="379">
        <f t="shared" ref="E73:O73" si="17">((E71+E72)/2)</f>
        <v>513.0958333333333</v>
      </c>
      <c r="F73" s="379">
        <f t="shared" si="17"/>
        <v>513.0958333333333</v>
      </c>
      <c r="G73" s="379">
        <f t="shared" si="17"/>
        <v>513.0958333333333</v>
      </c>
      <c r="H73" s="379">
        <f t="shared" si="17"/>
        <v>513.0958333333333</v>
      </c>
      <c r="I73" s="379">
        <f t="shared" si="17"/>
        <v>513.0958333333333</v>
      </c>
      <c r="J73" s="379">
        <f t="shared" si="17"/>
        <v>513.0958333333333</v>
      </c>
      <c r="K73" s="379">
        <f t="shared" si="17"/>
        <v>513.0958333333333</v>
      </c>
      <c r="L73" s="379">
        <f t="shared" si="17"/>
        <v>513.0958333333333</v>
      </c>
      <c r="M73" s="379">
        <f t="shared" si="17"/>
        <v>513.0958333333333</v>
      </c>
      <c r="N73" s="379">
        <f t="shared" si="17"/>
        <v>513.0958333333333</v>
      </c>
      <c r="O73" s="379">
        <f t="shared" si="17"/>
        <v>513.0958333333333</v>
      </c>
      <c r="P73" s="380"/>
      <c r="Q73" s="378" t="s">
        <v>880</v>
      </c>
      <c r="R73" s="327" t="s">
        <v>898</v>
      </c>
    </row>
    <row r="74" spans="2:20" s="317" customFormat="1" ht="15" customHeight="1" x14ac:dyDescent="0.2">
      <c r="B74" s="375" t="s">
        <v>899</v>
      </c>
      <c r="C74" s="371" t="s">
        <v>900</v>
      </c>
      <c r="D74" s="379">
        <f>(D73) + (0.003 * $D$30 * $D$41)</f>
        <v>516.1880083333333</v>
      </c>
      <c r="E74" s="379">
        <f t="shared" ref="E74:O74" si="18">(E73) + (0.003 * $D$30 * $D$41)</f>
        <v>516.1880083333333</v>
      </c>
      <c r="F74" s="379">
        <f t="shared" si="18"/>
        <v>516.1880083333333</v>
      </c>
      <c r="G74" s="379">
        <f t="shared" si="18"/>
        <v>516.1880083333333</v>
      </c>
      <c r="H74" s="379">
        <f t="shared" si="18"/>
        <v>516.1880083333333</v>
      </c>
      <c r="I74" s="379">
        <f t="shared" si="18"/>
        <v>516.1880083333333</v>
      </c>
      <c r="J74" s="379">
        <f t="shared" si="18"/>
        <v>516.1880083333333</v>
      </c>
      <c r="K74" s="379">
        <f t="shared" si="18"/>
        <v>516.1880083333333</v>
      </c>
      <c r="L74" s="379">
        <f t="shared" si="18"/>
        <v>516.1880083333333</v>
      </c>
      <c r="M74" s="379">
        <f t="shared" si="18"/>
        <v>516.1880083333333</v>
      </c>
      <c r="N74" s="379">
        <f t="shared" si="18"/>
        <v>516.1880083333333</v>
      </c>
      <c r="O74" s="379">
        <f t="shared" si="18"/>
        <v>516.1880083333333</v>
      </c>
      <c r="P74" s="380"/>
      <c r="Q74" s="378" t="s">
        <v>880</v>
      </c>
      <c r="R74" s="327" t="s">
        <v>901</v>
      </c>
    </row>
    <row r="75" spans="2:20" s="317" customFormat="1" ht="15" customHeight="1" x14ac:dyDescent="0.2">
      <c r="B75" s="375" t="s">
        <v>902</v>
      </c>
      <c r="C75" s="371" t="s">
        <v>903</v>
      </c>
      <c r="D75" s="379">
        <f>D84-D85</f>
        <v>2.2271082883955309</v>
      </c>
      <c r="E75" s="379">
        <f t="shared" ref="E75:O75" si="19">E84-E85</f>
        <v>2.2271082883955309</v>
      </c>
      <c r="F75" s="379">
        <f t="shared" si="19"/>
        <v>2.2271082883955309</v>
      </c>
      <c r="G75" s="379">
        <f t="shared" si="19"/>
        <v>2.2271082883955309</v>
      </c>
      <c r="H75" s="379">
        <f t="shared" si="19"/>
        <v>2.2271082883955309</v>
      </c>
      <c r="I75" s="379">
        <f t="shared" si="19"/>
        <v>2.2271082883955309</v>
      </c>
      <c r="J75" s="379">
        <f t="shared" si="19"/>
        <v>2.2271082883955309</v>
      </c>
      <c r="K75" s="379">
        <f t="shared" si="19"/>
        <v>2.2271082883955309</v>
      </c>
      <c r="L75" s="379">
        <f t="shared" si="19"/>
        <v>2.2271082883955309</v>
      </c>
      <c r="M75" s="379">
        <f t="shared" si="19"/>
        <v>2.2271082883955309</v>
      </c>
      <c r="N75" s="379">
        <f t="shared" si="19"/>
        <v>2.2271082883955309</v>
      </c>
      <c r="O75" s="379">
        <f t="shared" si="19"/>
        <v>2.2271082883955309</v>
      </c>
      <c r="P75" s="380"/>
      <c r="Q75" s="378" t="s">
        <v>812</v>
      </c>
      <c r="R75" s="327" t="s">
        <v>904</v>
      </c>
    </row>
    <row r="76" spans="2:20" s="317" customFormat="1" ht="15" customHeight="1" x14ac:dyDescent="0.2">
      <c r="B76" s="375" t="s">
        <v>905</v>
      </c>
      <c r="C76" s="371" t="s">
        <v>906</v>
      </c>
      <c r="D76" s="384">
        <f>$D$32-$D$31</f>
        <v>0.06</v>
      </c>
      <c r="E76" s="384">
        <f t="shared" ref="E76:O76" si="20">$D$32-$D$31</f>
        <v>0.06</v>
      </c>
      <c r="F76" s="384">
        <f t="shared" si="20"/>
        <v>0.06</v>
      </c>
      <c r="G76" s="384">
        <f t="shared" si="20"/>
        <v>0.06</v>
      </c>
      <c r="H76" s="384">
        <f t="shared" si="20"/>
        <v>0.06</v>
      </c>
      <c r="I76" s="384">
        <f t="shared" si="20"/>
        <v>0.06</v>
      </c>
      <c r="J76" s="384">
        <f t="shared" si="20"/>
        <v>0.06</v>
      </c>
      <c r="K76" s="384">
        <f t="shared" si="20"/>
        <v>0.06</v>
      </c>
      <c r="L76" s="384">
        <f t="shared" si="20"/>
        <v>0.06</v>
      </c>
      <c r="M76" s="384">
        <f t="shared" si="20"/>
        <v>0.06</v>
      </c>
      <c r="N76" s="384">
        <f t="shared" si="20"/>
        <v>0.06</v>
      </c>
      <c r="O76" s="384">
        <f t="shared" si="20"/>
        <v>0.06</v>
      </c>
      <c r="P76" s="385"/>
      <c r="Q76" s="378" t="s">
        <v>907</v>
      </c>
      <c r="R76" s="327" t="s">
        <v>908</v>
      </c>
    </row>
    <row r="77" spans="2:20" s="317" customFormat="1" ht="15" customHeight="1" x14ac:dyDescent="0.15">
      <c r="B77" s="375" t="s">
        <v>909</v>
      </c>
      <c r="C77" s="395" t="s">
        <v>910</v>
      </c>
      <c r="D77" s="359">
        <f>VLOOKUP($D$11,Tables!$B$11:$H$18,5,FALSE)</f>
        <v>11.644</v>
      </c>
      <c r="E77" s="359">
        <f>VLOOKUP($D$11,Tables!$B$11:$H$18,5,FALSE)</f>
        <v>11.644</v>
      </c>
      <c r="F77" s="359">
        <f>VLOOKUP($D$11,Tables!$B$11:$H$18,5,FALSE)</f>
        <v>11.644</v>
      </c>
      <c r="G77" s="359">
        <f>VLOOKUP($D$11,Tables!$B$11:$H$18,5,FALSE)</f>
        <v>11.644</v>
      </c>
      <c r="H77" s="359">
        <f>VLOOKUP($D$11,Tables!$B$11:$H$18,5,FALSE)</f>
        <v>11.644</v>
      </c>
      <c r="I77" s="359">
        <f>VLOOKUP($D$11,Tables!$B$11:$H$18,5,FALSE)</f>
        <v>11.644</v>
      </c>
      <c r="J77" s="359">
        <f>VLOOKUP($D$11,Tables!$B$11:$H$18,5,FALSE)</f>
        <v>11.644</v>
      </c>
      <c r="K77" s="359">
        <f>VLOOKUP($D$11,Tables!$B$11:$H$18,5,FALSE)</f>
        <v>11.644</v>
      </c>
      <c r="L77" s="359">
        <f>VLOOKUP($D$11,Tables!$B$11:$H$18,5,FALSE)</f>
        <v>11.644</v>
      </c>
      <c r="M77" s="359">
        <f>VLOOKUP($D$11,Tables!$B$11:$H$18,5,FALSE)</f>
        <v>11.644</v>
      </c>
      <c r="N77" s="359">
        <f>VLOOKUP($D$11,Tables!$B$11:$H$18,5,FALSE)</f>
        <v>11.644</v>
      </c>
      <c r="O77" s="359">
        <f>VLOOKUP($D$11,Tables!$B$11:$H$18,5,FALSE)</f>
        <v>11.644</v>
      </c>
      <c r="P77" s="367"/>
      <c r="Q77" s="378" t="s">
        <v>770</v>
      </c>
      <c r="R77" s="327" t="s">
        <v>851</v>
      </c>
    </row>
    <row r="78" spans="2:20" s="317" customFormat="1" ht="15" customHeight="1" x14ac:dyDescent="0.15">
      <c r="B78" s="375" t="s">
        <v>909</v>
      </c>
      <c r="C78" s="395" t="s">
        <v>911</v>
      </c>
      <c r="D78" s="359">
        <f>VLOOKUP($D$11,Tables!$B$11:$H$18,6,FALSE)</f>
        <v>5043.6000000000004</v>
      </c>
      <c r="E78" s="359">
        <f>VLOOKUP($D$11,Tables!$B$11:$H$18,6,FALSE)</f>
        <v>5043.6000000000004</v>
      </c>
      <c r="F78" s="359">
        <f>VLOOKUP($D$11,Tables!$B$11:$H$18,6,FALSE)</f>
        <v>5043.6000000000004</v>
      </c>
      <c r="G78" s="359">
        <f>VLOOKUP($D$11,Tables!$B$11:$H$18,6,FALSE)</f>
        <v>5043.6000000000004</v>
      </c>
      <c r="H78" s="359">
        <f>VLOOKUP($D$11,Tables!$B$11:$H$18,6,FALSE)</f>
        <v>5043.6000000000004</v>
      </c>
      <c r="I78" s="359">
        <f>VLOOKUP($D$11,Tables!$B$11:$H$18,6,FALSE)</f>
        <v>5043.6000000000004</v>
      </c>
      <c r="J78" s="359">
        <f>VLOOKUP($D$11,Tables!$B$11:$H$18,6,FALSE)</f>
        <v>5043.6000000000004</v>
      </c>
      <c r="K78" s="359">
        <f>VLOOKUP($D$11,Tables!$B$11:$H$18,6,FALSE)</f>
        <v>5043.6000000000004</v>
      </c>
      <c r="L78" s="359">
        <f>VLOOKUP($D$11,Tables!$B$11:$H$18,6,FALSE)</f>
        <v>5043.6000000000004</v>
      </c>
      <c r="M78" s="359">
        <f>VLOOKUP($D$11,Tables!$B$11:$H$18,6,FALSE)</f>
        <v>5043.6000000000004</v>
      </c>
      <c r="N78" s="359">
        <f>VLOOKUP($D$11,Tables!$B$11:$H$18,6,FALSE)</f>
        <v>5043.6000000000004</v>
      </c>
      <c r="O78" s="359">
        <f>VLOOKUP($D$11,Tables!$B$11:$H$18,6,FALSE)</f>
        <v>5043.6000000000004</v>
      </c>
      <c r="P78" s="367"/>
      <c r="Q78" s="378" t="s">
        <v>880</v>
      </c>
      <c r="R78" s="327" t="s">
        <v>851</v>
      </c>
    </row>
    <row r="79" spans="2:20" s="317" customFormat="1" ht="15" customHeight="1" x14ac:dyDescent="0.15">
      <c r="B79" s="396" t="s">
        <v>912</v>
      </c>
      <c r="C79" s="395" t="s">
        <v>910</v>
      </c>
      <c r="D79" s="397" t="str">
        <f>IF($D$12="","",VLOOKUP($D$12,Tables!$B$51:$O$236,9,FALSE))</f>
        <v/>
      </c>
      <c r="E79" s="397" t="str">
        <f>IF($D$12="","",VLOOKUP($D$12,Tables!$B$51:$O$236,9,FALSE))</f>
        <v/>
      </c>
      <c r="F79" s="397" t="str">
        <f>IF($D$12="","",VLOOKUP($D$12,Tables!$B$51:$O$236,9,FALSE))</f>
        <v/>
      </c>
      <c r="G79" s="397" t="str">
        <f>IF($D$12="","",VLOOKUP($D$12,Tables!$B$51:$O$236,9,FALSE))</f>
        <v/>
      </c>
      <c r="H79" s="397" t="str">
        <f>IF($D$12="","",VLOOKUP($D$12,Tables!$B$51:$O$236,9,FALSE))</f>
        <v/>
      </c>
      <c r="I79" s="397" t="str">
        <f>IF($D$12="","",VLOOKUP($D$12,Tables!$B$51:$O$236,9,FALSE))</f>
        <v/>
      </c>
      <c r="J79" s="397" t="str">
        <f>IF($D$12="","",VLOOKUP($D$12,Tables!$B$51:$O$236,9,FALSE))</f>
        <v/>
      </c>
      <c r="K79" s="397" t="str">
        <f>IF($D$12="","",VLOOKUP($D$12,Tables!$B$51:$O$236,9,FALSE))</f>
        <v/>
      </c>
      <c r="L79" s="397" t="str">
        <f>IF($D$12="","",VLOOKUP($D$12,Tables!$B$51:$O$236,9,FALSE))</f>
        <v/>
      </c>
      <c r="M79" s="397" t="str">
        <f>IF($D$12="","",VLOOKUP($D$12,Tables!$B$51:$O$236,9,FALSE))</f>
        <v/>
      </c>
      <c r="N79" s="397" t="str">
        <f>IF($D$12="","",VLOOKUP($D$12,Tables!$B$51:$O$236,9,FALSE))</f>
        <v/>
      </c>
      <c r="O79" s="397" t="str">
        <f>IF($D$12="","",VLOOKUP($D$12,Tables!$B$51:$O$236,9,FALSE))</f>
        <v/>
      </c>
      <c r="P79" s="367"/>
      <c r="Q79" s="378" t="s">
        <v>770</v>
      </c>
      <c r="R79" s="327"/>
    </row>
    <row r="80" spans="2:20" s="317" customFormat="1" ht="15" customHeight="1" x14ac:dyDescent="0.15">
      <c r="B80" s="396" t="s">
        <v>912</v>
      </c>
      <c r="C80" s="395" t="s">
        <v>911</v>
      </c>
      <c r="D80" s="397" t="str">
        <f>IF($D$12="","",VLOOKUP($D$12,Tables!$B$51:$O$236,10,FALSE))</f>
        <v/>
      </c>
      <c r="E80" s="397" t="str">
        <f>IF($D$12="","",VLOOKUP($D$12,Tables!$B$51:$O$236,10,FALSE))</f>
        <v/>
      </c>
      <c r="F80" s="397" t="str">
        <f>IF($D$12="","",VLOOKUP($D$12,Tables!$B$51:$O$236,10,FALSE))</f>
        <v/>
      </c>
      <c r="G80" s="397" t="str">
        <f>IF($D$12="","",VLOOKUP($D$12,Tables!$B$51:$O$236,10,FALSE))</f>
        <v/>
      </c>
      <c r="H80" s="397" t="str">
        <f>IF($D$12="","",VLOOKUP($D$12,Tables!$B$51:$O$236,10,FALSE))</f>
        <v/>
      </c>
      <c r="I80" s="397" t="str">
        <f>IF($D$12="","",VLOOKUP($D$12,Tables!$B$51:$O$236,10,FALSE))</f>
        <v/>
      </c>
      <c r="J80" s="397" t="str">
        <f>IF($D$12="","",VLOOKUP($D$12,Tables!$B$51:$O$236,10,FALSE))</f>
        <v/>
      </c>
      <c r="K80" s="397" t="str">
        <f>IF($D$12="","",VLOOKUP($D$12,Tables!$B$51:$O$236,10,FALSE))</f>
        <v/>
      </c>
      <c r="L80" s="397" t="str">
        <f>IF($D$12="","",VLOOKUP($D$12,Tables!$B$51:$O$236,10,FALSE))</f>
        <v/>
      </c>
      <c r="M80" s="397" t="str">
        <f>IF($D$12="","",VLOOKUP($D$12,Tables!$B$51:$O$236,10,FALSE))</f>
        <v/>
      </c>
      <c r="N80" s="397" t="str">
        <f>IF($D$12="","",VLOOKUP($D$12,Tables!$B$51:$O$236,10,FALSE))</f>
        <v/>
      </c>
      <c r="O80" s="397" t="str">
        <f>IF($D$12="","",VLOOKUP($D$12,Tables!$B$51:$O$236,10,FALSE))</f>
        <v/>
      </c>
      <c r="P80" s="367"/>
      <c r="Q80" s="378" t="s">
        <v>913</v>
      </c>
      <c r="R80" s="327"/>
    </row>
    <row r="81" spans="2:20" s="317" customFormat="1" ht="15" customHeight="1" x14ac:dyDescent="0.15">
      <c r="B81" s="396" t="s">
        <v>912</v>
      </c>
      <c r="C81" s="395" t="s">
        <v>914</v>
      </c>
      <c r="D81" s="397" t="str">
        <f>IF($D$12="","",VLOOKUP($D$12,Tables!$B$51:$O$236,11,FALSE))</f>
        <v/>
      </c>
      <c r="E81" s="397" t="str">
        <f>IF($D$12="","",VLOOKUP($D$12,Tables!$B$51:$O$236,11,FALSE))</f>
        <v/>
      </c>
      <c r="F81" s="397" t="str">
        <f>IF($D$12="","",VLOOKUP($D$12,Tables!$B$51:$O$236,11,FALSE))</f>
        <v/>
      </c>
      <c r="G81" s="397" t="str">
        <f>IF($D$12="","",VLOOKUP($D$12,Tables!$B$51:$O$236,11,FALSE))</f>
        <v/>
      </c>
      <c r="H81" s="397" t="str">
        <f>IF($D$12="","",VLOOKUP($D$12,Tables!$B$51:$O$236,11,FALSE))</f>
        <v/>
      </c>
      <c r="I81" s="397" t="str">
        <f>IF($D$12="","",VLOOKUP($D$12,Tables!$B$51:$O$236,11,FALSE))</f>
        <v/>
      </c>
      <c r="J81" s="397" t="str">
        <f>IF($D$12="","",VLOOKUP($D$12,Tables!$B$51:$O$236,11,FALSE))</f>
        <v/>
      </c>
      <c r="K81" s="397" t="str">
        <f>IF($D$12="","",VLOOKUP($D$12,Tables!$B$51:$O$236,11,FALSE))</f>
        <v/>
      </c>
      <c r="L81" s="397" t="str">
        <f>IF($D$12="","",VLOOKUP($D$12,Tables!$B$51:$O$236,11,FALSE))</f>
        <v/>
      </c>
      <c r="M81" s="397" t="str">
        <f>IF($D$12="","",VLOOKUP($D$12,Tables!$B$51:$O$236,11,FALSE))</f>
        <v/>
      </c>
      <c r="N81" s="397" t="str">
        <f>IF($D$12="","",VLOOKUP($D$12,Tables!$B$51:$O$236,11,FALSE))</f>
        <v/>
      </c>
      <c r="O81" s="397" t="str">
        <f>IF($D$12="","",VLOOKUP($D$12,Tables!$B$51:$O$236,11,FALSE))</f>
        <v/>
      </c>
      <c r="P81" s="367"/>
      <c r="Q81" s="378" t="s">
        <v>913</v>
      </c>
      <c r="R81" s="327"/>
    </row>
    <row r="82" spans="2:20" s="317" customFormat="1" ht="15" customHeight="1" x14ac:dyDescent="0.2">
      <c r="B82" s="396" t="s">
        <v>915</v>
      </c>
      <c r="C82" s="398" t="s">
        <v>916</v>
      </c>
      <c r="D82" s="399" t="str">
        <f t="shared" ref="D82:O82" si="21">IF($D$12&lt;&gt;"",CONVERT(10^(D$79-(D$80/((CONVERT(D$68,"Rank","C")+D$81)))),"mmHg","psi"),"")</f>
        <v/>
      </c>
      <c r="E82" s="399" t="str">
        <f t="shared" si="21"/>
        <v/>
      </c>
      <c r="F82" s="399" t="str">
        <f t="shared" si="21"/>
        <v/>
      </c>
      <c r="G82" s="399" t="str">
        <f t="shared" si="21"/>
        <v/>
      </c>
      <c r="H82" s="399" t="str">
        <f t="shared" si="21"/>
        <v/>
      </c>
      <c r="I82" s="399" t="str">
        <f t="shared" si="21"/>
        <v/>
      </c>
      <c r="J82" s="399" t="str">
        <f t="shared" si="21"/>
        <v/>
      </c>
      <c r="K82" s="399" t="str">
        <f t="shared" si="21"/>
        <v/>
      </c>
      <c r="L82" s="399" t="str">
        <f t="shared" si="21"/>
        <v/>
      </c>
      <c r="M82" s="399" t="str">
        <f t="shared" si="21"/>
        <v/>
      </c>
      <c r="N82" s="399" t="str">
        <f t="shared" si="21"/>
        <v/>
      </c>
      <c r="O82" s="399" t="str">
        <f t="shared" si="21"/>
        <v/>
      </c>
      <c r="P82" s="400"/>
      <c r="Q82" s="378" t="s">
        <v>917</v>
      </c>
      <c r="R82" s="327"/>
    </row>
    <row r="83" spans="2:20" s="317" customFormat="1" ht="15" customHeight="1" x14ac:dyDescent="0.2">
      <c r="B83" s="396" t="s">
        <v>918</v>
      </c>
      <c r="C83" s="401" t="s">
        <v>919</v>
      </c>
      <c r="D83" s="397" t="str">
        <f>IF(D82&lt;&gt;"",1,"")</f>
        <v/>
      </c>
      <c r="E83" s="397" t="str">
        <f t="shared" ref="E83:O83" si="22">IF(E82&lt;&gt;"",1,"")</f>
        <v/>
      </c>
      <c r="F83" s="397" t="str">
        <f t="shared" si="22"/>
        <v/>
      </c>
      <c r="G83" s="397" t="str">
        <f t="shared" si="22"/>
        <v/>
      </c>
      <c r="H83" s="397" t="str">
        <f t="shared" si="22"/>
        <v/>
      </c>
      <c r="I83" s="397" t="str">
        <f t="shared" si="22"/>
        <v/>
      </c>
      <c r="J83" s="397" t="str">
        <f t="shared" si="22"/>
        <v/>
      </c>
      <c r="K83" s="397" t="str">
        <f t="shared" si="22"/>
        <v/>
      </c>
      <c r="L83" s="397" t="str">
        <f t="shared" si="22"/>
        <v/>
      </c>
      <c r="M83" s="397" t="str">
        <f t="shared" si="22"/>
        <v/>
      </c>
      <c r="N83" s="397" t="str">
        <f t="shared" si="22"/>
        <v/>
      </c>
      <c r="O83" s="397" t="str">
        <f t="shared" si="22"/>
        <v/>
      </c>
      <c r="P83" s="367"/>
      <c r="Q83" s="378" t="s">
        <v>920</v>
      </c>
      <c r="R83" s="327"/>
    </row>
    <row r="84" spans="2:20" s="317" customFormat="1" ht="15" customHeight="1" x14ac:dyDescent="0.2">
      <c r="B84" s="375" t="s">
        <v>921</v>
      </c>
      <c r="C84" s="371" t="s">
        <v>922</v>
      </c>
      <c r="D84" s="402">
        <f t="shared" ref="D84:O84" si="23">EXP(D77-(D78/D86))</f>
        <v>8.1892535027530791</v>
      </c>
      <c r="E84" s="402">
        <f t="shared" si="23"/>
        <v>8.1892535027530791</v>
      </c>
      <c r="F84" s="402">
        <f t="shared" si="23"/>
        <v>8.1892535027530791</v>
      </c>
      <c r="G84" s="402">
        <f t="shared" si="23"/>
        <v>8.1892535027530791</v>
      </c>
      <c r="H84" s="402">
        <f t="shared" si="23"/>
        <v>8.1892535027530791</v>
      </c>
      <c r="I84" s="402">
        <f t="shared" si="23"/>
        <v>8.1892535027530791</v>
      </c>
      <c r="J84" s="402">
        <f t="shared" si="23"/>
        <v>8.1892535027530791</v>
      </c>
      <c r="K84" s="402">
        <f t="shared" si="23"/>
        <v>8.1892535027530791</v>
      </c>
      <c r="L84" s="402">
        <f t="shared" si="23"/>
        <v>8.1892535027530791</v>
      </c>
      <c r="M84" s="402">
        <f t="shared" si="23"/>
        <v>8.1892535027530791</v>
      </c>
      <c r="N84" s="402">
        <f t="shared" si="23"/>
        <v>8.1892535027530791</v>
      </c>
      <c r="O84" s="402">
        <f t="shared" si="23"/>
        <v>8.1892535027530791</v>
      </c>
      <c r="P84" s="403"/>
      <c r="Q84" s="327" t="s">
        <v>812</v>
      </c>
      <c r="R84" s="404" t="s">
        <v>923</v>
      </c>
      <c r="S84" s="404"/>
      <c r="T84" s="404"/>
    </row>
    <row r="85" spans="2:20" ht="15" customHeight="1" x14ac:dyDescent="0.15">
      <c r="B85" s="375" t="s">
        <v>924</v>
      </c>
      <c r="C85" s="371" t="s">
        <v>925</v>
      </c>
      <c r="D85" s="402">
        <f t="shared" ref="D85:O85" si="24">EXP(D77-(D78/D87))</f>
        <v>5.9621452143575482</v>
      </c>
      <c r="E85" s="402">
        <f t="shared" si="24"/>
        <v>5.9621452143575482</v>
      </c>
      <c r="F85" s="402">
        <f t="shared" si="24"/>
        <v>5.9621452143575482</v>
      </c>
      <c r="G85" s="402">
        <f t="shared" si="24"/>
        <v>5.9621452143575482</v>
      </c>
      <c r="H85" s="402">
        <f t="shared" si="24"/>
        <v>5.9621452143575482</v>
      </c>
      <c r="I85" s="402">
        <f t="shared" si="24"/>
        <v>5.9621452143575482</v>
      </c>
      <c r="J85" s="402">
        <f t="shared" si="24"/>
        <v>5.9621452143575482</v>
      </c>
      <c r="K85" s="402">
        <f t="shared" si="24"/>
        <v>5.9621452143575482</v>
      </c>
      <c r="L85" s="402">
        <f t="shared" si="24"/>
        <v>5.9621452143575482</v>
      </c>
      <c r="M85" s="402">
        <f t="shared" si="24"/>
        <v>5.9621452143575482</v>
      </c>
      <c r="N85" s="402">
        <f t="shared" si="24"/>
        <v>5.9621452143575482</v>
      </c>
      <c r="O85" s="402">
        <f t="shared" si="24"/>
        <v>5.9621452143575482</v>
      </c>
      <c r="P85" s="403"/>
      <c r="Q85" s="378" t="s">
        <v>812</v>
      </c>
      <c r="R85" s="404" t="s">
        <v>923</v>
      </c>
    </row>
    <row r="86" spans="2:20" ht="15" customHeight="1" x14ac:dyDescent="0.15">
      <c r="B86" s="375" t="s">
        <v>926</v>
      </c>
      <c r="C86" s="371" t="s">
        <v>927</v>
      </c>
      <c r="D86" s="384">
        <f>D68+0.25*D69</f>
        <v>528.61401333333333</v>
      </c>
      <c r="E86" s="384">
        <f t="shared" ref="E86:O86" si="25">E68+0.25*E69</f>
        <v>528.61401333333333</v>
      </c>
      <c r="F86" s="384">
        <f t="shared" si="25"/>
        <v>528.61401333333333</v>
      </c>
      <c r="G86" s="384">
        <f t="shared" si="25"/>
        <v>528.61401333333333</v>
      </c>
      <c r="H86" s="384">
        <f t="shared" si="25"/>
        <v>528.61401333333333</v>
      </c>
      <c r="I86" s="384">
        <f t="shared" si="25"/>
        <v>528.61401333333333</v>
      </c>
      <c r="J86" s="384">
        <f t="shared" si="25"/>
        <v>528.61401333333333</v>
      </c>
      <c r="K86" s="384">
        <f t="shared" si="25"/>
        <v>528.61401333333333</v>
      </c>
      <c r="L86" s="384">
        <f t="shared" si="25"/>
        <v>528.61401333333333</v>
      </c>
      <c r="M86" s="384">
        <f t="shared" si="25"/>
        <v>528.61401333333333</v>
      </c>
      <c r="N86" s="384">
        <f t="shared" si="25"/>
        <v>528.61401333333333</v>
      </c>
      <c r="O86" s="384">
        <f t="shared" si="25"/>
        <v>528.61401333333333</v>
      </c>
      <c r="P86" s="385"/>
      <c r="Q86" s="378" t="s">
        <v>880</v>
      </c>
      <c r="R86" s="314" t="s">
        <v>928</v>
      </c>
    </row>
    <row r="87" spans="2:20" ht="15" customHeight="1" x14ac:dyDescent="0.15">
      <c r="B87" s="375" t="s">
        <v>929</v>
      </c>
      <c r="C87" s="371" t="s">
        <v>930</v>
      </c>
      <c r="D87" s="384">
        <f>D68-0.25*D69</f>
        <v>511.59551333333337</v>
      </c>
      <c r="E87" s="384">
        <f t="shared" ref="E87:O87" si="26">E68-0.25*E69</f>
        <v>511.59551333333337</v>
      </c>
      <c r="F87" s="384">
        <f t="shared" si="26"/>
        <v>511.59551333333337</v>
      </c>
      <c r="G87" s="384">
        <f t="shared" si="26"/>
        <v>511.59551333333337</v>
      </c>
      <c r="H87" s="384">
        <f t="shared" si="26"/>
        <v>511.59551333333337</v>
      </c>
      <c r="I87" s="384">
        <f t="shared" si="26"/>
        <v>511.59551333333337</v>
      </c>
      <c r="J87" s="384">
        <f t="shared" si="26"/>
        <v>511.59551333333337</v>
      </c>
      <c r="K87" s="384">
        <f t="shared" si="26"/>
        <v>511.59551333333337</v>
      </c>
      <c r="L87" s="384">
        <f t="shared" si="26"/>
        <v>511.59551333333337</v>
      </c>
      <c r="M87" s="384">
        <f t="shared" si="26"/>
        <v>511.59551333333337</v>
      </c>
      <c r="N87" s="384">
        <f t="shared" si="26"/>
        <v>511.59551333333337</v>
      </c>
      <c r="O87" s="384">
        <f t="shared" si="26"/>
        <v>511.59551333333337</v>
      </c>
      <c r="P87" s="385"/>
      <c r="Q87" s="378" t="s">
        <v>880</v>
      </c>
      <c r="R87" s="314" t="s">
        <v>928</v>
      </c>
    </row>
    <row r="88" spans="2:20" ht="15" customHeight="1" x14ac:dyDescent="0.15">
      <c r="C88" s="405"/>
      <c r="D88" s="334"/>
    </row>
    <row r="89" spans="2:20" ht="15" customHeight="1" x14ac:dyDescent="0.15">
      <c r="C89" s="405"/>
      <c r="D89" s="334"/>
    </row>
    <row r="90" spans="2:20" ht="15" customHeight="1" x14ac:dyDescent="0.15">
      <c r="C90" s="405"/>
      <c r="D90" s="334"/>
    </row>
    <row r="91" spans="2:20" ht="15" customHeight="1" x14ac:dyDescent="0.15">
      <c r="C91" s="405"/>
      <c r="D91" s="334"/>
    </row>
    <row r="92" spans="2:20" ht="15" customHeight="1" x14ac:dyDescent="0.15">
      <c r="C92" s="405"/>
      <c r="D92" s="334"/>
    </row>
    <row r="93" spans="2:20" ht="15" customHeight="1" x14ac:dyDescent="0.15">
      <c r="C93" s="405"/>
    </row>
  </sheetData>
  <sheetProtection algorithmName="SHA-512" hashValue="Wilk3/3kdrzNwySkBJNCsTN1vEVribiisHPfaredYKLIAlqa/vuZsITIiZbtdC/l5ZUVnWOHoZS1Ec+j0qQB0Q==" saltValue="CR6BvR1+rhi9bcdi8LU+6w==" spinCount="100000" sheet="1" objects="1" scenarios="1"/>
  <dataConsolidate/>
  <mergeCells count="23">
    <mergeCell ref="D8:E8"/>
    <mergeCell ref="B2:E2"/>
    <mergeCell ref="B3:C3"/>
    <mergeCell ref="B5:C5"/>
    <mergeCell ref="D6:E6"/>
    <mergeCell ref="D7:E7"/>
    <mergeCell ref="F37:H37"/>
    <mergeCell ref="B10:C10"/>
    <mergeCell ref="F11:H11"/>
    <mergeCell ref="I11:L11"/>
    <mergeCell ref="F13:H13"/>
    <mergeCell ref="I13:L13"/>
    <mergeCell ref="F14:H14"/>
    <mergeCell ref="F21:H21"/>
    <mergeCell ref="F22:H22"/>
    <mergeCell ref="F23:H23"/>
    <mergeCell ref="F24:H24"/>
    <mergeCell ref="F30:H30"/>
    <mergeCell ref="F38:H38"/>
    <mergeCell ref="F39:H39"/>
    <mergeCell ref="F40:H40"/>
    <mergeCell ref="I40:K40"/>
    <mergeCell ref="F41:H41"/>
  </mergeCells>
  <dataValidations count="2">
    <dataValidation type="list" allowBlank="1" showInputMessage="1" showErrorMessage="1" sqref="D29" xr:uid="{8B33CBC9-3217-FC43-B2C0-CCA3E1A50238}">
      <formula1>$Q$28:$Q$30</formula1>
    </dataValidation>
    <dataValidation type="list" allowBlank="1" showInputMessage="1" showErrorMessage="1" sqref="D13" xr:uid="{2375881D-46CA-7841-9315-0E0F53E91642}">
      <formula1>"Select one,Above,Under"</formula1>
    </dataValidation>
  </dataValidations>
  <pageMargins left="0.7" right="0.7" top="0.75" bottom="0.75" header="0.51180555555555496" footer="0.51180555555555496"/>
  <pageSetup firstPageNumber="0" fitToWidth="0" fitToHeight="0" orientation="portrait" horizontalDpi="300" verticalDpi="300" r:id="rId1"/>
  <headerFooter>
    <oddFooter>&amp;L&amp;A&amp;C&amp;B Confidential&amp;B&amp;RPage &amp;P</oddFooter>
  </headerFooter>
  <rowBreaks count="1" manualBreakCount="1">
    <brk id="49" min="1" max="11" man="1"/>
  </rowBreaks>
  <colBreaks count="1" manualBreakCount="1">
    <brk id="8" max="78"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878CCE6-B7C0-8045-BD01-CDE7394B5440}">
          <x14:formula1>
            <xm:f>Tables!$B$27:$B$39</xm:f>
          </x14:formula1>
          <xm:sqref>D28</xm:sqref>
        </x14:dataValidation>
        <x14:dataValidation type="list" allowBlank="1" showInputMessage="1" showErrorMessage="1" xr:uid="{3BE959D0-D573-5241-BB76-FE23DEC085E8}">
          <x14:formula1>
            <xm:f>Tables!$B$11:$B$19</xm:f>
          </x14:formula1>
          <xm:sqref>D11</xm:sqref>
        </x14:dataValidation>
        <x14:dataValidation type="list" allowBlank="1" showInputMessage="1" showErrorMessage="1" xr:uid="{ABEE80B9-A6E6-914E-ACAC-9646D8E987E4}">
          <x14:formula1>
            <xm:f>'Table 7-1-7'!$A$3:$A$244</xm:f>
          </x14:formula1>
          <xm:sqref>D37</xm:sqref>
        </x14:dataValidation>
        <x14:dataValidation type="list" allowBlank="1" showInputMessage="1" showErrorMessage="1" xr:uid="{8FB79ED5-3162-9046-BC10-B6D8494352DB}">
          <x14:formula1>
            <xm:f>Tables!$B$51:$B$236</xm:f>
          </x14:formula1>
          <xm:sqref>D12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7FDFC-120F-4F49-8133-D26F39C0925D}">
  <sheetPr>
    <tabColor rgb="FF00B0F0"/>
  </sheetPr>
  <dimension ref="B1:O241"/>
  <sheetViews>
    <sheetView workbookViewId="0"/>
  </sheetViews>
  <sheetFormatPr baseColWidth="10" defaultColWidth="8.83203125" defaultRowHeight="13" x14ac:dyDescent="0.15"/>
  <cols>
    <col min="1" max="1" width="3.83203125" style="314" customWidth="1"/>
    <col min="2" max="2" width="23.6640625" style="314" customWidth="1"/>
    <col min="3" max="3" width="15.5" style="314" customWidth="1"/>
    <col min="4" max="6" width="14.5" style="314" customWidth="1"/>
    <col min="7" max="7" width="12.83203125" style="314" customWidth="1"/>
    <col min="8" max="9" width="12" style="314" customWidth="1"/>
    <col min="10" max="10" width="13.6640625" style="314" customWidth="1"/>
    <col min="11" max="16" width="12" style="314" customWidth="1"/>
    <col min="17" max="17" width="10.1640625" style="314" customWidth="1"/>
    <col min="18" max="18" width="8.83203125" style="314" customWidth="1"/>
    <col min="19" max="1026" width="9.83203125" style="314" customWidth="1"/>
    <col min="1027" max="16384" width="8.83203125" style="314"/>
  </cols>
  <sheetData>
    <row r="1" spans="2:14" ht="15" customHeight="1" x14ac:dyDescent="0.15">
      <c r="G1" s="315"/>
    </row>
    <row r="2" spans="2:14" ht="15" customHeight="1" thickBot="1" x14ac:dyDescent="0.2">
      <c r="B2" s="617" t="s">
        <v>931</v>
      </c>
      <c r="C2" s="617"/>
      <c r="D2" s="617"/>
      <c r="E2" s="617"/>
      <c r="F2" s="617"/>
      <c r="G2" s="617"/>
    </row>
    <row r="3" spans="2:14" ht="15" customHeight="1" x14ac:dyDescent="0.15">
      <c r="B3" s="618" t="s">
        <v>932</v>
      </c>
      <c r="C3" s="618"/>
      <c r="D3" s="632" t="s">
        <v>933</v>
      </c>
      <c r="E3" s="632"/>
      <c r="F3" s="632"/>
      <c r="G3" s="632"/>
    </row>
    <row r="4" spans="2:14" x14ac:dyDescent="0.15">
      <c r="B4" s="406"/>
    </row>
    <row r="5" spans="2:14" ht="15" customHeight="1" x14ac:dyDescent="0.15">
      <c r="B5" s="633" t="s">
        <v>934</v>
      </c>
      <c r="C5" s="633"/>
      <c r="D5" s="633"/>
      <c r="E5" s="633"/>
    </row>
    <row r="6" spans="2:14" ht="13" customHeight="1" x14ac:dyDescent="0.15">
      <c r="B6" s="407"/>
      <c r="C6" s="407"/>
      <c r="D6" s="407"/>
      <c r="E6" s="407"/>
    </row>
    <row r="7" spans="2:14" ht="13" customHeight="1" x14ac:dyDescent="0.15">
      <c r="B7" s="634" t="s">
        <v>935</v>
      </c>
      <c r="C7" s="634" t="s">
        <v>936</v>
      </c>
      <c r="D7" s="636" t="s">
        <v>937</v>
      </c>
      <c r="E7" s="634" t="s">
        <v>938</v>
      </c>
      <c r="F7" s="410" t="s">
        <v>909</v>
      </c>
      <c r="G7" s="410" t="s">
        <v>909</v>
      </c>
      <c r="H7" s="408" t="s">
        <v>939</v>
      </c>
    </row>
    <row r="8" spans="2:14" ht="12.75" customHeight="1" x14ac:dyDescent="0.15">
      <c r="B8" s="634"/>
      <c r="C8" s="634"/>
      <c r="D8" s="636"/>
      <c r="E8" s="634"/>
      <c r="F8" s="410"/>
      <c r="G8" s="410"/>
      <c r="H8" s="408"/>
    </row>
    <row r="9" spans="2:14" ht="16" x14ac:dyDescent="0.2">
      <c r="B9" s="634"/>
      <c r="C9" s="334" t="s">
        <v>940</v>
      </c>
      <c r="D9" s="409" t="s">
        <v>941</v>
      </c>
      <c r="E9" s="334" t="s">
        <v>942</v>
      </c>
      <c r="F9" s="334" t="s">
        <v>910</v>
      </c>
      <c r="G9" s="334" t="s">
        <v>911</v>
      </c>
      <c r="H9" s="334" t="s">
        <v>853</v>
      </c>
    </row>
    <row r="10" spans="2:14" ht="14" x14ac:dyDescent="0.15">
      <c r="B10" s="635"/>
      <c r="C10" s="411" t="s">
        <v>943</v>
      </c>
      <c r="D10" s="412" t="s">
        <v>850</v>
      </c>
      <c r="E10" s="411" t="s">
        <v>944</v>
      </c>
      <c r="F10" s="413" t="s">
        <v>945</v>
      </c>
      <c r="G10" s="413" t="s">
        <v>946</v>
      </c>
      <c r="H10" s="411" t="s">
        <v>947</v>
      </c>
    </row>
    <row r="11" spans="2:14" x14ac:dyDescent="0.15">
      <c r="B11" s="414" t="s">
        <v>717</v>
      </c>
      <c r="C11" s="415">
        <v>62</v>
      </c>
      <c r="D11" s="415">
        <v>92</v>
      </c>
      <c r="E11" s="415">
        <v>5.6</v>
      </c>
      <c r="F11" s="415">
        <v>11.644</v>
      </c>
      <c r="G11" s="415">
        <v>5043.6000000000004</v>
      </c>
      <c r="H11" s="416">
        <v>7</v>
      </c>
      <c r="I11" s="417"/>
      <c r="J11" s="417"/>
      <c r="K11" s="417"/>
      <c r="L11" s="417"/>
      <c r="M11" s="417"/>
      <c r="N11" s="418"/>
    </row>
    <row r="12" spans="2:14" x14ac:dyDescent="0.15">
      <c r="B12" s="414" t="s">
        <v>948</v>
      </c>
      <c r="C12" s="419">
        <v>66</v>
      </c>
      <c r="D12" s="419">
        <v>92</v>
      </c>
      <c r="E12" s="419">
        <v>5.6</v>
      </c>
      <c r="F12" s="419">
        <v>11.724</v>
      </c>
      <c r="G12" s="419">
        <v>5237.3</v>
      </c>
      <c r="H12" s="420">
        <v>5.2</v>
      </c>
      <c r="I12" s="417"/>
      <c r="J12" s="417"/>
      <c r="K12" s="417"/>
      <c r="L12" s="417"/>
      <c r="M12" s="417"/>
      <c r="N12" s="418"/>
    </row>
    <row r="13" spans="2:14" x14ac:dyDescent="0.15">
      <c r="B13" s="414" t="s">
        <v>949</v>
      </c>
      <c r="C13" s="419">
        <v>68</v>
      </c>
      <c r="D13" s="419">
        <v>92</v>
      </c>
      <c r="E13" s="419">
        <v>5.6</v>
      </c>
      <c r="F13" s="419">
        <v>11.833</v>
      </c>
      <c r="G13" s="419">
        <v>5500.6</v>
      </c>
      <c r="H13" s="420">
        <v>3.5</v>
      </c>
      <c r="I13" s="417"/>
      <c r="J13" s="417"/>
      <c r="K13" s="417"/>
      <c r="L13" s="417"/>
      <c r="M13" s="417"/>
      <c r="N13" s="418"/>
    </row>
    <row r="14" spans="2:14" x14ac:dyDescent="0.15">
      <c r="B14" s="414" t="s">
        <v>950</v>
      </c>
      <c r="C14" s="419">
        <v>80</v>
      </c>
      <c r="D14" s="419">
        <v>120</v>
      </c>
      <c r="E14" s="419">
        <v>6.4</v>
      </c>
      <c r="F14" s="419">
        <v>11.368</v>
      </c>
      <c r="G14" s="419">
        <v>5784.3</v>
      </c>
      <c r="H14" s="420">
        <v>1.3</v>
      </c>
      <c r="I14" s="417"/>
      <c r="J14" s="417"/>
      <c r="K14" s="417"/>
      <c r="L14" s="417"/>
      <c r="M14" s="417"/>
      <c r="N14" s="418"/>
    </row>
    <row r="15" spans="2:14" x14ac:dyDescent="0.15">
      <c r="B15" s="414" t="s">
        <v>951</v>
      </c>
      <c r="C15" s="419">
        <v>130</v>
      </c>
      <c r="D15" s="419">
        <v>162</v>
      </c>
      <c r="E15" s="420">
        <v>7</v>
      </c>
      <c r="F15" s="421">
        <v>12.39</v>
      </c>
      <c r="G15" s="420">
        <v>8933</v>
      </c>
      <c r="H15" s="421">
        <v>8.0000000000000002E-3</v>
      </c>
      <c r="I15" s="422"/>
      <c r="J15" s="422"/>
      <c r="K15" s="422"/>
      <c r="L15" s="422"/>
      <c r="M15" s="422"/>
      <c r="N15" s="418"/>
    </row>
    <row r="16" spans="2:14" x14ac:dyDescent="0.15">
      <c r="B16" s="414" t="s">
        <v>952</v>
      </c>
      <c r="C16" s="419">
        <v>130</v>
      </c>
      <c r="D16" s="419">
        <v>188</v>
      </c>
      <c r="E16" s="419">
        <v>7.1</v>
      </c>
      <c r="F16" s="419">
        <v>12.101000000000001</v>
      </c>
      <c r="G16" s="420">
        <v>8907</v>
      </c>
      <c r="H16" s="421">
        <v>6.0000000000000001E-3</v>
      </c>
      <c r="I16" s="422"/>
      <c r="J16" s="422"/>
      <c r="K16" s="422"/>
      <c r="L16" s="422"/>
      <c r="M16" s="422"/>
      <c r="N16" s="418"/>
    </row>
    <row r="17" spans="2:14" x14ac:dyDescent="0.15">
      <c r="B17" s="414" t="s">
        <v>953</v>
      </c>
      <c r="C17" s="419">
        <v>130</v>
      </c>
      <c r="D17" s="419">
        <v>387</v>
      </c>
      <c r="E17" s="419">
        <v>7.9</v>
      </c>
      <c r="F17" s="419">
        <v>10.781000000000001</v>
      </c>
      <c r="G17" s="420">
        <v>8933</v>
      </c>
      <c r="H17" s="421">
        <v>2E-3</v>
      </c>
      <c r="I17" s="422"/>
      <c r="J17" s="422"/>
      <c r="K17" s="422"/>
      <c r="L17" s="422"/>
      <c r="M17" s="422"/>
      <c r="N17" s="418"/>
    </row>
    <row r="18" spans="2:14" x14ac:dyDescent="0.15">
      <c r="B18" s="414" t="s">
        <v>954</v>
      </c>
      <c r="C18" s="419">
        <v>190</v>
      </c>
      <c r="D18" s="419">
        <v>387</v>
      </c>
      <c r="E18" s="419">
        <v>7.9</v>
      </c>
      <c r="F18" s="419">
        <v>10.103999999999999</v>
      </c>
      <c r="G18" s="419">
        <v>10475.5</v>
      </c>
      <c r="H18" s="423">
        <v>4.0000000000000002E-4</v>
      </c>
      <c r="I18" s="424"/>
      <c r="J18" s="424"/>
      <c r="K18" s="424"/>
      <c r="L18" s="424"/>
      <c r="M18" s="424"/>
      <c r="N18" s="418"/>
    </row>
    <row r="19" spans="2:14" x14ac:dyDescent="0.15">
      <c r="B19" s="425" t="s">
        <v>955</v>
      </c>
      <c r="C19" s="426"/>
      <c r="E19" s="426"/>
      <c r="F19" s="334"/>
      <c r="G19" s="426"/>
      <c r="H19" s="334"/>
    </row>
    <row r="20" spans="2:14" x14ac:dyDescent="0.15">
      <c r="B20" s="427"/>
      <c r="C20" s="428"/>
      <c r="E20" s="428"/>
      <c r="F20" s="334"/>
      <c r="G20" s="429"/>
      <c r="H20" s="401"/>
    </row>
    <row r="21" spans="2:14" x14ac:dyDescent="0.15">
      <c r="C21" s="334"/>
      <c r="D21" s="334"/>
      <c r="E21" s="334"/>
    </row>
    <row r="23" spans="2:14" ht="14" x14ac:dyDescent="0.15">
      <c r="B23" s="407" t="s">
        <v>956</v>
      </c>
    </row>
    <row r="24" spans="2:14" ht="15" customHeight="1" x14ac:dyDescent="0.15">
      <c r="B24" s="634" t="s">
        <v>957</v>
      </c>
      <c r="C24" s="634" t="s">
        <v>958</v>
      </c>
      <c r="D24" s="637" t="s">
        <v>959</v>
      </c>
      <c r="E24" s="637"/>
      <c r="F24" s="637"/>
    </row>
    <row r="25" spans="2:14" x14ac:dyDescent="0.15">
      <c r="B25" s="634"/>
      <c r="C25" s="634"/>
      <c r="D25" s="637"/>
      <c r="E25" s="637"/>
      <c r="F25" s="637"/>
    </row>
    <row r="26" spans="2:14" x14ac:dyDescent="0.15">
      <c r="B26" s="635"/>
      <c r="C26" s="635"/>
      <c r="D26" s="430" t="s">
        <v>960</v>
      </c>
      <c r="E26" s="430" t="s">
        <v>72</v>
      </c>
      <c r="F26" s="430" t="s">
        <v>961</v>
      </c>
      <c r="G26" s="431" t="s">
        <v>801</v>
      </c>
    </row>
    <row r="27" spans="2:14" x14ac:dyDescent="0.15">
      <c r="B27" s="432" t="s">
        <v>962</v>
      </c>
      <c r="C27" s="433"/>
      <c r="D27" s="419">
        <v>0.17</v>
      </c>
      <c r="E27" s="419">
        <v>0.25</v>
      </c>
      <c r="F27" s="419">
        <v>0.34</v>
      </c>
      <c r="G27" s="431" t="s">
        <v>963</v>
      </c>
    </row>
    <row r="28" spans="2:14" x14ac:dyDescent="0.15">
      <c r="B28" s="432" t="s">
        <v>964</v>
      </c>
      <c r="C28" s="433"/>
      <c r="D28" s="419">
        <v>0.39</v>
      </c>
      <c r="E28" s="419">
        <v>0.44</v>
      </c>
      <c r="F28" s="419">
        <v>0.49</v>
      </c>
      <c r="G28" s="431" t="s">
        <v>965</v>
      </c>
    </row>
    <row r="29" spans="2:14" x14ac:dyDescent="0.15">
      <c r="B29" s="432" t="s">
        <v>966</v>
      </c>
      <c r="C29" s="433"/>
      <c r="D29" s="434">
        <v>0.6</v>
      </c>
      <c r="E29" s="419">
        <v>0.64</v>
      </c>
      <c r="F29" s="419">
        <v>0.68</v>
      </c>
      <c r="G29" s="431" t="s">
        <v>967</v>
      </c>
    </row>
    <row r="30" spans="2:14" x14ac:dyDescent="0.15">
      <c r="B30" s="432" t="s">
        <v>968</v>
      </c>
      <c r="C30" s="433"/>
      <c r="D30" s="419">
        <v>0.35</v>
      </c>
      <c r="E30" s="419">
        <v>0.42</v>
      </c>
      <c r="F30" s="419">
        <v>0.49</v>
      </c>
      <c r="G30" s="431" t="s">
        <v>969</v>
      </c>
    </row>
    <row r="31" spans="2:14" x14ac:dyDescent="0.15">
      <c r="B31" s="432" t="s">
        <v>970</v>
      </c>
      <c r="C31" s="433"/>
      <c r="D31" s="419">
        <v>0.97</v>
      </c>
      <c r="E31" s="419">
        <v>0.97</v>
      </c>
      <c r="F31" s="419">
        <v>0.97</v>
      </c>
      <c r="G31" s="431" t="s">
        <v>971</v>
      </c>
    </row>
    <row r="32" spans="2:14" x14ac:dyDescent="0.15">
      <c r="B32" s="432" t="s">
        <v>972</v>
      </c>
      <c r="C32" s="433"/>
      <c r="D32" s="419">
        <v>0.57999999999999996</v>
      </c>
      <c r="E32" s="419">
        <v>0.62</v>
      </c>
      <c r="F32" s="419">
        <v>0.67</v>
      </c>
      <c r="G32" s="431" t="s">
        <v>973</v>
      </c>
      <c r="I32" s="435"/>
      <c r="J32" s="435"/>
    </row>
    <row r="33" spans="2:15" x14ac:dyDescent="0.15">
      <c r="B33" s="432" t="s">
        <v>974</v>
      </c>
      <c r="C33" s="433"/>
      <c r="D33" s="419">
        <v>0.54</v>
      </c>
      <c r="E33" s="419">
        <v>0.57999999999999996</v>
      </c>
      <c r="F33" s="419">
        <v>0.63</v>
      </c>
      <c r="G33" s="431" t="s">
        <v>975</v>
      </c>
      <c r="I33" s="435"/>
      <c r="J33" s="435"/>
    </row>
    <row r="34" spans="2:15" x14ac:dyDescent="0.15">
      <c r="B34" s="432" t="s">
        <v>976</v>
      </c>
      <c r="C34" s="433"/>
      <c r="D34" s="419">
        <v>0.68</v>
      </c>
      <c r="E34" s="419">
        <v>0.71</v>
      </c>
      <c r="F34" s="419">
        <v>0.74</v>
      </c>
      <c r="G34" s="431" t="s">
        <v>977</v>
      </c>
      <c r="I34" s="435"/>
      <c r="J34" s="435"/>
    </row>
    <row r="35" spans="2:15" x14ac:dyDescent="0.15">
      <c r="B35" s="432" t="s">
        <v>978</v>
      </c>
      <c r="C35" s="433"/>
      <c r="D35" s="419">
        <v>0.89</v>
      </c>
      <c r="E35" s="434">
        <v>0.9</v>
      </c>
      <c r="F35" s="419">
        <v>0.91</v>
      </c>
      <c r="G35" s="431" t="s">
        <v>979</v>
      </c>
      <c r="I35" s="435"/>
      <c r="J35" s="435"/>
    </row>
    <row r="36" spans="2:15" x14ac:dyDescent="0.15">
      <c r="B36" s="432" t="s">
        <v>774</v>
      </c>
      <c r="C36" s="433"/>
      <c r="D36" s="419">
        <v>0.89</v>
      </c>
      <c r="E36" s="434">
        <v>0.9</v>
      </c>
      <c r="F36" s="419">
        <v>0.91</v>
      </c>
      <c r="G36" s="431" t="s">
        <v>980</v>
      </c>
      <c r="I36" s="435"/>
      <c r="J36" s="435"/>
    </row>
    <row r="37" spans="2:15" x14ac:dyDescent="0.15">
      <c r="B37" s="432" t="s">
        <v>981</v>
      </c>
      <c r="C37" s="433"/>
      <c r="D37" s="419">
        <v>0.38</v>
      </c>
      <c r="E37" s="419">
        <v>0.44</v>
      </c>
      <c r="F37" s="434">
        <v>0.5</v>
      </c>
      <c r="G37" s="431" t="s">
        <v>982</v>
      </c>
      <c r="I37" s="435"/>
      <c r="J37" s="435"/>
    </row>
    <row r="38" spans="2:15" x14ac:dyDescent="0.15">
      <c r="B38" s="432" t="s">
        <v>983</v>
      </c>
      <c r="C38" s="433"/>
      <c r="D38" s="419">
        <v>0.43</v>
      </c>
      <c r="E38" s="419">
        <v>0.49</v>
      </c>
      <c r="F38" s="419">
        <v>0.55000000000000004</v>
      </c>
      <c r="G38" s="431" t="s">
        <v>984</v>
      </c>
      <c r="I38" s="435"/>
      <c r="J38" s="435"/>
    </row>
    <row r="39" spans="2:15" x14ac:dyDescent="0.15">
      <c r="B39" s="432" t="s">
        <v>985</v>
      </c>
      <c r="C39" s="433"/>
      <c r="D39" s="434">
        <v>0.1</v>
      </c>
      <c r="E39" s="419">
        <v>0.12</v>
      </c>
      <c r="F39" s="419">
        <v>0.15</v>
      </c>
      <c r="G39" s="431" t="s">
        <v>986</v>
      </c>
      <c r="I39" s="435"/>
      <c r="J39" s="435"/>
    </row>
    <row r="40" spans="2:15" x14ac:dyDescent="0.15">
      <c r="B40" s="436" t="s">
        <v>987</v>
      </c>
      <c r="I40" s="435"/>
      <c r="J40" s="435"/>
    </row>
    <row r="41" spans="2:15" x14ac:dyDescent="0.15">
      <c r="B41" s="436" t="s">
        <v>988</v>
      </c>
      <c r="I41" s="435"/>
      <c r="J41" s="435"/>
    </row>
    <row r="42" spans="2:15" x14ac:dyDescent="0.15">
      <c r="B42" s="436" t="s">
        <v>989</v>
      </c>
      <c r="I42" s="435"/>
      <c r="J42" s="435"/>
    </row>
    <row r="43" spans="2:15" x14ac:dyDescent="0.15">
      <c r="B43" s="436" t="s">
        <v>990</v>
      </c>
      <c r="I43" s="435"/>
      <c r="J43" s="435"/>
    </row>
    <row r="44" spans="2:15" x14ac:dyDescent="0.15">
      <c r="B44" s="436" t="s">
        <v>991</v>
      </c>
    </row>
    <row r="47" spans="2:15" ht="15" x14ac:dyDescent="0.15">
      <c r="B47" s="437" t="s">
        <v>992</v>
      </c>
      <c r="C47" s="418"/>
      <c r="D47" s="418"/>
      <c r="E47" s="418"/>
      <c r="F47" s="418"/>
      <c r="G47" s="418"/>
      <c r="H47" s="418"/>
      <c r="I47" s="418"/>
      <c r="J47" s="418"/>
      <c r="K47" s="418"/>
      <c r="L47" s="418"/>
      <c r="M47" s="418"/>
      <c r="N47" s="418"/>
      <c r="O47" s="418"/>
    </row>
    <row r="48" spans="2:15" ht="15" x14ac:dyDescent="0.15">
      <c r="B48" s="638" t="s">
        <v>993</v>
      </c>
      <c r="C48" s="639"/>
      <c r="D48" s="640"/>
      <c r="E48" s="630" t="s">
        <v>994</v>
      </c>
      <c r="F48" s="630" t="s">
        <v>995</v>
      </c>
      <c r="G48" s="624" t="s">
        <v>996</v>
      </c>
      <c r="H48" s="625"/>
      <c r="I48" s="630" t="s">
        <v>997</v>
      </c>
      <c r="J48" s="631" t="s">
        <v>998</v>
      </c>
      <c r="K48" s="631"/>
      <c r="L48" s="631"/>
      <c r="M48" s="631"/>
      <c r="N48" s="631"/>
      <c r="O48" s="630" t="s">
        <v>999</v>
      </c>
    </row>
    <row r="49" spans="2:15" x14ac:dyDescent="0.15">
      <c r="B49" s="641"/>
      <c r="C49" s="642"/>
      <c r="D49" s="643"/>
      <c r="E49" s="630"/>
      <c r="F49" s="630"/>
      <c r="G49" s="626"/>
      <c r="H49" s="627"/>
      <c r="I49" s="630"/>
      <c r="J49" s="631" t="s">
        <v>1000</v>
      </c>
      <c r="K49" s="631"/>
      <c r="L49" s="631"/>
      <c r="M49" s="630" t="s">
        <v>1001</v>
      </c>
      <c r="N49" s="630"/>
      <c r="O49" s="630"/>
    </row>
    <row r="50" spans="2:15" ht="28" x14ac:dyDescent="0.15">
      <c r="B50" s="644"/>
      <c r="C50" s="645"/>
      <c r="D50" s="646"/>
      <c r="E50" s="630"/>
      <c r="F50" s="630"/>
      <c r="G50" s="628"/>
      <c r="H50" s="629"/>
      <c r="I50" s="630"/>
      <c r="J50" s="439" t="s">
        <v>1002</v>
      </c>
      <c r="K50" s="439" t="s">
        <v>1003</v>
      </c>
      <c r="L50" s="439" t="s">
        <v>1004</v>
      </c>
      <c r="M50" s="438" t="s">
        <v>1005</v>
      </c>
      <c r="N50" s="438" t="s">
        <v>1006</v>
      </c>
      <c r="O50" s="630"/>
    </row>
    <row r="51" spans="2:15" ht="15" x14ac:dyDescent="0.15">
      <c r="B51" s="621" t="s">
        <v>13</v>
      </c>
      <c r="C51" s="622"/>
      <c r="D51" s="623"/>
      <c r="E51" s="419" t="s">
        <v>1007</v>
      </c>
      <c r="F51" s="419">
        <v>44.05</v>
      </c>
      <c r="G51" s="440">
        <v>6.54</v>
      </c>
      <c r="H51" s="441">
        <v>64</v>
      </c>
      <c r="I51" s="419">
        <v>12.19</v>
      </c>
      <c r="J51" s="421">
        <v>8.0630000000000006</v>
      </c>
      <c r="K51" s="442">
        <v>1637.1</v>
      </c>
      <c r="L51" s="434">
        <v>295.47000000000003</v>
      </c>
      <c r="M51" s="419">
        <v>32</v>
      </c>
      <c r="N51" s="419">
        <v>94</v>
      </c>
      <c r="O51" s="419">
        <v>69</v>
      </c>
    </row>
    <row r="52" spans="2:15" ht="15" x14ac:dyDescent="0.15">
      <c r="B52" s="621" t="s">
        <v>1008</v>
      </c>
      <c r="C52" s="622"/>
      <c r="D52" s="623"/>
      <c r="E52" s="419" t="s">
        <v>1009</v>
      </c>
      <c r="F52" s="419">
        <v>60.05</v>
      </c>
      <c r="G52" s="440">
        <v>8.7200000000000006</v>
      </c>
      <c r="H52" s="441">
        <v>77</v>
      </c>
      <c r="I52" s="419">
        <v>0.17599999999999999</v>
      </c>
      <c r="J52" s="421">
        <v>7.5570000000000004</v>
      </c>
      <c r="K52" s="442">
        <v>1642.5</v>
      </c>
      <c r="L52" s="434">
        <v>233.39</v>
      </c>
      <c r="M52" s="419">
        <v>63</v>
      </c>
      <c r="N52" s="419">
        <v>244</v>
      </c>
      <c r="O52" s="419">
        <v>244</v>
      </c>
    </row>
    <row r="53" spans="2:15" ht="15" x14ac:dyDescent="0.15">
      <c r="B53" s="621" t="s">
        <v>1010</v>
      </c>
      <c r="C53" s="622"/>
      <c r="D53" s="623"/>
      <c r="E53" s="419" t="s">
        <v>1011</v>
      </c>
      <c r="F53" s="419">
        <v>102.09</v>
      </c>
      <c r="G53" s="440">
        <v>9.0299999999999994</v>
      </c>
      <c r="H53" s="441"/>
      <c r="I53" s="419">
        <v>5.2999999999999999E-2</v>
      </c>
      <c r="J53" s="421">
        <v>7.1219999999999999</v>
      </c>
      <c r="K53" s="442">
        <v>1427.8</v>
      </c>
      <c r="L53" s="434">
        <v>198.04</v>
      </c>
      <c r="M53" s="419">
        <v>145</v>
      </c>
      <c r="N53" s="419">
        <v>283</v>
      </c>
      <c r="O53" s="419">
        <v>282</v>
      </c>
    </row>
    <row r="54" spans="2:15" ht="15" x14ac:dyDescent="0.15">
      <c r="B54" s="621" t="s">
        <v>1012</v>
      </c>
      <c r="C54" s="622"/>
      <c r="D54" s="623"/>
      <c r="E54" s="419" t="s">
        <v>1013</v>
      </c>
      <c r="F54" s="419">
        <v>58.08</v>
      </c>
      <c r="G54" s="440">
        <v>6.55</v>
      </c>
      <c r="H54" s="441">
        <v>77</v>
      </c>
      <c r="I54" s="419">
        <v>2.9209999999999998</v>
      </c>
      <c r="J54" s="421">
        <v>7.3</v>
      </c>
      <c r="K54" s="442">
        <v>1312.3</v>
      </c>
      <c r="L54" s="434">
        <v>240.71</v>
      </c>
      <c r="M54" s="419">
        <v>7</v>
      </c>
      <c r="N54" s="419">
        <v>454</v>
      </c>
      <c r="O54" s="419">
        <v>133</v>
      </c>
    </row>
    <row r="55" spans="2:15" ht="15" x14ac:dyDescent="0.15">
      <c r="B55" s="621" t="s">
        <v>1014</v>
      </c>
      <c r="C55" s="622"/>
      <c r="D55" s="623"/>
      <c r="E55" s="419" t="s">
        <v>1015</v>
      </c>
      <c r="F55" s="419">
        <v>41.05</v>
      </c>
      <c r="G55" s="440">
        <v>6.56</v>
      </c>
      <c r="H55" s="441"/>
      <c r="I55" s="419">
        <v>1.0900000000000001</v>
      </c>
      <c r="J55" s="421">
        <v>7.1539999999999999</v>
      </c>
      <c r="K55" s="442">
        <v>1355.4</v>
      </c>
      <c r="L55" s="434">
        <v>235.3</v>
      </c>
      <c r="M55" s="419">
        <v>59</v>
      </c>
      <c r="N55" s="419">
        <v>192</v>
      </c>
      <c r="O55" s="419">
        <v>179</v>
      </c>
    </row>
    <row r="56" spans="2:15" ht="15" x14ac:dyDescent="0.15">
      <c r="B56" s="621" t="s">
        <v>1016</v>
      </c>
      <c r="C56" s="622"/>
      <c r="D56" s="623"/>
      <c r="E56" s="419" t="s">
        <v>1017</v>
      </c>
      <c r="F56" s="419">
        <v>71.08</v>
      </c>
      <c r="G56" s="440">
        <v>9.36</v>
      </c>
      <c r="H56" s="441"/>
      <c r="I56" s="443">
        <v>8.5699999999999996E-5</v>
      </c>
      <c r="J56" s="421">
        <v>11.292999999999999</v>
      </c>
      <c r="K56" s="442">
        <v>3939.9</v>
      </c>
      <c r="L56" s="434">
        <v>273.16000000000003</v>
      </c>
      <c r="M56" s="419"/>
      <c r="N56" s="419"/>
      <c r="O56" s="419">
        <v>379</v>
      </c>
    </row>
    <row r="57" spans="2:15" ht="15" x14ac:dyDescent="0.15">
      <c r="B57" s="621" t="s">
        <v>1018</v>
      </c>
      <c r="C57" s="622"/>
      <c r="D57" s="623"/>
      <c r="E57" s="419" t="s">
        <v>1019</v>
      </c>
      <c r="F57" s="419">
        <v>72.06</v>
      </c>
      <c r="G57" s="440">
        <v>8.77</v>
      </c>
      <c r="H57" s="441"/>
      <c r="I57" s="419">
        <v>1.3440000000000001</v>
      </c>
      <c r="J57" s="421">
        <v>5.6520000000000001</v>
      </c>
      <c r="K57" s="442">
        <v>648.6</v>
      </c>
      <c r="L57" s="434">
        <v>154.68</v>
      </c>
      <c r="M57" s="419">
        <v>68</v>
      </c>
      <c r="N57" s="419">
        <v>158</v>
      </c>
      <c r="O57" s="419">
        <v>282</v>
      </c>
    </row>
    <row r="58" spans="2:15" ht="15" x14ac:dyDescent="0.15">
      <c r="B58" s="621" t="s">
        <v>1020</v>
      </c>
      <c r="C58" s="622"/>
      <c r="D58" s="623"/>
      <c r="E58" s="419" t="s">
        <v>1021</v>
      </c>
      <c r="F58" s="419">
        <v>53.06</v>
      </c>
      <c r="G58" s="440">
        <v>6.73</v>
      </c>
      <c r="H58" s="441"/>
      <c r="I58" s="419">
        <v>1.383</v>
      </c>
      <c r="J58" s="421">
        <v>6.9420000000000002</v>
      </c>
      <c r="K58" s="442">
        <v>1255.9000000000001</v>
      </c>
      <c r="L58" s="434">
        <v>231.3</v>
      </c>
      <c r="M58" s="419">
        <v>-60</v>
      </c>
      <c r="N58" s="419">
        <v>172</v>
      </c>
      <c r="O58" s="419">
        <v>172</v>
      </c>
    </row>
    <row r="59" spans="2:15" ht="15" x14ac:dyDescent="0.15">
      <c r="B59" s="621" t="s">
        <v>1022</v>
      </c>
      <c r="C59" s="622"/>
      <c r="D59" s="623"/>
      <c r="E59" s="419" t="s">
        <v>1023</v>
      </c>
      <c r="F59" s="419">
        <v>58.08</v>
      </c>
      <c r="G59" s="440">
        <v>7.13</v>
      </c>
      <c r="H59" s="441"/>
      <c r="I59" s="419">
        <v>0.32600000000000001</v>
      </c>
      <c r="J59" s="421">
        <v>11.657999999999999</v>
      </c>
      <c r="K59" s="442">
        <v>4510.2</v>
      </c>
      <c r="L59" s="434">
        <v>416.8</v>
      </c>
      <c r="M59" s="419">
        <v>70</v>
      </c>
      <c r="N59" s="419">
        <v>207</v>
      </c>
      <c r="O59" s="419">
        <v>206</v>
      </c>
    </row>
    <row r="60" spans="2:15" ht="15" x14ac:dyDescent="0.15">
      <c r="B60" s="621" t="s">
        <v>1024</v>
      </c>
      <c r="C60" s="622"/>
      <c r="D60" s="623"/>
      <c r="E60" s="419" t="s">
        <v>1025</v>
      </c>
      <c r="F60" s="419">
        <v>76.52</v>
      </c>
      <c r="G60" s="440">
        <v>7.83</v>
      </c>
      <c r="H60" s="441"/>
      <c r="I60" s="419">
        <v>4.702</v>
      </c>
      <c r="J60" s="421">
        <v>5.2969999999999997</v>
      </c>
      <c r="K60" s="442">
        <v>418.4</v>
      </c>
      <c r="L60" s="434">
        <v>128.68</v>
      </c>
      <c r="M60" s="419">
        <v>55</v>
      </c>
      <c r="N60" s="419">
        <v>111</v>
      </c>
      <c r="O60" s="419">
        <v>113</v>
      </c>
    </row>
    <row r="61" spans="2:15" ht="15" x14ac:dyDescent="0.15">
      <c r="B61" s="621" t="s">
        <v>1026</v>
      </c>
      <c r="C61" s="622"/>
      <c r="D61" s="623"/>
      <c r="E61" s="419" t="s">
        <v>1027</v>
      </c>
      <c r="F61" s="419">
        <v>93.13</v>
      </c>
      <c r="G61" s="440">
        <v>8.5299999999999994</v>
      </c>
      <c r="H61" s="441"/>
      <c r="I61" s="419">
        <v>5.7999999999999996E-3</v>
      </c>
      <c r="J61" s="421">
        <v>7.2210000000000001</v>
      </c>
      <c r="K61" s="442">
        <v>1661.9</v>
      </c>
      <c r="L61" s="434">
        <v>199.1</v>
      </c>
      <c r="M61" s="419">
        <v>88</v>
      </c>
      <c r="N61" s="419">
        <v>363</v>
      </c>
      <c r="O61" s="419">
        <v>363</v>
      </c>
    </row>
    <row r="62" spans="2:15" ht="15" x14ac:dyDescent="0.15">
      <c r="B62" s="621" t="s">
        <v>15</v>
      </c>
      <c r="C62" s="622"/>
      <c r="D62" s="623"/>
      <c r="E62" s="419" t="s">
        <v>1028</v>
      </c>
      <c r="F62" s="419">
        <v>78.11</v>
      </c>
      <c r="G62" s="440">
        <v>7.32</v>
      </c>
      <c r="H62" s="441"/>
      <c r="I62" s="419">
        <v>1.171</v>
      </c>
      <c r="J62" s="421">
        <v>6.9059999999999997</v>
      </c>
      <c r="K62" s="442">
        <v>1211</v>
      </c>
      <c r="L62" s="434">
        <v>220.79</v>
      </c>
      <c r="M62" s="419">
        <v>46</v>
      </c>
      <c r="N62" s="419">
        <v>217</v>
      </c>
      <c r="O62" s="419">
        <v>176</v>
      </c>
    </row>
    <row r="63" spans="2:15" ht="15" x14ac:dyDescent="0.15">
      <c r="B63" s="621" t="s">
        <v>630</v>
      </c>
      <c r="C63" s="622"/>
      <c r="D63" s="623"/>
      <c r="E63" s="419" t="s">
        <v>1029</v>
      </c>
      <c r="F63" s="419">
        <v>228.29</v>
      </c>
      <c r="G63" s="440"/>
      <c r="H63" s="441"/>
      <c r="I63" s="443">
        <v>7.9199999999999995E-10</v>
      </c>
      <c r="J63" s="421">
        <v>11.528</v>
      </c>
      <c r="K63" s="442">
        <v>5461</v>
      </c>
      <c r="L63" s="434">
        <v>273.14999999999998</v>
      </c>
      <c r="M63" s="419">
        <v>219</v>
      </c>
      <c r="N63" s="419">
        <v>260</v>
      </c>
      <c r="O63" s="419">
        <v>820</v>
      </c>
    </row>
    <row r="64" spans="2:15" ht="15" x14ac:dyDescent="0.15">
      <c r="B64" s="621" t="s">
        <v>223</v>
      </c>
      <c r="C64" s="622"/>
      <c r="D64" s="623"/>
      <c r="E64" s="419" t="s">
        <v>1030</v>
      </c>
      <c r="F64" s="419">
        <v>252.31</v>
      </c>
      <c r="G64" s="440"/>
      <c r="H64" s="441"/>
      <c r="I64" s="443">
        <v>2.29E-11</v>
      </c>
      <c r="J64" s="421">
        <v>12.481999999999999</v>
      </c>
      <c r="K64" s="442">
        <v>6181</v>
      </c>
      <c r="L64" s="434">
        <v>273.14999999999998</v>
      </c>
      <c r="M64" s="419">
        <v>185</v>
      </c>
      <c r="N64" s="419">
        <v>316</v>
      </c>
      <c r="O64" s="419">
        <v>923</v>
      </c>
    </row>
    <row r="65" spans="2:15" ht="15" x14ac:dyDescent="0.15">
      <c r="B65" s="621" t="s">
        <v>1031</v>
      </c>
      <c r="C65" s="622"/>
      <c r="D65" s="623"/>
      <c r="E65" s="419" t="s">
        <v>1032</v>
      </c>
      <c r="F65" s="419">
        <v>276.33</v>
      </c>
      <c r="G65" s="440"/>
      <c r="H65" s="441"/>
      <c r="I65" s="443">
        <v>2.07E-13</v>
      </c>
      <c r="J65" s="421">
        <v>11.82</v>
      </c>
      <c r="K65" s="442">
        <v>6580</v>
      </c>
      <c r="L65" s="434">
        <v>273.14999999999998</v>
      </c>
      <c r="M65" s="419">
        <v>391</v>
      </c>
      <c r="N65" s="419">
        <v>513</v>
      </c>
      <c r="O65" s="419"/>
    </row>
    <row r="66" spans="2:15" ht="15" x14ac:dyDescent="0.15">
      <c r="B66" s="621" t="s">
        <v>1033</v>
      </c>
      <c r="C66" s="622"/>
      <c r="D66" s="623"/>
      <c r="E66" s="419" t="s">
        <v>1034</v>
      </c>
      <c r="F66" s="419">
        <v>154.21</v>
      </c>
      <c r="G66" s="440">
        <v>8.68</v>
      </c>
      <c r="H66" s="441"/>
      <c r="I66" s="443">
        <v>2.3699999999999999E-4</v>
      </c>
      <c r="J66" s="421">
        <v>7.2450000000000001</v>
      </c>
      <c r="K66" s="442">
        <v>1998.7</v>
      </c>
      <c r="L66" s="434">
        <v>202.73</v>
      </c>
      <c r="M66" s="419">
        <v>156</v>
      </c>
      <c r="N66" s="419">
        <v>520</v>
      </c>
      <c r="O66" s="419">
        <v>489</v>
      </c>
    </row>
    <row r="67" spans="2:15" ht="15" x14ac:dyDescent="0.15">
      <c r="B67" s="621" t="s">
        <v>1035</v>
      </c>
      <c r="C67" s="622"/>
      <c r="D67" s="623"/>
      <c r="E67" s="419" t="s">
        <v>1036</v>
      </c>
      <c r="F67" s="419">
        <v>54.09</v>
      </c>
      <c r="G67" s="440">
        <v>5.13</v>
      </c>
      <c r="H67" s="441">
        <v>77</v>
      </c>
      <c r="I67" s="419">
        <v>30.22</v>
      </c>
      <c r="J67" s="421">
        <v>6.8730000000000002</v>
      </c>
      <c r="K67" s="442">
        <v>941.7</v>
      </c>
      <c r="L67" s="434">
        <v>240.4</v>
      </c>
      <c r="M67" s="419">
        <v>-104</v>
      </c>
      <c r="N67" s="419">
        <v>29</v>
      </c>
      <c r="O67" s="419">
        <v>24</v>
      </c>
    </row>
    <row r="68" spans="2:15" ht="15" x14ac:dyDescent="0.15">
      <c r="B68" s="621" t="s">
        <v>1037</v>
      </c>
      <c r="C68" s="622"/>
      <c r="D68" s="623"/>
      <c r="E68" s="419" t="s">
        <v>1038</v>
      </c>
      <c r="F68" s="419">
        <v>58.12</v>
      </c>
      <c r="G68" s="440">
        <v>4.78</v>
      </c>
      <c r="H68" s="441">
        <v>77</v>
      </c>
      <c r="I68" s="419">
        <v>25.67</v>
      </c>
      <c r="J68" s="421">
        <v>6.7249999999999996</v>
      </c>
      <c r="K68" s="442">
        <v>909.7</v>
      </c>
      <c r="L68" s="434">
        <v>237</v>
      </c>
      <c r="M68" s="419">
        <v>-108</v>
      </c>
      <c r="N68" s="419">
        <v>31</v>
      </c>
      <c r="O68" s="419">
        <v>32</v>
      </c>
    </row>
    <row r="69" spans="2:15" ht="15" x14ac:dyDescent="0.15">
      <c r="B69" s="621" t="s">
        <v>1039</v>
      </c>
      <c r="C69" s="622"/>
      <c r="D69" s="623"/>
      <c r="E69" s="419" t="s">
        <v>1040</v>
      </c>
      <c r="F69" s="419">
        <v>56.11</v>
      </c>
      <c r="G69" s="440">
        <v>4.91</v>
      </c>
      <c r="H69" s="441">
        <v>77</v>
      </c>
      <c r="I69" s="419">
        <v>30.83</v>
      </c>
      <c r="J69" s="421">
        <v>7.1219999999999999</v>
      </c>
      <c r="K69" s="442">
        <v>1099.2</v>
      </c>
      <c r="L69" s="434">
        <v>264.89</v>
      </c>
      <c r="M69" s="419">
        <v>-108</v>
      </c>
      <c r="N69" s="419">
        <v>25</v>
      </c>
      <c r="O69" s="419">
        <v>21</v>
      </c>
    </row>
    <row r="70" spans="2:15" ht="15" x14ac:dyDescent="0.15">
      <c r="B70" s="621" t="s">
        <v>1041</v>
      </c>
      <c r="C70" s="622"/>
      <c r="D70" s="623"/>
      <c r="E70" s="419" t="s">
        <v>1042</v>
      </c>
      <c r="F70" s="419">
        <v>56.11</v>
      </c>
      <c r="G70" s="440">
        <v>5.14</v>
      </c>
      <c r="H70" s="441">
        <v>77</v>
      </c>
      <c r="I70" s="419">
        <v>22.62</v>
      </c>
      <c r="J70" s="421">
        <v>6.8630000000000004</v>
      </c>
      <c r="K70" s="442">
        <v>957.1</v>
      </c>
      <c r="L70" s="434">
        <v>236.65</v>
      </c>
      <c r="M70" s="419">
        <v>-94</v>
      </c>
      <c r="N70" s="419">
        <v>73</v>
      </c>
      <c r="O70" s="419">
        <v>39</v>
      </c>
    </row>
    <row r="71" spans="2:15" ht="15" x14ac:dyDescent="0.15">
      <c r="B71" s="621" t="s">
        <v>1043</v>
      </c>
      <c r="C71" s="622"/>
      <c r="D71" s="623"/>
      <c r="E71" s="419" t="s">
        <v>1044</v>
      </c>
      <c r="F71" s="419">
        <v>70.13</v>
      </c>
      <c r="G71" s="440">
        <v>5.43</v>
      </c>
      <c r="H71" s="441"/>
      <c r="I71" s="419">
        <v>8.2569999999999997</v>
      </c>
      <c r="J71" s="421">
        <v>6.8620000000000001</v>
      </c>
      <c r="K71" s="442">
        <v>1047.8</v>
      </c>
      <c r="L71" s="434">
        <v>232.06</v>
      </c>
      <c r="M71" s="419">
        <v>34</v>
      </c>
      <c r="N71" s="419">
        <v>145</v>
      </c>
      <c r="O71" s="419">
        <v>88</v>
      </c>
    </row>
    <row r="72" spans="2:15" ht="15" x14ac:dyDescent="0.15">
      <c r="B72" s="621" t="s">
        <v>1045</v>
      </c>
      <c r="C72" s="622"/>
      <c r="D72" s="623"/>
      <c r="E72" s="419" t="s">
        <v>1046</v>
      </c>
      <c r="F72" s="419">
        <v>56.11</v>
      </c>
      <c r="G72" s="440">
        <v>5</v>
      </c>
      <c r="H72" s="441">
        <v>77</v>
      </c>
      <c r="I72" s="419">
        <v>24.97</v>
      </c>
      <c r="J72" s="421">
        <v>6.9189999999999996</v>
      </c>
      <c r="K72" s="442">
        <v>982.2</v>
      </c>
      <c r="L72" s="434">
        <v>242.38</v>
      </c>
      <c r="M72" s="419">
        <v>-97</v>
      </c>
      <c r="N72" s="419">
        <v>34</v>
      </c>
      <c r="O72" s="419">
        <v>34</v>
      </c>
    </row>
    <row r="73" spans="2:15" ht="15" x14ac:dyDescent="0.15">
      <c r="B73" s="621" t="s">
        <v>1047</v>
      </c>
      <c r="C73" s="622"/>
      <c r="D73" s="623"/>
      <c r="E73" s="419" t="s">
        <v>1048</v>
      </c>
      <c r="F73" s="419">
        <v>74.12</v>
      </c>
      <c r="G73" s="440">
        <v>6.76</v>
      </c>
      <c r="H73" s="441"/>
      <c r="I73" s="419">
        <v>6.2E-2</v>
      </c>
      <c r="J73" s="421">
        <v>7.4210000000000003</v>
      </c>
      <c r="K73" s="442">
        <v>1351.6</v>
      </c>
      <c r="L73" s="434">
        <v>179.81</v>
      </c>
      <c r="M73" s="419">
        <v>73</v>
      </c>
      <c r="N73" s="419">
        <v>244</v>
      </c>
      <c r="O73" s="419">
        <v>243</v>
      </c>
    </row>
    <row r="74" spans="2:15" ht="15" x14ac:dyDescent="0.15">
      <c r="B74" s="621" t="s">
        <v>1049</v>
      </c>
      <c r="C74" s="622"/>
      <c r="D74" s="623"/>
      <c r="E74" s="419" t="s">
        <v>1050</v>
      </c>
      <c r="F74" s="419">
        <v>74.12</v>
      </c>
      <c r="G74" s="440">
        <v>6.58</v>
      </c>
      <c r="H74" s="441"/>
      <c r="I74" s="419">
        <v>0.42399999999999999</v>
      </c>
      <c r="J74" s="421">
        <v>7.3730000000000002</v>
      </c>
      <c r="K74" s="442">
        <v>1174.9000000000001</v>
      </c>
      <c r="L74" s="434">
        <v>179.23</v>
      </c>
      <c r="M74" s="419">
        <v>103</v>
      </c>
      <c r="N74" s="419">
        <v>180</v>
      </c>
      <c r="O74" s="419">
        <v>180</v>
      </c>
    </row>
    <row r="75" spans="2:15" ht="15" x14ac:dyDescent="0.15">
      <c r="B75" s="621" t="s">
        <v>1051</v>
      </c>
      <c r="C75" s="622"/>
      <c r="D75" s="623"/>
      <c r="E75" s="419" t="s">
        <v>1052</v>
      </c>
      <c r="F75" s="419">
        <v>92.57</v>
      </c>
      <c r="G75" s="440">
        <v>7.4</v>
      </c>
      <c r="H75" s="441"/>
      <c r="I75" s="419">
        <v>1.2549999999999999</v>
      </c>
      <c r="J75" s="421">
        <v>6.8710000000000004</v>
      </c>
      <c r="K75" s="442">
        <v>1182.9000000000001</v>
      </c>
      <c r="L75" s="434">
        <v>218.27</v>
      </c>
      <c r="M75" s="419">
        <v>2</v>
      </c>
      <c r="N75" s="419">
        <v>173</v>
      </c>
      <c r="O75" s="419">
        <v>170</v>
      </c>
    </row>
    <row r="76" spans="2:15" ht="15" x14ac:dyDescent="0.15">
      <c r="B76" s="621" t="s">
        <v>1053</v>
      </c>
      <c r="C76" s="622"/>
      <c r="D76" s="623"/>
      <c r="E76" s="419" t="s">
        <v>1054</v>
      </c>
      <c r="F76" s="419">
        <v>130.22999999999999</v>
      </c>
      <c r="G76" s="440">
        <v>6.39</v>
      </c>
      <c r="H76" s="441"/>
      <c r="I76" s="419">
        <v>0.38100000000000001</v>
      </c>
      <c r="J76" s="421">
        <v>6.59</v>
      </c>
      <c r="K76" s="442">
        <v>1157.7</v>
      </c>
      <c r="L76" s="434">
        <v>203.05</v>
      </c>
      <c r="M76" s="419">
        <v>39</v>
      </c>
      <c r="N76" s="419">
        <v>228</v>
      </c>
      <c r="O76" s="419">
        <v>224</v>
      </c>
    </row>
    <row r="77" spans="2:15" ht="15" x14ac:dyDescent="0.15">
      <c r="B77" s="621" t="s">
        <v>1055</v>
      </c>
      <c r="C77" s="622"/>
      <c r="D77" s="623"/>
      <c r="E77" s="419" t="s">
        <v>1056</v>
      </c>
      <c r="F77" s="419">
        <v>76.14</v>
      </c>
      <c r="G77" s="440">
        <v>10.5</v>
      </c>
      <c r="H77" s="441"/>
      <c r="I77" s="419">
        <v>4.8170000000000002</v>
      </c>
      <c r="J77" s="421">
        <v>6.9420000000000002</v>
      </c>
      <c r="K77" s="442">
        <v>1168.5999999999999</v>
      </c>
      <c r="L77" s="434">
        <v>241.53</v>
      </c>
      <c r="M77" s="419">
        <v>38</v>
      </c>
      <c r="N77" s="419">
        <v>176</v>
      </c>
      <c r="O77" s="419">
        <v>115</v>
      </c>
    </row>
    <row r="78" spans="2:15" ht="15" x14ac:dyDescent="0.15">
      <c r="B78" s="621" t="s">
        <v>1057</v>
      </c>
      <c r="C78" s="622"/>
      <c r="D78" s="623"/>
      <c r="E78" s="419" t="s">
        <v>1058</v>
      </c>
      <c r="F78" s="419">
        <v>153.82</v>
      </c>
      <c r="G78" s="440">
        <v>13.3</v>
      </c>
      <c r="H78" s="441"/>
      <c r="I78" s="419">
        <v>1.431</v>
      </c>
      <c r="J78" s="421">
        <v>6.8979999999999997</v>
      </c>
      <c r="K78" s="442">
        <v>1221.8</v>
      </c>
      <c r="L78" s="434">
        <v>227.41</v>
      </c>
      <c r="M78" s="419">
        <v>68</v>
      </c>
      <c r="N78" s="419">
        <v>172</v>
      </c>
      <c r="O78" s="419">
        <v>170</v>
      </c>
    </row>
    <row r="79" spans="2:15" ht="15" x14ac:dyDescent="0.15">
      <c r="B79" s="621" t="s">
        <v>16</v>
      </c>
      <c r="C79" s="622"/>
      <c r="D79" s="623"/>
      <c r="E79" s="419" t="s">
        <v>1059</v>
      </c>
      <c r="F79" s="419">
        <v>112.56</v>
      </c>
      <c r="G79" s="440">
        <v>9.23</v>
      </c>
      <c r="H79" s="441"/>
      <c r="I79" s="419">
        <v>0.13400000000000001</v>
      </c>
      <c r="J79" s="421">
        <v>6.9859999999999998</v>
      </c>
      <c r="K79" s="442">
        <v>1435.7</v>
      </c>
      <c r="L79" s="434">
        <v>218.03</v>
      </c>
      <c r="M79" s="419">
        <v>144</v>
      </c>
      <c r="N79" s="419">
        <v>269</v>
      </c>
      <c r="O79" s="419">
        <v>269</v>
      </c>
    </row>
    <row r="80" spans="2:15" ht="15" x14ac:dyDescent="0.15">
      <c r="B80" s="621" t="s">
        <v>1060</v>
      </c>
      <c r="C80" s="622"/>
      <c r="D80" s="623"/>
      <c r="E80" s="419" t="s">
        <v>1061</v>
      </c>
      <c r="F80" s="419">
        <v>92.57</v>
      </c>
      <c r="G80" s="440">
        <v>7.27</v>
      </c>
      <c r="H80" s="441"/>
      <c r="I80" s="419">
        <v>1.2549999999999999</v>
      </c>
      <c r="J80" s="421">
        <v>6.8710000000000004</v>
      </c>
      <c r="K80" s="442">
        <v>1182.9000000000001</v>
      </c>
      <c r="L80" s="434">
        <v>218.27</v>
      </c>
      <c r="M80" s="419">
        <v>2</v>
      </c>
      <c r="N80" s="419">
        <v>173</v>
      </c>
      <c r="O80" s="419">
        <v>170</v>
      </c>
    </row>
    <row r="81" spans="2:15" ht="15" x14ac:dyDescent="0.15">
      <c r="B81" s="621" t="s">
        <v>1062</v>
      </c>
      <c r="C81" s="622"/>
      <c r="D81" s="623"/>
      <c r="E81" s="419" t="s">
        <v>1063</v>
      </c>
      <c r="F81" s="419">
        <v>119.38</v>
      </c>
      <c r="G81" s="440">
        <v>12.3</v>
      </c>
      <c r="H81" s="441"/>
      <c r="I81" s="419">
        <v>2.468</v>
      </c>
      <c r="J81" s="421">
        <v>7.0830000000000002</v>
      </c>
      <c r="K81" s="442">
        <v>1233.0999999999999</v>
      </c>
      <c r="L81" s="434">
        <v>232.2</v>
      </c>
      <c r="M81" s="419">
        <v>-73</v>
      </c>
      <c r="N81" s="419">
        <v>142</v>
      </c>
      <c r="O81" s="419">
        <v>142</v>
      </c>
    </row>
    <row r="82" spans="2:15" ht="15" x14ac:dyDescent="0.15">
      <c r="B82" s="621" t="s">
        <v>1064</v>
      </c>
      <c r="C82" s="622"/>
      <c r="D82" s="623"/>
      <c r="E82" s="419" t="s">
        <v>1065</v>
      </c>
      <c r="F82" s="419">
        <v>88.54</v>
      </c>
      <c r="G82" s="440">
        <v>7.98</v>
      </c>
      <c r="H82" s="441"/>
      <c r="I82" s="419">
        <v>2.7360000000000002</v>
      </c>
      <c r="J82" s="421">
        <v>6.2910000000000004</v>
      </c>
      <c r="K82" s="442">
        <v>841.9</v>
      </c>
      <c r="L82" s="434">
        <v>187.79</v>
      </c>
      <c r="M82" s="419">
        <v>68</v>
      </c>
      <c r="N82" s="419">
        <v>140</v>
      </c>
      <c r="O82" s="419">
        <v>140</v>
      </c>
    </row>
    <row r="83" spans="2:15" ht="15" x14ac:dyDescent="0.15">
      <c r="B83" s="621" t="s">
        <v>1066</v>
      </c>
      <c r="C83" s="622"/>
      <c r="D83" s="623"/>
      <c r="E83" s="419" t="s">
        <v>1067</v>
      </c>
      <c r="F83" s="419">
        <v>126.58</v>
      </c>
      <c r="G83" s="440">
        <v>9.0399999999999991</v>
      </c>
      <c r="H83" s="441"/>
      <c r="I83" s="419">
        <v>3.9E-2</v>
      </c>
      <c r="J83" s="421">
        <v>7.3630000000000004</v>
      </c>
      <c r="K83" s="442">
        <v>1768.1</v>
      </c>
      <c r="L83" s="434">
        <v>234.76</v>
      </c>
      <c r="M83" s="419">
        <v>42</v>
      </c>
      <c r="N83" s="419">
        <v>319</v>
      </c>
      <c r="O83" s="419">
        <v>318</v>
      </c>
    </row>
    <row r="84" spans="2:15" ht="15" x14ac:dyDescent="0.15">
      <c r="B84" s="621" t="s">
        <v>1068</v>
      </c>
      <c r="C84" s="622"/>
      <c r="D84" s="623"/>
      <c r="E84" s="419" t="s">
        <v>1069</v>
      </c>
      <c r="F84" s="419">
        <v>228.29</v>
      </c>
      <c r="G84" s="440">
        <v>10.6</v>
      </c>
      <c r="H84" s="441"/>
      <c r="I84" s="443">
        <v>1.8599999999999999E-11</v>
      </c>
      <c r="J84" s="421">
        <v>12.32</v>
      </c>
      <c r="K84" s="442">
        <v>6160</v>
      </c>
      <c r="L84" s="434">
        <v>273.14999999999998</v>
      </c>
      <c r="M84" s="419">
        <v>185</v>
      </c>
      <c r="N84" s="419">
        <v>374</v>
      </c>
      <c r="O84" s="419">
        <v>838</v>
      </c>
    </row>
    <row r="85" spans="2:15" ht="15" x14ac:dyDescent="0.15">
      <c r="B85" s="621" t="s">
        <v>1070</v>
      </c>
      <c r="C85" s="622"/>
      <c r="D85" s="623"/>
      <c r="E85" s="419" t="s">
        <v>1071</v>
      </c>
      <c r="F85" s="419">
        <v>108.14</v>
      </c>
      <c r="G85" s="440">
        <v>8.6300000000000008</v>
      </c>
      <c r="H85" s="441"/>
      <c r="I85" s="419">
        <v>1.2999999999999999E-3</v>
      </c>
      <c r="J85" s="421">
        <v>7.4770000000000003</v>
      </c>
      <c r="K85" s="442">
        <v>1833.1</v>
      </c>
      <c r="L85" s="434">
        <v>196.74</v>
      </c>
      <c r="M85" s="419">
        <v>301</v>
      </c>
      <c r="N85" s="419">
        <v>394</v>
      </c>
      <c r="O85" s="419">
        <v>396</v>
      </c>
    </row>
    <row r="86" spans="2:15" ht="15" x14ac:dyDescent="0.15">
      <c r="B86" s="621" t="s">
        <v>1072</v>
      </c>
      <c r="C86" s="622"/>
      <c r="D86" s="623"/>
      <c r="E86" s="419" t="s">
        <v>1073</v>
      </c>
      <c r="F86" s="419">
        <v>108.14</v>
      </c>
      <c r="G86" s="440">
        <v>9.4700000000000006</v>
      </c>
      <c r="H86" s="441">
        <v>77</v>
      </c>
      <c r="I86" s="419">
        <v>1.6000000000000001E-3</v>
      </c>
      <c r="J86" s="421">
        <v>6.843</v>
      </c>
      <c r="K86" s="442">
        <v>1391.3</v>
      </c>
      <c r="L86" s="434">
        <v>160.18</v>
      </c>
      <c r="M86" s="419">
        <v>248</v>
      </c>
      <c r="N86" s="419">
        <v>376</v>
      </c>
      <c r="O86" s="419">
        <v>376</v>
      </c>
    </row>
    <row r="87" spans="2:15" ht="15" x14ac:dyDescent="0.15">
      <c r="B87" s="621" t="s">
        <v>1074</v>
      </c>
      <c r="C87" s="622"/>
      <c r="D87" s="623"/>
      <c r="E87" s="419" t="s">
        <v>1075</v>
      </c>
      <c r="F87" s="419">
        <v>108.14</v>
      </c>
      <c r="G87" s="440">
        <v>8.5</v>
      </c>
      <c r="H87" s="441">
        <v>104</v>
      </c>
      <c r="I87" s="419">
        <v>6.2E-4</v>
      </c>
      <c r="J87" s="421">
        <v>7.016</v>
      </c>
      <c r="K87" s="442">
        <v>1498.6</v>
      </c>
      <c r="L87" s="434">
        <v>160.55000000000001</v>
      </c>
      <c r="M87" s="419">
        <v>262</v>
      </c>
      <c r="N87" s="419">
        <v>395</v>
      </c>
      <c r="O87" s="419">
        <v>395</v>
      </c>
    </row>
    <row r="88" spans="2:15" ht="15" x14ac:dyDescent="0.15">
      <c r="B88" s="621" t="s">
        <v>1076</v>
      </c>
      <c r="C88" s="622"/>
      <c r="D88" s="623"/>
      <c r="E88" s="419" t="s">
        <v>1077</v>
      </c>
      <c r="F88" s="419">
        <v>84.16</v>
      </c>
      <c r="G88" s="440">
        <v>6.46</v>
      </c>
      <c r="H88" s="441">
        <v>77</v>
      </c>
      <c r="I88" s="419">
        <v>1.212</v>
      </c>
      <c r="J88" s="421">
        <v>6.8449999999999998</v>
      </c>
      <c r="K88" s="442">
        <v>1203.5</v>
      </c>
      <c r="L88" s="434">
        <v>222.86</v>
      </c>
      <c r="M88" s="419">
        <v>68</v>
      </c>
      <c r="N88" s="419">
        <v>179</v>
      </c>
      <c r="O88" s="419">
        <v>177</v>
      </c>
    </row>
    <row r="89" spans="2:15" ht="15" x14ac:dyDescent="0.15">
      <c r="B89" s="621" t="s">
        <v>1078</v>
      </c>
      <c r="C89" s="622"/>
      <c r="D89" s="623"/>
      <c r="E89" s="419" t="s">
        <v>1079</v>
      </c>
      <c r="F89" s="419">
        <v>100.16</v>
      </c>
      <c r="G89" s="440">
        <v>8.0299999999999994</v>
      </c>
      <c r="H89" s="441"/>
      <c r="I89" s="419">
        <v>8.9999999999999998E-4</v>
      </c>
      <c r="J89" s="421">
        <v>5.9560000000000004</v>
      </c>
      <c r="K89" s="442">
        <v>777.4</v>
      </c>
      <c r="L89" s="434">
        <v>91.11</v>
      </c>
      <c r="M89" s="419">
        <v>201</v>
      </c>
      <c r="N89" s="419">
        <v>321</v>
      </c>
      <c r="O89" s="419">
        <v>320</v>
      </c>
    </row>
    <row r="90" spans="2:15" ht="15" x14ac:dyDescent="0.15">
      <c r="B90" s="621" t="s">
        <v>1080</v>
      </c>
      <c r="C90" s="622"/>
      <c r="D90" s="623"/>
      <c r="E90" s="419" t="s">
        <v>1081</v>
      </c>
      <c r="F90" s="419">
        <v>98.14</v>
      </c>
      <c r="G90" s="440">
        <v>7.91</v>
      </c>
      <c r="H90" s="441"/>
      <c r="I90" s="419">
        <v>4.1999999999999997E-3</v>
      </c>
      <c r="J90" s="421">
        <v>5.9779999999999998</v>
      </c>
      <c r="K90" s="442">
        <v>1495.5</v>
      </c>
      <c r="L90" s="434">
        <v>209.55</v>
      </c>
      <c r="M90" s="419">
        <v>193</v>
      </c>
      <c r="N90" s="419">
        <v>330</v>
      </c>
      <c r="O90" s="419">
        <v>311</v>
      </c>
    </row>
    <row r="91" spans="2:15" ht="15" x14ac:dyDescent="0.15">
      <c r="B91" s="621" t="s">
        <v>1082</v>
      </c>
      <c r="C91" s="622"/>
      <c r="D91" s="623"/>
      <c r="E91" s="419" t="s">
        <v>1083</v>
      </c>
      <c r="F91" s="419">
        <v>82.14</v>
      </c>
      <c r="G91" s="440">
        <v>6.77</v>
      </c>
      <c r="H91" s="441"/>
      <c r="I91" s="419">
        <v>0.11</v>
      </c>
      <c r="J91" s="421">
        <v>5.8719999999999999</v>
      </c>
      <c r="K91" s="442">
        <v>1221.9000000000001</v>
      </c>
      <c r="L91" s="434">
        <v>223.17</v>
      </c>
      <c r="M91" s="419">
        <v>98</v>
      </c>
      <c r="N91" s="419">
        <v>196</v>
      </c>
      <c r="O91" s="419">
        <v>181</v>
      </c>
    </row>
    <row r="92" spans="2:15" ht="15" x14ac:dyDescent="0.15">
      <c r="B92" s="621" t="s">
        <v>1084</v>
      </c>
      <c r="C92" s="622"/>
      <c r="D92" s="623"/>
      <c r="E92" s="419" t="s">
        <v>1085</v>
      </c>
      <c r="F92" s="419">
        <v>70.13</v>
      </c>
      <c r="G92" s="440">
        <v>6.22</v>
      </c>
      <c r="H92" s="441"/>
      <c r="I92" s="419">
        <v>4.1710000000000003</v>
      </c>
      <c r="J92" s="421">
        <v>6.8780000000000001</v>
      </c>
      <c r="K92" s="442">
        <v>1119.2</v>
      </c>
      <c r="L92" s="434">
        <v>230.74</v>
      </c>
      <c r="M92" s="419">
        <v>60</v>
      </c>
      <c r="N92" s="419">
        <v>122</v>
      </c>
      <c r="O92" s="419">
        <v>121</v>
      </c>
    </row>
    <row r="93" spans="2:15" ht="15" x14ac:dyDescent="0.15">
      <c r="B93" s="621" t="s">
        <v>1086</v>
      </c>
      <c r="C93" s="622"/>
      <c r="D93" s="623"/>
      <c r="E93" s="419" t="s">
        <v>1087</v>
      </c>
      <c r="F93" s="419">
        <v>84.12</v>
      </c>
      <c r="G93" s="440">
        <v>7.92</v>
      </c>
      <c r="H93" s="441"/>
      <c r="I93" s="419">
        <v>0.13</v>
      </c>
      <c r="J93" s="421">
        <v>3.9580000000000002</v>
      </c>
      <c r="K93" s="442">
        <v>376.4</v>
      </c>
      <c r="L93" s="434">
        <v>104.65</v>
      </c>
      <c r="M93" s="419">
        <v>32</v>
      </c>
      <c r="N93" s="419">
        <v>78</v>
      </c>
      <c r="O93" s="419">
        <v>266</v>
      </c>
    </row>
    <row r="94" spans="2:15" ht="15" x14ac:dyDescent="0.15">
      <c r="B94" s="621" t="s">
        <v>1088</v>
      </c>
      <c r="C94" s="622"/>
      <c r="D94" s="623"/>
      <c r="E94" s="419" t="s">
        <v>1089</v>
      </c>
      <c r="F94" s="419">
        <v>68.12</v>
      </c>
      <c r="G94" s="440">
        <v>6.44</v>
      </c>
      <c r="H94" s="441"/>
      <c r="I94" s="419">
        <v>3.2639999999999998</v>
      </c>
      <c r="J94" s="421">
        <v>6.9210000000000003</v>
      </c>
      <c r="K94" s="442">
        <v>1121.8</v>
      </c>
      <c r="L94" s="434">
        <v>223.45</v>
      </c>
      <c r="M94" s="419"/>
      <c r="N94" s="419"/>
      <c r="O94" s="419">
        <v>111</v>
      </c>
    </row>
    <row r="95" spans="2:15" ht="15" x14ac:dyDescent="0.15">
      <c r="B95" s="621" t="s">
        <v>1090</v>
      </c>
      <c r="C95" s="622"/>
      <c r="D95" s="623"/>
      <c r="E95" s="419" t="s">
        <v>1091</v>
      </c>
      <c r="F95" s="419">
        <v>142.28</v>
      </c>
      <c r="G95" s="440">
        <v>6.09</v>
      </c>
      <c r="H95" s="441"/>
      <c r="I95" s="419">
        <v>1.0999999999999999E-2</v>
      </c>
      <c r="J95" s="421">
        <v>3.085</v>
      </c>
      <c r="K95" s="442">
        <v>440.6</v>
      </c>
      <c r="L95" s="434">
        <v>116.25</v>
      </c>
      <c r="M95" s="419">
        <v>-21</v>
      </c>
      <c r="N95" s="419">
        <v>99</v>
      </c>
      <c r="O95" s="419">
        <v>345</v>
      </c>
    </row>
    <row r="96" spans="2:15" ht="15" x14ac:dyDescent="0.15">
      <c r="B96" s="621" t="s">
        <v>1092</v>
      </c>
      <c r="C96" s="622"/>
      <c r="D96" s="623"/>
      <c r="E96" s="419" t="s">
        <v>1093</v>
      </c>
      <c r="F96" s="419">
        <v>201.89</v>
      </c>
      <c r="G96" s="440">
        <v>16.100000000000001</v>
      </c>
      <c r="H96" s="441"/>
      <c r="I96" s="419">
        <v>8.7999999999999995E-2</v>
      </c>
      <c r="J96" s="421">
        <v>7.3140000000000001</v>
      </c>
      <c r="K96" s="442">
        <v>1667</v>
      </c>
      <c r="L96" s="434">
        <v>234.85</v>
      </c>
      <c r="M96" s="419">
        <v>19</v>
      </c>
      <c r="N96" s="419">
        <v>287</v>
      </c>
      <c r="O96" s="419">
        <v>286</v>
      </c>
    </row>
    <row r="97" spans="2:15" ht="15" x14ac:dyDescent="0.15">
      <c r="B97" s="621" t="s">
        <v>1094</v>
      </c>
      <c r="C97" s="622"/>
      <c r="D97" s="623"/>
      <c r="E97" s="419" t="s">
        <v>1095</v>
      </c>
      <c r="F97" s="419">
        <v>201.89</v>
      </c>
      <c r="G97" s="440">
        <v>16.5</v>
      </c>
      <c r="H97" s="441"/>
      <c r="I97" s="419">
        <v>2.9000000000000001E-2</v>
      </c>
      <c r="J97" s="421">
        <v>7.3090000000000002</v>
      </c>
      <c r="K97" s="442">
        <v>1776.7</v>
      </c>
      <c r="L97" s="434">
        <v>233.46</v>
      </c>
      <c r="M97" s="419">
        <v>49</v>
      </c>
      <c r="N97" s="419">
        <v>333</v>
      </c>
      <c r="O97" s="419">
        <v>314</v>
      </c>
    </row>
    <row r="98" spans="2:15" ht="15" x14ac:dyDescent="0.15">
      <c r="B98" s="621" t="s">
        <v>1096</v>
      </c>
      <c r="C98" s="622"/>
      <c r="D98" s="623"/>
      <c r="E98" s="419" t="s">
        <v>1097</v>
      </c>
      <c r="F98" s="419">
        <v>98.96</v>
      </c>
      <c r="G98" s="440">
        <v>9.81</v>
      </c>
      <c r="H98" s="441"/>
      <c r="I98" s="419">
        <v>2.863</v>
      </c>
      <c r="J98" s="421">
        <v>7.0970000000000004</v>
      </c>
      <c r="K98" s="442">
        <v>1229.2</v>
      </c>
      <c r="L98" s="434">
        <v>233.95</v>
      </c>
      <c r="M98" s="419">
        <v>-77</v>
      </c>
      <c r="N98" s="419">
        <v>135</v>
      </c>
      <c r="O98" s="419">
        <v>135</v>
      </c>
    </row>
    <row r="99" spans="2:15" ht="15" x14ac:dyDescent="0.15">
      <c r="B99" s="621" t="s">
        <v>1098</v>
      </c>
      <c r="C99" s="622"/>
      <c r="D99" s="623"/>
      <c r="E99" s="419" t="s">
        <v>1099</v>
      </c>
      <c r="F99" s="419">
        <v>98.96</v>
      </c>
      <c r="G99" s="440">
        <v>10.4</v>
      </c>
      <c r="H99" s="441">
        <v>77</v>
      </c>
      <c r="I99" s="419">
        <v>0.96099999999999997</v>
      </c>
      <c r="J99" s="421">
        <v>7.46</v>
      </c>
      <c r="K99" s="442">
        <v>1521.8</v>
      </c>
      <c r="L99" s="434">
        <v>248.48</v>
      </c>
      <c r="M99" s="419">
        <v>-23</v>
      </c>
      <c r="N99" s="419">
        <v>211</v>
      </c>
      <c r="O99" s="419">
        <v>182</v>
      </c>
    </row>
    <row r="100" spans="2:15" ht="15" x14ac:dyDescent="0.15">
      <c r="B100" s="621" t="s">
        <v>1100</v>
      </c>
      <c r="C100" s="622"/>
      <c r="D100" s="623"/>
      <c r="E100" s="419" t="s">
        <v>1101</v>
      </c>
      <c r="F100" s="419">
        <v>96.94</v>
      </c>
      <c r="G100" s="440">
        <v>10.7</v>
      </c>
      <c r="H100" s="441"/>
      <c r="I100" s="419">
        <v>2.5790000000000002</v>
      </c>
      <c r="J100" s="421">
        <v>7.0220000000000002</v>
      </c>
      <c r="K100" s="442">
        <v>1205.4000000000001</v>
      </c>
      <c r="L100" s="434">
        <v>230.6</v>
      </c>
      <c r="M100" s="419">
        <v>32</v>
      </c>
      <c r="N100" s="419">
        <v>183</v>
      </c>
      <c r="O100" s="419">
        <v>141</v>
      </c>
    </row>
    <row r="101" spans="2:15" ht="15" x14ac:dyDescent="0.15">
      <c r="B101" s="621" t="s">
        <v>1102</v>
      </c>
      <c r="C101" s="622"/>
      <c r="D101" s="623"/>
      <c r="E101" s="419" t="s">
        <v>1103</v>
      </c>
      <c r="F101" s="419">
        <v>96.94</v>
      </c>
      <c r="G101" s="440">
        <v>10.4</v>
      </c>
      <c r="H101" s="441"/>
      <c r="I101" s="419">
        <v>4.3330000000000002</v>
      </c>
      <c r="J101" s="421">
        <v>6.9649999999999999</v>
      </c>
      <c r="K101" s="442">
        <v>1141.9000000000001</v>
      </c>
      <c r="L101" s="434">
        <v>231.9</v>
      </c>
      <c r="M101" s="419">
        <v>-36</v>
      </c>
      <c r="N101" s="419">
        <v>185</v>
      </c>
      <c r="O101" s="419">
        <v>118</v>
      </c>
    </row>
    <row r="102" spans="2:15" ht="15" x14ac:dyDescent="0.15">
      <c r="B102" s="621" t="s">
        <v>1104</v>
      </c>
      <c r="C102" s="622"/>
      <c r="D102" s="623"/>
      <c r="E102" s="419" t="s">
        <v>1105</v>
      </c>
      <c r="F102" s="419">
        <v>161.03</v>
      </c>
      <c r="G102" s="440">
        <v>10.4</v>
      </c>
      <c r="H102" s="441"/>
      <c r="I102" s="419">
        <v>2.8999999999999998E-3</v>
      </c>
      <c r="J102" s="421">
        <v>7.3440000000000003</v>
      </c>
      <c r="K102" s="442">
        <v>1882.5</v>
      </c>
      <c r="L102" s="434">
        <v>215</v>
      </c>
      <c r="M102" s="419">
        <v>32</v>
      </c>
      <c r="N102" s="419">
        <v>221</v>
      </c>
      <c r="O102" s="419">
        <v>408</v>
      </c>
    </row>
    <row r="103" spans="2:15" ht="15" x14ac:dyDescent="0.15">
      <c r="B103" s="621" t="s">
        <v>1106</v>
      </c>
      <c r="C103" s="622"/>
      <c r="D103" s="623"/>
      <c r="E103" s="419" t="s">
        <v>1107</v>
      </c>
      <c r="F103" s="419">
        <v>118.17</v>
      </c>
      <c r="G103" s="440">
        <v>6.89</v>
      </c>
      <c r="H103" s="441"/>
      <c r="I103" s="419">
        <v>0.307</v>
      </c>
      <c r="J103" s="421">
        <v>7.625</v>
      </c>
      <c r="K103" s="442">
        <v>1574</v>
      </c>
      <c r="L103" s="434">
        <v>229.47</v>
      </c>
      <c r="M103" s="419">
        <v>-10</v>
      </c>
      <c r="N103" s="419">
        <v>216</v>
      </c>
      <c r="O103" s="419">
        <v>212</v>
      </c>
    </row>
    <row r="104" spans="2:15" ht="15" x14ac:dyDescent="0.15">
      <c r="B104" s="621" t="s">
        <v>1108</v>
      </c>
      <c r="C104" s="622"/>
      <c r="D104" s="623"/>
      <c r="E104" s="419" t="s">
        <v>1109</v>
      </c>
      <c r="F104" s="419">
        <v>104.15</v>
      </c>
      <c r="G104" s="440">
        <v>6.94</v>
      </c>
      <c r="H104" s="441"/>
      <c r="I104" s="419">
        <v>0.81</v>
      </c>
      <c r="J104" s="421">
        <v>6.9859999999999998</v>
      </c>
      <c r="K104" s="442">
        <v>1270.2</v>
      </c>
      <c r="L104" s="434">
        <v>221.26</v>
      </c>
      <c r="M104" s="419">
        <v>32</v>
      </c>
      <c r="N104" s="419">
        <v>167</v>
      </c>
      <c r="O104" s="419">
        <v>191</v>
      </c>
    </row>
    <row r="105" spans="2:15" ht="15" x14ac:dyDescent="0.15">
      <c r="B105" s="621" t="s">
        <v>1110</v>
      </c>
      <c r="C105" s="622"/>
      <c r="D105" s="623"/>
      <c r="E105" s="419" t="s">
        <v>1111</v>
      </c>
      <c r="F105" s="419">
        <v>149.22999999999999</v>
      </c>
      <c r="G105" s="440">
        <v>7.77</v>
      </c>
      <c r="H105" s="441"/>
      <c r="I105" s="419">
        <v>3.0999999999999999E-3</v>
      </c>
      <c r="J105" s="421">
        <v>8.2579999999999991</v>
      </c>
      <c r="K105" s="442">
        <v>2652.8</v>
      </c>
      <c r="L105" s="434">
        <v>277.32</v>
      </c>
      <c r="M105" s="419">
        <v>122</v>
      </c>
      <c r="N105" s="419">
        <v>425</v>
      </c>
      <c r="O105" s="419">
        <v>422</v>
      </c>
    </row>
    <row r="106" spans="2:15" ht="15" x14ac:dyDescent="0.15">
      <c r="B106" s="621" t="s">
        <v>1112</v>
      </c>
      <c r="C106" s="622"/>
      <c r="D106" s="623"/>
      <c r="E106" s="419" t="s">
        <v>1113</v>
      </c>
      <c r="F106" s="419">
        <v>86.13</v>
      </c>
      <c r="G106" s="440">
        <v>6.76</v>
      </c>
      <c r="H106" s="441">
        <v>77</v>
      </c>
      <c r="I106" s="419">
        <v>0.42299999999999999</v>
      </c>
      <c r="J106" s="421">
        <v>5.7409999999999997</v>
      </c>
      <c r="K106" s="442">
        <v>716.2</v>
      </c>
      <c r="L106" s="434">
        <v>147.16999999999999</v>
      </c>
      <c r="M106" s="419">
        <v>97</v>
      </c>
      <c r="N106" s="419">
        <v>215</v>
      </c>
      <c r="O106" s="419">
        <v>215</v>
      </c>
    </row>
    <row r="107" spans="2:15" ht="15" x14ac:dyDescent="0.15">
      <c r="B107" s="621" t="s">
        <v>1114</v>
      </c>
      <c r="C107" s="622"/>
      <c r="D107" s="623"/>
      <c r="E107" s="419" t="s">
        <v>1115</v>
      </c>
      <c r="F107" s="419">
        <v>90.19</v>
      </c>
      <c r="G107" s="440">
        <v>6.98</v>
      </c>
      <c r="H107" s="441"/>
      <c r="I107" s="419">
        <v>0.749</v>
      </c>
      <c r="J107" s="421">
        <v>7.5410000000000004</v>
      </c>
      <c r="K107" s="442">
        <v>1560.5</v>
      </c>
      <c r="L107" s="434">
        <v>246.59</v>
      </c>
      <c r="M107" s="419">
        <v>-39</v>
      </c>
      <c r="N107" s="419">
        <v>190</v>
      </c>
      <c r="O107" s="419">
        <v>197</v>
      </c>
    </row>
    <row r="108" spans="2:15" ht="15" x14ac:dyDescent="0.15">
      <c r="B108" s="621" t="s">
        <v>1116</v>
      </c>
      <c r="C108" s="622"/>
      <c r="D108" s="623"/>
      <c r="E108" s="419" t="s">
        <v>1117</v>
      </c>
      <c r="F108" s="419">
        <v>73.14</v>
      </c>
      <c r="G108" s="440">
        <v>5.89</v>
      </c>
      <c r="H108" s="441"/>
      <c r="I108" s="419">
        <v>2.7120000000000002</v>
      </c>
      <c r="J108" s="421">
        <v>5.7370000000000001</v>
      </c>
      <c r="K108" s="442">
        <v>559.1</v>
      </c>
      <c r="L108" s="434">
        <v>140.18</v>
      </c>
      <c r="M108" s="419">
        <v>89</v>
      </c>
      <c r="N108" s="419">
        <v>141</v>
      </c>
      <c r="O108" s="419">
        <v>132</v>
      </c>
    </row>
    <row r="109" spans="2:15" ht="15" x14ac:dyDescent="0.15">
      <c r="B109" s="621" t="s">
        <v>1118</v>
      </c>
      <c r="C109" s="622"/>
      <c r="D109" s="623"/>
      <c r="E109" s="419" t="s">
        <v>1119</v>
      </c>
      <c r="F109" s="419">
        <v>134.22</v>
      </c>
      <c r="G109" s="440">
        <v>7.34</v>
      </c>
      <c r="H109" s="441"/>
      <c r="I109" s="419">
        <v>9.4000000000000004E-3</v>
      </c>
      <c r="J109" s="421">
        <v>6.99</v>
      </c>
      <c r="K109" s="442">
        <v>1577.9</v>
      </c>
      <c r="L109" s="434">
        <v>200.55</v>
      </c>
      <c r="M109" s="419">
        <v>206</v>
      </c>
      <c r="N109" s="419">
        <v>364</v>
      </c>
      <c r="O109" s="419">
        <v>361</v>
      </c>
    </row>
    <row r="110" spans="2:15" ht="15" x14ac:dyDescent="0.15">
      <c r="B110" s="621" t="s">
        <v>1120</v>
      </c>
      <c r="C110" s="622"/>
      <c r="D110" s="623"/>
      <c r="E110" s="419" t="s">
        <v>1121</v>
      </c>
      <c r="F110" s="419">
        <v>134.22</v>
      </c>
      <c r="G110" s="440">
        <v>7.18</v>
      </c>
      <c r="H110" s="441"/>
      <c r="I110" s="419">
        <v>0.01</v>
      </c>
      <c r="J110" s="421">
        <v>7.0060000000000002</v>
      </c>
      <c r="K110" s="442">
        <v>1576.3</v>
      </c>
      <c r="L110" s="434">
        <v>201</v>
      </c>
      <c r="M110" s="419">
        <v>203</v>
      </c>
      <c r="N110" s="419">
        <v>360</v>
      </c>
      <c r="O110" s="419">
        <v>358</v>
      </c>
    </row>
    <row r="111" spans="2:15" ht="15" x14ac:dyDescent="0.15">
      <c r="B111" s="621" t="s">
        <v>1122</v>
      </c>
      <c r="C111" s="622"/>
      <c r="D111" s="623"/>
      <c r="E111" s="419" t="s">
        <v>1123</v>
      </c>
      <c r="F111" s="419">
        <v>134.22</v>
      </c>
      <c r="G111" s="440">
        <v>7.2</v>
      </c>
      <c r="H111" s="441"/>
      <c r="I111" s="419">
        <v>0.01</v>
      </c>
      <c r="J111" s="421">
        <v>7.0010000000000003</v>
      </c>
      <c r="K111" s="442">
        <v>1589.3</v>
      </c>
      <c r="L111" s="434">
        <v>202.02</v>
      </c>
      <c r="M111" s="419">
        <v>206</v>
      </c>
      <c r="N111" s="419">
        <v>365</v>
      </c>
      <c r="O111" s="419">
        <v>363</v>
      </c>
    </row>
    <row r="112" spans="2:15" ht="15" x14ac:dyDescent="0.15">
      <c r="B112" s="621" t="s">
        <v>1124</v>
      </c>
      <c r="C112" s="622"/>
      <c r="D112" s="623"/>
      <c r="E112" s="419" t="s">
        <v>1125</v>
      </c>
      <c r="F112" s="419">
        <v>102.17</v>
      </c>
      <c r="G112" s="440">
        <v>6.04</v>
      </c>
      <c r="H112" s="441"/>
      <c r="I112" s="419">
        <v>1.877</v>
      </c>
      <c r="J112" s="421">
        <v>6.8419999999999996</v>
      </c>
      <c r="K112" s="442">
        <v>1135</v>
      </c>
      <c r="L112" s="434">
        <v>218.23</v>
      </c>
      <c r="M112" s="419">
        <v>74</v>
      </c>
      <c r="N112" s="419">
        <v>153</v>
      </c>
      <c r="O112" s="419">
        <v>155</v>
      </c>
    </row>
    <row r="113" spans="2:15" ht="15" x14ac:dyDescent="0.15">
      <c r="B113" s="621" t="s">
        <v>1126</v>
      </c>
      <c r="C113" s="622"/>
      <c r="D113" s="623"/>
      <c r="E113" s="419" t="s">
        <v>1127</v>
      </c>
      <c r="F113" s="419">
        <v>90.12</v>
      </c>
      <c r="G113" s="440">
        <v>7.25</v>
      </c>
      <c r="H113" s="441"/>
      <c r="I113" s="419">
        <v>0.96599999999999997</v>
      </c>
      <c r="J113" s="421">
        <v>6.7130000000000001</v>
      </c>
      <c r="K113" s="442">
        <v>1260.5</v>
      </c>
      <c r="L113" s="434">
        <v>235.83</v>
      </c>
      <c r="M113" s="419">
        <v>-55</v>
      </c>
      <c r="N113" s="419">
        <v>199</v>
      </c>
      <c r="O113" s="419">
        <v>185</v>
      </c>
    </row>
    <row r="114" spans="2:15" ht="15" x14ac:dyDescent="0.15">
      <c r="B114" s="621" t="s">
        <v>1128</v>
      </c>
      <c r="C114" s="622"/>
      <c r="D114" s="623"/>
      <c r="E114" s="419" t="s">
        <v>1129</v>
      </c>
      <c r="F114" s="419">
        <v>73.09</v>
      </c>
      <c r="G114" s="440">
        <v>7.88</v>
      </c>
      <c r="H114" s="441">
        <v>77</v>
      </c>
      <c r="I114" s="419">
        <v>0.04</v>
      </c>
      <c r="J114" s="421">
        <v>6.806</v>
      </c>
      <c r="K114" s="442">
        <v>1337.7</v>
      </c>
      <c r="L114" s="434">
        <v>190.5</v>
      </c>
      <c r="M114" s="419">
        <v>86</v>
      </c>
      <c r="N114" s="419">
        <v>194</v>
      </c>
      <c r="O114" s="419">
        <v>307</v>
      </c>
    </row>
    <row r="115" spans="2:15" ht="15" x14ac:dyDescent="0.15">
      <c r="B115" s="621" t="s">
        <v>1130</v>
      </c>
      <c r="C115" s="622"/>
      <c r="D115" s="623"/>
      <c r="E115" s="419" t="s">
        <v>1131</v>
      </c>
      <c r="F115" s="419">
        <v>60.1</v>
      </c>
      <c r="G115" s="440">
        <v>6.6</v>
      </c>
      <c r="H115" s="441">
        <v>72</v>
      </c>
      <c r="I115" s="419">
        <v>1.8959999999999999</v>
      </c>
      <c r="J115" s="421">
        <v>7.5880000000000001</v>
      </c>
      <c r="K115" s="442">
        <v>1388.5</v>
      </c>
      <c r="L115" s="434">
        <v>232.54</v>
      </c>
      <c r="M115" s="419">
        <v>-32</v>
      </c>
      <c r="N115" s="419">
        <v>68</v>
      </c>
      <c r="O115" s="419">
        <v>146</v>
      </c>
    </row>
    <row r="116" spans="2:15" ht="15" x14ac:dyDescent="0.15">
      <c r="B116" s="621" t="s">
        <v>1132</v>
      </c>
      <c r="C116" s="622"/>
      <c r="D116" s="623"/>
      <c r="E116" s="419" t="s">
        <v>1133</v>
      </c>
      <c r="F116" s="419">
        <v>194.18</v>
      </c>
      <c r="G116" s="440">
        <v>9.94</v>
      </c>
      <c r="H116" s="441"/>
      <c r="I116" s="443">
        <v>2.25E-8</v>
      </c>
      <c r="J116" s="421">
        <v>4.5220000000000002</v>
      </c>
      <c r="K116" s="442">
        <v>700.3</v>
      </c>
      <c r="L116" s="434">
        <v>51.42</v>
      </c>
      <c r="M116" s="419">
        <v>180</v>
      </c>
      <c r="N116" s="419">
        <v>304</v>
      </c>
      <c r="O116" s="419">
        <v>540</v>
      </c>
    </row>
    <row r="117" spans="2:15" ht="15" x14ac:dyDescent="0.15">
      <c r="B117" s="621" t="s">
        <v>1134</v>
      </c>
      <c r="C117" s="622"/>
      <c r="D117" s="623"/>
      <c r="E117" s="419" t="s">
        <v>1135</v>
      </c>
      <c r="F117" s="419">
        <v>86.18</v>
      </c>
      <c r="G117" s="440">
        <v>5.52</v>
      </c>
      <c r="H117" s="441"/>
      <c r="I117" s="419">
        <v>3.0640000000000001</v>
      </c>
      <c r="J117" s="421">
        <v>6.81</v>
      </c>
      <c r="K117" s="442">
        <v>1127.2</v>
      </c>
      <c r="L117" s="434">
        <v>228.95</v>
      </c>
      <c r="M117" s="419">
        <v>58</v>
      </c>
      <c r="N117" s="419">
        <v>138</v>
      </c>
      <c r="O117" s="419">
        <v>136</v>
      </c>
    </row>
    <row r="118" spans="2:15" ht="15" x14ac:dyDescent="0.15">
      <c r="B118" s="621" t="s">
        <v>1136</v>
      </c>
      <c r="C118" s="622"/>
      <c r="D118" s="623"/>
      <c r="E118" s="419" t="s">
        <v>1137</v>
      </c>
      <c r="F118" s="419">
        <v>98.19</v>
      </c>
      <c r="G118" s="440">
        <v>6.26</v>
      </c>
      <c r="H118" s="441">
        <v>77</v>
      </c>
      <c r="I118" s="419">
        <v>0.93200000000000005</v>
      </c>
      <c r="J118" s="421">
        <v>6.83</v>
      </c>
      <c r="K118" s="442">
        <v>1226.5999999999999</v>
      </c>
      <c r="L118" s="434">
        <v>222.76</v>
      </c>
      <c r="M118" s="419">
        <v>60</v>
      </c>
      <c r="N118" s="419">
        <v>192</v>
      </c>
      <c r="O118" s="419">
        <v>190</v>
      </c>
    </row>
    <row r="119" spans="2:15" ht="15" x14ac:dyDescent="0.15">
      <c r="B119" s="621" t="s">
        <v>1138</v>
      </c>
      <c r="C119" s="622"/>
      <c r="D119" s="623"/>
      <c r="E119" s="419" t="s">
        <v>1139</v>
      </c>
      <c r="F119" s="419">
        <v>100.2</v>
      </c>
      <c r="G119" s="440">
        <v>5.63</v>
      </c>
      <c r="H119" s="441"/>
      <c r="I119" s="419">
        <v>1.3149999999999999</v>
      </c>
      <c r="J119" s="421">
        <v>6.8150000000000004</v>
      </c>
      <c r="K119" s="442">
        <v>1190.3</v>
      </c>
      <c r="L119" s="434">
        <v>223.34</v>
      </c>
      <c r="M119" s="419">
        <v>60</v>
      </c>
      <c r="N119" s="419">
        <v>176</v>
      </c>
      <c r="O119" s="419">
        <v>174</v>
      </c>
    </row>
    <row r="120" spans="2:15" ht="15" x14ac:dyDescent="0.15">
      <c r="B120" s="621" t="s">
        <v>1140</v>
      </c>
      <c r="C120" s="622"/>
      <c r="D120" s="623"/>
      <c r="E120" s="419" t="s">
        <v>1141</v>
      </c>
      <c r="F120" s="419">
        <v>100.2</v>
      </c>
      <c r="G120" s="440">
        <v>5.8</v>
      </c>
      <c r="H120" s="441"/>
      <c r="I120" s="419">
        <v>0.84199999999999997</v>
      </c>
      <c r="J120" s="421">
        <v>6.8620000000000001</v>
      </c>
      <c r="K120" s="442">
        <v>1242.5999999999999</v>
      </c>
      <c r="L120" s="434">
        <v>222.34</v>
      </c>
      <c r="M120" s="419">
        <v>64</v>
      </c>
      <c r="N120" s="419">
        <v>195</v>
      </c>
      <c r="O120" s="419">
        <v>194</v>
      </c>
    </row>
    <row r="121" spans="2:15" ht="15" x14ac:dyDescent="0.15">
      <c r="B121" s="621" t="s">
        <v>1142</v>
      </c>
      <c r="C121" s="622"/>
      <c r="D121" s="623"/>
      <c r="E121" s="419" t="s">
        <v>1143</v>
      </c>
      <c r="F121" s="419">
        <v>100.2</v>
      </c>
      <c r="G121" s="440">
        <v>5.62</v>
      </c>
      <c r="H121" s="441"/>
      <c r="I121" s="419">
        <v>1.2210000000000001</v>
      </c>
      <c r="J121" s="421">
        <v>6.8360000000000003</v>
      </c>
      <c r="K121" s="442">
        <v>1197.5999999999999</v>
      </c>
      <c r="L121" s="434">
        <v>222.27</v>
      </c>
      <c r="M121" s="419">
        <v>57</v>
      </c>
      <c r="N121" s="419">
        <v>178</v>
      </c>
      <c r="O121" s="419">
        <v>177</v>
      </c>
    </row>
    <row r="122" spans="2:15" ht="15" x14ac:dyDescent="0.15">
      <c r="B122" s="621" t="s">
        <v>1144</v>
      </c>
      <c r="C122" s="622"/>
      <c r="D122" s="623"/>
      <c r="E122" s="419" t="s">
        <v>1145</v>
      </c>
      <c r="F122" s="419">
        <v>100.2</v>
      </c>
      <c r="G122" s="440">
        <v>5.79</v>
      </c>
      <c r="H122" s="441"/>
      <c r="I122" s="419">
        <v>1.0289999999999999</v>
      </c>
      <c r="J122" s="421">
        <v>6.8310000000000004</v>
      </c>
      <c r="K122" s="442">
        <v>1231</v>
      </c>
      <c r="L122" s="434">
        <v>225.58</v>
      </c>
      <c r="M122" s="419">
        <v>56</v>
      </c>
      <c r="N122" s="419">
        <v>189</v>
      </c>
      <c r="O122" s="419">
        <v>187</v>
      </c>
    </row>
    <row r="123" spans="2:15" ht="15" x14ac:dyDescent="0.15">
      <c r="B123" s="621" t="s">
        <v>1146</v>
      </c>
      <c r="C123" s="622"/>
      <c r="D123" s="623"/>
      <c r="E123" s="419" t="s">
        <v>1147</v>
      </c>
      <c r="F123" s="419">
        <v>88.11</v>
      </c>
      <c r="G123" s="440">
        <v>8.6300000000000008</v>
      </c>
      <c r="H123" s="441"/>
      <c r="I123" s="419">
        <v>0.439</v>
      </c>
      <c r="J123" s="421">
        <v>7.4560000000000004</v>
      </c>
      <c r="K123" s="442">
        <v>1570.1</v>
      </c>
      <c r="L123" s="434">
        <v>241.85</v>
      </c>
      <c r="M123" s="419">
        <v>68</v>
      </c>
      <c r="N123" s="419">
        <v>221</v>
      </c>
      <c r="O123" s="419">
        <v>214</v>
      </c>
    </row>
    <row r="124" spans="2:15" ht="15" x14ac:dyDescent="0.15">
      <c r="B124" s="621" t="s">
        <v>1148</v>
      </c>
      <c r="C124" s="622"/>
      <c r="D124" s="623"/>
      <c r="E124" s="419" t="s">
        <v>1149</v>
      </c>
      <c r="F124" s="419">
        <v>102.17</v>
      </c>
      <c r="G124" s="440">
        <v>6.23</v>
      </c>
      <c r="H124" s="441"/>
      <c r="I124" s="419">
        <v>0.754</v>
      </c>
      <c r="J124" s="421">
        <v>6.9450000000000003</v>
      </c>
      <c r="K124" s="442">
        <v>1254.8</v>
      </c>
      <c r="L124" s="434">
        <v>218.82</v>
      </c>
      <c r="M124" s="419">
        <v>80</v>
      </c>
      <c r="N124" s="419">
        <v>192</v>
      </c>
      <c r="O124" s="419">
        <v>194</v>
      </c>
    </row>
    <row r="125" spans="2:15" ht="15" x14ac:dyDescent="0.15">
      <c r="B125" s="621" t="s">
        <v>1150</v>
      </c>
      <c r="C125" s="622"/>
      <c r="D125" s="623"/>
      <c r="E125" s="419" t="s">
        <v>1151</v>
      </c>
      <c r="F125" s="419">
        <v>170.33</v>
      </c>
      <c r="G125" s="440">
        <v>6.25</v>
      </c>
      <c r="H125" s="441"/>
      <c r="I125" s="419">
        <v>9.3000000000000005E-4</v>
      </c>
      <c r="J125" s="421">
        <v>6.9809999999999999</v>
      </c>
      <c r="K125" s="442">
        <v>1625.9</v>
      </c>
      <c r="L125" s="434">
        <v>180.31</v>
      </c>
      <c r="M125" s="419">
        <v>259</v>
      </c>
      <c r="N125" s="419">
        <v>423</v>
      </c>
      <c r="O125" s="419">
        <v>421</v>
      </c>
    </row>
    <row r="126" spans="2:15" ht="15" x14ac:dyDescent="0.15">
      <c r="B126" s="621" t="s">
        <v>1152</v>
      </c>
      <c r="C126" s="622"/>
      <c r="D126" s="623"/>
      <c r="E126" s="419" t="s">
        <v>1153</v>
      </c>
      <c r="F126" s="419">
        <v>92.52</v>
      </c>
      <c r="G126" s="440">
        <v>9.85</v>
      </c>
      <c r="H126" s="441"/>
      <c r="I126" s="419">
        <v>0.19400000000000001</v>
      </c>
      <c r="J126" s="421">
        <v>8.2289999999999992</v>
      </c>
      <c r="K126" s="442">
        <v>2086.8000000000002</v>
      </c>
      <c r="L126" s="434">
        <v>273.16000000000003</v>
      </c>
      <c r="M126" s="419"/>
      <c r="N126" s="419"/>
      <c r="O126" s="419">
        <v>241</v>
      </c>
    </row>
    <row r="127" spans="2:15" ht="15" x14ac:dyDescent="0.15">
      <c r="B127" s="621" t="s">
        <v>1154</v>
      </c>
      <c r="C127" s="622"/>
      <c r="D127" s="623"/>
      <c r="E127" s="419" t="s">
        <v>1155</v>
      </c>
      <c r="F127" s="419">
        <v>30.07</v>
      </c>
      <c r="G127" s="440"/>
      <c r="H127" s="441"/>
      <c r="I127" s="419">
        <v>472</v>
      </c>
      <c r="J127" s="421">
        <v>6.8129999999999997</v>
      </c>
      <c r="K127" s="442">
        <v>659.7</v>
      </c>
      <c r="L127" s="434">
        <v>256.43099999999998</v>
      </c>
      <c r="M127" s="419">
        <v>-215</v>
      </c>
      <c r="N127" s="419">
        <v>-100</v>
      </c>
      <c r="O127" s="419">
        <v>-127</v>
      </c>
    </row>
    <row r="128" spans="2:15" ht="15" x14ac:dyDescent="0.15">
      <c r="B128" s="621" t="s">
        <v>1156</v>
      </c>
      <c r="C128" s="622"/>
      <c r="D128" s="623"/>
      <c r="E128" s="419" t="s">
        <v>1157</v>
      </c>
      <c r="F128" s="419">
        <v>61.08</v>
      </c>
      <c r="G128" s="440">
        <v>8.5</v>
      </c>
      <c r="H128" s="441"/>
      <c r="I128" s="419">
        <v>2E-3</v>
      </c>
      <c r="J128" s="421">
        <v>7.1680000000000001</v>
      </c>
      <c r="K128" s="442">
        <v>1408.9</v>
      </c>
      <c r="L128" s="434">
        <v>157.06</v>
      </c>
      <c r="M128" s="419">
        <v>150</v>
      </c>
      <c r="N128" s="419">
        <v>340</v>
      </c>
      <c r="O128" s="419">
        <v>339</v>
      </c>
    </row>
    <row r="129" spans="2:15" ht="15" x14ac:dyDescent="0.15">
      <c r="B129" s="621" t="s">
        <v>1158</v>
      </c>
      <c r="C129" s="622"/>
      <c r="D129" s="623"/>
      <c r="E129" s="419" t="s">
        <v>1159</v>
      </c>
      <c r="F129" s="419">
        <v>88.11</v>
      </c>
      <c r="G129" s="440">
        <v>7.51</v>
      </c>
      <c r="H129" s="441"/>
      <c r="I129" s="419">
        <v>1.135</v>
      </c>
      <c r="J129" s="421">
        <v>7.1029999999999998</v>
      </c>
      <c r="K129" s="442">
        <v>1245.7</v>
      </c>
      <c r="L129" s="434">
        <v>217.96</v>
      </c>
      <c r="M129" s="419">
        <v>60</v>
      </c>
      <c r="N129" s="419">
        <v>168</v>
      </c>
      <c r="O129" s="419">
        <v>171</v>
      </c>
    </row>
    <row r="130" spans="2:15" ht="15" x14ac:dyDescent="0.15">
      <c r="B130" s="621" t="s">
        <v>1160</v>
      </c>
      <c r="C130" s="622"/>
      <c r="D130" s="623"/>
      <c r="E130" s="419" t="s">
        <v>1161</v>
      </c>
      <c r="F130" s="419">
        <v>100.12</v>
      </c>
      <c r="G130" s="440">
        <v>7.71</v>
      </c>
      <c r="H130" s="441"/>
      <c r="I130" s="419">
        <v>0.44500000000000001</v>
      </c>
      <c r="J130" s="421">
        <v>7.15</v>
      </c>
      <c r="K130" s="442">
        <v>1366.1</v>
      </c>
      <c r="L130" s="434">
        <v>220.47</v>
      </c>
      <c r="M130" s="419">
        <v>-21</v>
      </c>
      <c r="N130" s="419">
        <v>211</v>
      </c>
      <c r="O130" s="419">
        <v>211</v>
      </c>
    </row>
    <row r="131" spans="2:15" ht="15" x14ac:dyDescent="0.15">
      <c r="B131" s="621" t="s">
        <v>1162</v>
      </c>
      <c r="C131" s="622"/>
      <c r="D131" s="623"/>
      <c r="E131" s="419" t="s">
        <v>1163</v>
      </c>
      <c r="F131" s="419">
        <v>46.07</v>
      </c>
      <c r="G131" s="440">
        <v>6.59</v>
      </c>
      <c r="H131" s="441"/>
      <c r="I131" s="419">
        <v>0.64800000000000002</v>
      </c>
      <c r="J131" s="421">
        <v>8.2469999999999999</v>
      </c>
      <c r="K131" s="442">
        <v>1670.4</v>
      </c>
      <c r="L131" s="434">
        <v>232.96</v>
      </c>
      <c r="M131" s="419">
        <v>32</v>
      </c>
      <c r="N131" s="419">
        <v>173</v>
      </c>
      <c r="O131" s="419">
        <v>173</v>
      </c>
    </row>
    <row r="132" spans="2:15" ht="15" x14ac:dyDescent="0.15">
      <c r="B132" s="621" t="s">
        <v>1164</v>
      </c>
      <c r="C132" s="622"/>
      <c r="D132" s="623"/>
      <c r="E132" s="419" t="s">
        <v>1165</v>
      </c>
      <c r="F132" s="419">
        <v>64.510000000000005</v>
      </c>
      <c r="G132" s="440">
        <v>7.43</v>
      </c>
      <c r="H132" s="441">
        <v>77</v>
      </c>
      <c r="I132" s="419">
        <v>16.63</v>
      </c>
      <c r="J132" s="421">
        <v>7.0369999999999999</v>
      </c>
      <c r="K132" s="442">
        <v>1052.8</v>
      </c>
      <c r="L132" s="434">
        <v>241.07</v>
      </c>
      <c r="M132" s="419">
        <v>-69</v>
      </c>
      <c r="N132" s="419">
        <v>55</v>
      </c>
      <c r="O132" s="419">
        <v>61</v>
      </c>
    </row>
    <row r="133" spans="2:15" ht="15" x14ac:dyDescent="0.15">
      <c r="B133" s="621" t="s">
        <v>1166</v>
      </c>
      <c r="C133" s="622"/>
      <c r="D133" s="623"/>
      <c r="E133" s="419" t="s">
        <v>1167</v>
      </c>
      <c r="F133" s="419">
        <v>74.12</v>
      </c>
      <c r="G133" s="440">
        <v>5.96</v>
      </c>
      <c r="H133" s="441"/>
      <c r="I133" s="419">
        <v>6.6749999999999998</v>
      </c>
      <c r="J133" s="421">
        <v>6.8970000000000002</v>
      </c>
      <c r="K133" s="442">
        <v>1062.5999999999999</v>
      </c>
      <c r="L133" s="434">
        <v>228.22</v>
      </c>
      <c r="M133" s="419">
        <v>-10</v>
      </c>
      <c r="N133" s="419">
        <v>132</v>
      </c>
      <c r="O133" s="419">
        <v>94</v>
      </c>
    </row>
    <row r="134" spans="2:15" ht="15" x14ac:dyDescent="0.15">
      <c r="B134" s="621" t="s">
        <v>1168</v>
      </c>
      <c r="C134" s="622"/>
      <c r="D134" s="623"/>
      <c r="E134" s="419" t="s">
        <v>1169</v>
      </c>
      <c r="F134" s="419">
        <v>45.08</v>
      </c>
      <c r="G134" s="440">
        <v>5.65</v>
      </c>
      <c r="H134" s="441">
        <v>77</v>
      </c>
      <c r="I134" s="419">
        <v>14.08</v>
      </c>
      <c r="J134" s="421">
        <v>7.4050000000000002</v>
      </c>
      <c r="K134" s="442">
        <v>1203.8</v>
      </c>
      <c r="L134" s="434">
        <v>249.43</v>
      </c>
      <c r="M134" s="419">
        <v>62</v>
      </c>
      <c r="N134" s="419">
        <v>349</v>
      </c>
      <c r="O134" s="419">
        <v>64</v>
      </c>
    </row>
    <row r="135" spans="2:15" ht="15" x14ac:dyDescent="0.15">
      <c r="B135" s="621" t="s">
        <v>1170</v>
      </c>
      <c r="C135" s="622"/>
      <c r="D135" s="623"/>
      <c r="E135" s="419" t="s">
        <v>1171</v>
      </c>
      <c r="F135" s="419">
        <v>106.17</v>
      </c>
      <c r="G135" s="440">
        <v>7.24</v>
      </c>
      <c r="H135" s="441"/>
      <c r="I135" s="419">
        <v>0.104</v>
      </c>
      <c r="J135" s="421">
        <v>6.95</v>
      </c>
      <c r="K135" s="442">
        <v>1419.3</v>
      </c>
      <c r="L135" s="434">
        <v>212.61</v>
      </c>
      <c r="M135" s="419">
        <v>134</v>
      </c>
      <c r="N135" s="419">
        <v>279</v>
      </c>
      <c r="O135" s="419">
        <v>277</v>
      </c>
    </row>
    <row r="136" spans="2:15" ht="15" x14ac:dyDescent="0.15">
      <c r="B136" s="621" t="s">
        <v>1172</v>
      </c>
      <c r="C136" s="622"/>
      <c r="D136" s="623"/>
      <c r="E136" s="419" t="s">
        <v>1173</v>
      </c>
      <c r="F136" s="419">
        <v>98.19</v>
      </c>
      <c r="G136" s="440">
        <v>6.4</v>
      </c>
      <c r="H136" s="441"/>
      <c r="I136" s="419">
        <v>0.47499999999999998</v>
      </c>
      <c r="J136" s="421">
        <v>6.8979999999999997</v>
      </c>
      <c r="K136" s="442">
        <v>1305</v>
      </c>
      <c r="L136" s="434">
        <v>221.4</v>
      </c>
      <c r="M136" s="419">
        <v>84</v>
      </c>
      <c r="N136" s="419">
        <v>220</v>
      </c>
      <c r="O136" s="419">
        <v>218</v>
      </c>
    </row>
    <row r="137" spans="2:15" ht="15" x14ac:dyDescent="0.15">
      <c r="B137" s="621" t="s">
        <v>1174</v>
      </c>
      <c r="C137" s="622"/>
      <c r="D137" s="623"/>
      <c r="E137" s="419" t="s">
        <v>1175</v>
      </c>
      <c r="F137" s="419">
        <v>28.05</v>
      </c>
      <c r="G137" s="440">
        <v>4.74</v>
      </c>
      <c r="H137" s="441">
        <v>-155</v>
      </c>
      <c r="I137" s="419">
        <v>749</v>
      </c>
      <c r="J137" s="421">
        <v>6.7480000000000002</v>
      </c>
      <c r="K137" s="442">
        <v>584.1</v>
      </c>
      <c r="L137" s="434">
        <v>254.84</v>
      </c>
      <c r="M137" s="419">
        <v>-191</v>
      </c>
      <c r="N137" s="419">
        <v>-120</v>
      </c>
      <c r="O137" s="419">
        <v>-155</v>
      </c>
    </row>
    <row r="138" spans="2:15" ht="15" x14ac:dyDescent="0.15">
      <c r="B138" s="621" t="s">
        <v>1176</v>
      </c>
      <c r="C138" s="622"/>
      <c r="D138" s="623"/>
      <c r="E138" s="419" t="s">
        <v>1177</v>
      </c>
      <c r="F138" s="419">
        <v>44.05</v>
      </c>
      <c r="G138" s="440">
        <v>7.36</v>
      </c>
      <c r="H138" s="441"/>
      <c r="I138" s="419">
        <v>17.84</v>
      </c>
      <c r="J138" s="421">
        <v>8.7219999999999995</v>
      </c>
      <c r="K138" s="442">
        <v>2022.8</v>
      </c>
      <c r="L138" s="434">
        <v>335.81</v>
      </c>
      <c r="M138" s="419">
        <v>32</v>
      </c>
      <c r="N138" s="419">
        <v>89</v>
      </c>
      <c r="O138" s="419">
        <v>53</v>
      </c>
    </row>
    <row r="139" spans="2:15" ht="15" x14ac:dyDescent="0.15">
      <c r="B139" s="621" t="s">
        <v>1178</v>
      </c>
      <c r="C139" s="622"/>
      <c r="D139" s="623"/>
      <c r="E139" s="419" t="s">
        <v>1179</v>
      </c>
      <c r="F139" s="419">
        <v>100.2</v>
      </c>
      <c r="G139" s="440">
        <v>5.83</v>
      </c>
      <c r="H139" s="441"/>
      <c r="I139" s="419">
        <v>0.70099999999999996</v>
      </c>
      <c r="J139" s="421">
        <v>6.88</v>
      </c>
      <c r="K139" s="442">
        <v>1254.0999999999999</v>
      </c>
      <c r="L139" s="434">
        <v>220.15</v>
      </c>
      <c r="M139" s="419">
        <v>70</v>
      </c>
      <c r="N139" s="419">
        <v>202</v>
      </c>
      <c r="O139" s="419">
        <v>200</v>
      </c>
    </row>
    <row r="140" spans="2:15" ht="15" x14ac:dyDescent="0.15">
      <c r="B140" s="621" t="s">
        <v>636</v>
      </c>
      <c r="C140" s="622"/>
      <c r="D140" s="623"/>
      <c r="E140" s="419" t="s">
        <v>1180</v>
      </c>
      <c r="F140" s="419">
        <v>202.25</v>
      </c>
      <c r="G140" s="440">
        <v>10.4</v>
      </c>
      <c r="H140" s="441"/>
      <c r="I140" s="443">
        <v>3.9599999999999997E-8</v>
      </c>
      <c r="J140" s="421">
        <v>12.836</v>
      </c>
      <c r="K140" s="442">
        <v>5348.1</v>
      </c>
      <c r="L140" s="434">
        <v>273.14999999999998</v>
      </c>
      <c r="M140" s="419">
        <v>77</v>
      </c>
      <c r="N140" s="419">
        <v>230</v>
      </c>
      <c r="O140" s="419">
        <v>723</v>
      </c>
    </row>
    <row r="141" spans="2:15" ht="15" x14ac:dyDescent="0.15">
      <c r="B141" s="621" t="s">
        <v>1181</v>
      </c>
      <c r="C141" s="622"/>
      <c r="D141" s="623"/>
      <c r="E141" s="419" t="s">
        <v>1182</v>
      </c>
      <c r="F141" s="419">
        <v>96.1</v>
      </c>
      <c r="G141" s="440">
        <v>8.5299999999999994</v>
      </c>
      <c r="H141" s="441"/>
      <c r="I141" s="419">
        <v>0.93600000000000005</v>
      </c>
      <c r="J141" s="421">
        <v>7.2370000000000001</v>
      </c>
      <c r="K141" s="442">
        <v>1409.8</v>
      </c>
      <c r="L141" s="434">
        <v>238.36</v>
      </c>
      <c r="M141" s="419">
        <v>0</v>
      </c>
      <c r="N141" s="419">
        <v>183</v>
      </c>
      <c r="O141" s="419">
        <v>185</v>
      </c>
    </row>
    <row r="142" spans="2:15" ht="15" x14ac:dyDescent="0.15">
      <c r="B142" s="621" t="s">
        <v>1183</v>
      </c>
      <c r="C142" s="622"/>
      <c r="D142" s="623"/>
      <c r="E142" s="419" t="s">
        <v>1184</v>
      </c>
      <c r="F142" s="419">
        <v>46.03</v>
      </c>
      <c r="G142" s="440">
        <v>10.1</v>
      </c>
      <c r="H142" s="441"/>
      <c r="I142" s="419">
        <v>0.51600000000000001</v>
      </c>
      <c r="J142" s="421">
        <v>4.8760000000000003</v>
      </c>
      <c r="K142" s="442">
        <v>515</v>
      </c>
      <c r="L142" s="434">
        <v>133.74</v>
      </c>
      <c r="M142" s="419">
        <v>33</v>
      </c>
      <c r="N142" s="419">
        <v>93</v>
      </c>
      <c r="O142" s="419">
        <v>213</v>
      </c>
    </row>
    <row r="143" spans="2:15" ht="15" x14ac:dyDescent="0.15">
      <c r="B143" s="621" t="s">
        <v>1185</v>
      </c>
      <c r="C143" s="622"/>
      <c r="D143" s="623"/>
      <c r="E143" s="419" t="s">
        <v>1186</v>
      </c>
      <c r="F143" s="419">
        <v>137.37</v>
      </c>
      <c r="G143" s="440">
        <v>12.4</v>
      </c>
      <c r="H143" s="441"/>
      <c r="I143" s="419">
        <v>10.93</v>
      </c>
      <c r="J143" s="421">
        <v>6.8840000000000003</v>
      </c>
      <c r="K143" s="442">
        <v>1043</v>
      </c>
      <c r="L143" s="434">
        <v>236.88</v>
      </c>
      <c r="M143" s="419"/>
      <c r="N143" s="419"/>
      <c r="O143" s="419">
        <v>75</v>
      </c>
    </row>
    <row r="144" spans="2:15" ht="15" x14ac:dyDescent="0.15">
      <c r="B144" s="621" t="s">
        <v>1187</v>
      </c>
      <c r="C144" s="622"/>
      <c r="D144" s="623"/>
      <c r="E144" s="419" t="s">
        <v>1188</v>
      </c>
      <c r="F144" s="419">
        <v>68.069999999999993</v>
      </c>
      <c r="G144" s="440">
        <v>7.94</v>
      </c>
      <c r="H144" s="441"/>
      <c r="I144" s="419">
        <v>7.9630000000000001</v>
      </c>
      <c r="J144" s="421">
        <v>6.9749999999999996</v>
      </c>
      <c r="K144" s="442">
        <v>1060.8</v>
      </c>
      <c r="L144" s="434">
        <v>227.73</v>
      </c>
      <c r="M144" s="419">
        <v>37</v>
      </c>
      <c r="N144" s="419">
        <v>143</v>
      </c>
      <c r="O144" s="419">
        <v>89</v>
      </c>
    </row>
    <row r="145" spans="2:15" ht="15" x14ac:dyDescent="0.15">
      <c r="B145" s="621" t="s">
        <v>1189</v>
      </c>
      <c r="C145" s="622"/>
      <c r="D145" s="623"/>
      <c r="E145" s="419" t="s">
        <v>1190</v>
      </c>
      <c r="F145" s="419">
        <v>96.09</v>
      </c>
      <c r="G145" s="440">
        <v>9.68</v>
      </c>
      <c r="H145" s="441"/>
      <c r="I145" s="419">
        <v>1.7999999999999999E-2</v>
      </c>
      <c r="J145" s="421">
        <v>6.9690000000000003</v>
      </c>
      <c r="K145" s="442">
        <v>1430.1</v>
      </c>
      <c r="L145" s="434">
        <v>188.7</v>
      </c>
      <c r="M145" s="419">
        <v>133</v>
      </c>
      <c r="N145" s="419">
        <v>321</v>
      </c>
      <c r="O145" s="419">
        <v>323</v>
      </c>
    </row>
    <row r="146" spans="2:15" ht="15" x14ac:dyDescent="0.15">
      <c r="B146" s="621" t="s">
        <v>1191</v>
      </c>
      <c r="C146" s="622"/>
      <c r="D146" s="623"/>
      <c r="E146" s="419" t="s">
        <v>1192</v>
      </c>
      <c r="F146" s="419">
        <v>296.57</v>
      </c>
      <c r="G146" s="440">
        <v>6.61</v>
      </c>
      <c r="H146" s="441"/>
      <c r="I146" s="443">
        <v>6.2300000000000001E-7</v>
      </c>
      <c r="J146" s="421">
        <v>8.7959999999999994</v>
      </c>
      <c r="K146" s="442">
        <v>3571.2</v>
      </c>
      <c r="L146" s="434">
        <v>253.2</v>
      </c>
      <c r="M146" s="419">
        <v>307</v>
      </c>
      <c r="N146" s="419">
        <v>663</v>
      </c>
      <c r="O146" s="419">
        <v>679</v>
      </c>
    </row>
    <row r="147" spans="2:15" ht="15" x14ac:dyDescent="0.15">
      <c r="B147" s="621" t="s">
        <v>1193</v>
      </c>
      <c r="C147" s="622"/>
      <c r="D147" s="623"/>
      <c r="E147" s="419" t="s">
        <v>1194</v>
      </c>
      <c r="F147" s="419">
        <v>100.2</v>
      </c>
      <c r="G147" s="440">
        <v>5.71</v>
      </c>
      <c r="H147" s="441"/>
      <c r="I147" s="419">
        <v>0.54100000000000004</v>
      </c>
      <c r="J147" s="421">
        <v>6.9029999999999996</v>
      </c>
      <c r="K147" s="442">
        <v>1268.5999999999999</v>
      </c>
      <c r="L147" s="434">
        <v>216.95</v>
      </c>
      <c r="M147" s="419">
        <v>79</v>
      </c>
      <c r="N147" s="419">
        <v>211</v>
      </c>
      <c r="O147" s="419">
        <v>209</v>
      </c>
    </row>
    <row r="148" spans="2:15" ht="15" x14ac:dyDescent="0.15">
      <c r="B148" s="621" t="s">
        <v>1195</v>
      </c>
      <c r="C148" s="622"/>
      <c r="D148" s="623"/>
      <c r="E148" s="419" t="s">
        <v>1196</v>
      </c>
      <c r="F148" s="419">
        <v>98.19</v>
      </c>
      <c r="G148" s="440">
        <v>5.82</v>
      </c>
      <c r="H148" s="441"/>
      <c r="I148" s="419">
        <v>0.752</v>
      </c>
      <c r="J148" s="421">
        <v>7.093</v>
      </c>
      <c r="K148" s="442">
        <v>1400.7</v>
      </c>
      <c r="L148" s="434">
        <v>238.96</v>
      </c>
      <c r="M148" s="419">
        <v>32</v>
      </c>
      <c r="N148" s="419">
        <v>192</v>
      </c>
      <c r="O148" s="419">
        <v>201</v>
      </c>
    </row>
    <row r="149" spans="2:15" ht="15" x14ac:dyDescent="0.15">
      <c r="B149" s="621" t="s">
        <v>1197</v>
      </c>
      <c r="C149" s="622"/>
      <c r="D149" s="623"/>
      <c r="E149" s="419" t="s">
        <v>1198</v>
      </c>
      <c r="F149" s="419">
        <v>82.14</v>
      </c>
      <c r="G149" s="440">
        <v>5.74</v>
      </c>
      <c r="H149" s="441">
        <v>77</v>
      </c>
      <c r="I149" s="419">
        <v>2.89</v>
      </c>
      <c r="J149" s="421">
        <v>6.5629999999999997</v>
      </c>
      <c r="K149" s="442">
        <v>1008.1</v>
      </c>
      <c r="L149" s="434">
        <v>214.16</v>
      </c>
      <c r="M149" s="419">
        <v>32</v>
      </c>
      <c r="N149" s="419">
        <v>138</v>
      </c>
      <c r="O149" s="419">
        <v>140</v>
      </c>
    </row>
    <row r="150" spans="2:15" ht="15" x14ac:dyDescent="0.15">
      <c r="B150" s="621" t="s">
        <v>1199</v>
      </c>
      <c r="C150" s="622"/>
      <c r="D150" s="623"/>
      <c r="E150" s="419" t="s">
        <v>1200</v>
      </c>
      <c r="F150" s="419">
        <v>86.18</v>
      </c>
      <c r="G150" s="440">
        <v>5.47</v>
      </c>
      <c r="H150" s="441">
        <v>77</v>
      </c>
      <c r="I150" s="419">
        <v>1.913</v>
      </c>
      <c r="J150" s="421">
        <v>6.8780000000000001</v>
      </c>
      <c r="K150" s="442">
        <v>1171.5</v>
      </c>
      <c r="L150" s="434">
        <v>224.37</v>
      </c>
      <c r="M150" s="419">
        <v>55</v>
      </c>
      <c r="N150" s="419">
        <v>157</v>
      </c>
      <c r="O150" s="419">
        <v>156</v>
      </c>
    </row>
    <row r="151" spans="2:15" ht="15" x14ac:dyDescent="0.15">
      <c r="B151" s="621" t="s">
        <v>1201</v>
      </c>
      <c r="C151" s="622"/>
      <c r="D151" s="623"/>
      <c r="E151" s="419" t="s">
        <v>1202</v>
      </c>
      <c r="F151" s="419">
        <v>102.17</v>
      </c>
      <c r="G151" s="440">
        <v>6.79</v>
      </c>
      <c r="H151" s="441"/>
      <c r="I151" s="419">
        <v>5.0000000000000001E-3</v>
      </c>
      <c r="J151" s="421">
        <v>7.2880000000000003</v>
      </c>
      <c r="K151" s="442">
        <v>1422</v>
      </c>
      <c r="L151" s="434">
        <v>165.44</v>
      </c>
      <c r="M151" s="419">
        <v>126</v>
      </c>
      <c r="N151" s="419">
        <v>315</v>
      </c>
      <c r="O151" s="419">
        <v>314</v>
      </c>
    </row>
    <row r="152" spans="2:15" ht="15" x14ac:dyDescent="0.15">
      <c r="B152" s="621" t="s">
        <v>1203</v>
      </c>
      <c r="C152" s="622"/>
      <c r="D152" s="623"/>
      <c r="E152" s="419" t="s">
        <v>1204</v>
      </c>
      <c r="F152" s="419">
        <v>84.16</v>
      </c>
      <c r="G152" s="440">
        <v>5.62</v>
      </c>
      <c r="H152" s="441"/>
      <c r="I152" s="419">
        <v>2.3780000000000001</v>
      </c>
      <c r="J152" s="421">
        <v>6.8659999999999997</v>
      </c>
      <c r="K152" s="442">
        <v>1153</v>
      </c>
      <c r="L152" s="434">
        <v>225.85</v>
      </c>
      <c r="M152" s="419">
        <v>61</v>
      </c>
      <c r="N152" s="419">
        <v>148</v>
      </c>
      <c r="O152" s="419">
        <v>147</v>
      </c>
    </row>
    <row r="153" spans="2:15" ht="15" x14ac:dyDescent="0.15">
      <c r="B153" s="621" t="s">
        <v>1205</v>
      </c>
      <c r="C153" s="622"/>
      <c r="D153" s="623"/>
      <c r="E153" s="419" t="s">
        <v>1206</v>
      </c>
      <c r="F153" s="419">
        <v>27.03</v>
      </c>
      <c r="G153" s="440">
        <v>5.74</v>
      </c>
      <c r="H153" s="441"/>
      <c r="I153" s="419">
        <v>9.9309999999999992</v>
      </c>
      <c r="J153" s="421">
        <v>7.5490000000000004</v>
      </c>
      <c r="K153" s="442">
        <v>1340.8</v>
      </c>
      <c r="L153" s="434">
        <v>261.56</v>
      </c>
      <c r="M153" s="419">
        <v>2</v>
      </c>
      <c r="N153" s="419">
        <v>115</v>
      </c>
      <c r="O153" s="419">
        <v>79</v>
      </c>
    </row>
    <row r="154" spans="2:15" ht="15" x14ac:dyDescent="0.15">
      <c r="B154" s="621" t="s">
        <v>1207</v>
      </c>
      <c r="C154" s="622"/>
      <c r="D154" s="623"/>
      <c r="E154" s="419" t="s">
        <v>1208</v>
      </c>
      <c r="F154" s="419">
        <v>58.12</v>
      </c>
      <c r="G154" s="440">
        <v>4.5999999999999996</v>
      </c>
      <c r="H154" s="441">
        <v>77</v>
      </c>
      <c r="I154" s="419">
        <v>38.22</v>
      </c>
      <c r="J154" s="421">
        <v>6.819</v>
      </c>
      <c r="K154" s="442">
        <v>912.1</v>
      </c>
      <c r="L154" s="434">
        <v>243.34</v>
      </c>
      <c r="M154" s="419">
        <v>-121</v>
      </c>
      <c r="N154" s="419">
        <v>11</v>
      </c>
      <c r="O154" s="419">
        <v>12</v>
      </c>
    </row>
    <row r="155" spans="2:15" ht="15" x14ac:dyDescent="0.15">
      <c r="B155" s="621" t="s">
        <v>1209</v>
      </c>
      <c r="C155" s="622"/>
      <c r="D155" s="623"/>
      <c r="E155" s="419" t="s">
        <v>1210</v>
      </c>
      <c r="F155" s="419">
        <v>56.11</v>
      </c>
      <c r="G155" s="440">
        <v>4.92</v>
      </c>
      <c r="H155" s="441">
        <v>77</v>
      </c>
      <c r="I155" s="419">
        <v>32.18</v>
      </c>
      <c r="J155" s="421">
        <v>6.5220000000000002</v>
      </c>
      <c r="K155" s="442">
        <v>799.1</v>
      </c>
      <c r="L155" s="434">
        <v>226.54</v>
      </c>
      <c r="M155" s="419">
        <v>-70</v>
      </c>
      <c r="N155" s="419">
        <v>32</v>
      </c>
      <c r="O155" s="419">
        <v>20</v>
      </c>
    </row>
    <row r="156" spans="2:15" ht="15" x14ac:dyDescent="0.15">
      <c r="B156" s="621" t="s">
        <v>1211</v>
      </c>
      <c r="C156" s="622"/>
      <c r="D156" s="623"/>
      <c r="E156" s="419" t="s">
        <v>1212</v>
      </c>
      <c r="F156" s="419">
        <v>74.12</v>
      </c>
      <c r="G156" s="440">
        <v>6.69</v>
      </c>
      <c r="H156" s="441"/>
      <c r="I156" s="419">
        <v>9.6000000000000002E-2</v>
      </c>
      <c r="J156" s="421">
        <v>7.306</v>
      </c>
      <c r="K156" s="442">
        <v>1237</v>
      </c>
      <c r="L156" s="434">
        <v>171.62</v>
      </c>
      <c r="M156" s="419">
        <v>176</v>
      </c>
      <c r="N156" s="419">
        <v>240</v>
      </c>
      <c r="O156" s="419">
        <v>226</v>
      </c>
    </row>
    <row r="157" spans="2:15" ht="15" x14ac:dyDescent="0.15">
      <c r="B157" s="621" t="s">
        <v>1213</v>
      </c>
      <c r="C157" s="622"/>
      <c r="D157" s="623"/>
      <c r="E157" s="419" t="s">
        <v>1214</v>
      </c>
      <c r="F157" s="419">
        <v>114.23</v>
      </c>
      <c r="G157" s="440">
        <v>5.74</v>
      </c>
      <c r="H157" s="441">
        <v>77</v>
      </c>
      <c r="I157" s="419">
        <v>0.59599999999999997</v>
      </c>
      <c r="J157" s="421">
        <v>6.8120000000000003</v>
      </c>
      <c r="K157" s="442">
        <v>1257.8</v>
      </c>
      <c r="L157" s="434">
        <v>220.74</v>
      </c>
      <c r="M157" s="419">
        <v>76</v>
      </c>
      <c r="N157" s="419">
        <v>212</v>
      </c>
      <c r="O157" s="419">
        <v>211</v>
      </c>
    </row>
    <row r="158" spans="2:15" ht="15" x14ac:dyDescent="0.15">
      <c r="B158" s="621" t="s">
        <v>1215</v>
      </c>
      <c r="C158" s="622"/>
      <c r="D158" s="623"/>
      <c r="E158" s="419" t="s">
        <v>1216</v>
      </c>
      <c r="F158" s="419">
        <v>72.150000000000006</v>
      </c>
      <c r="G158" s="440">
        <v>5.18</v>
      </c>
      <c r="H158" s="441"/>
      <c r="I158" s="419">
        <v>9.4260000000000002</v>
      </c>
      <c r="J158" s="421">
        <v>6.79</v>
      </c>
      <c r="K158" s="442">
        <v>1020</v>
      </c>
      <c r="L158" s="434">
        <v>233.1</v>
      </c>
      <c r="M158" s="419">
        <v>61</v>
      </c>
      <c r="N158" s="419">
        <v>83</v>
      </c>
      <c r="O158" s="419">
        <v>82</v>
      </c>
    </row>
    <row r="159" spans="2:15" ht="15" x14ac:dyDescent="0.15">
      <c r="B159" s="621" t="s">
        <v>1217</v>
      </c>
      <c r="C159" s="622"/>
      <c r="D159" s="623"/>
      <c r="E159" s="419" t="s">
        <v>1218</v>
      </c>
      <c r="F159" s="419">
        <v>70.13</v>
      </c>
      <c r="G159" s="440">
        <v>5.53</v>
      </c>
      <c r="H159" s="441"/>
      <c r="I159" s="419">
        <v>6.21</v>
      </c>
      <c r="J159" s="421">
        <v>6.9219999999999997</v>
      </c>
      <c r="K159" s="442">
        <v>1098.5999999999999</v>
      </c>
      <c r="L159" s="434">
        <v>233.26</v>
      </c>
      <c r="M159" s="419">
        <v>37</v>
      </c>
      <c r="N159" s="419">
        <v>159</v>
      </c>
      <c r="O159" s="419">
        <v>100</v>
      </c>
    </row>
    <row r="160" spans="2:15" ht="15" x14ac:dyDescent="0.15">
      <c r="B160" s="621" t="s">
        <v>1219</v>
      </c>
      <c r="C160" s="622"/>
      <c r="D160" s="623"/>
      <c r="E160" s="419" t="s">
        <v>1220</v>
      </c>
      <c r="F160" s="419">
        <v>68.12</v>
      </c>
      <c r="G160" s="440">
        <v>5.67</v>
      </c>
      <c r="H160" s="441"/>
      <c r="I160" s="419">
        <v>7.4459999999999997</v>
      </c>
      <c r="J160" s="421">
        <v>6.0910000000000002</v>
      </c>
      <c r="K160" s="442">
        <v>706.9</v>
      </c>
      <c r="L160" s="434">
        <v>186.1</v>
      </c>
      <c r="M160" s="419">
        <v>62</v>
      </c>
      <c r="N160" s="419">
        <v>93</v>
      </c>
      <c r="O160" s="419">
        <v>93</v>
      </c>
    </row>
    <row r="161" spans="2:15" ht="15" x14ac:dyDescent="0.15">
      <c r="B161" s="621" t="s">
        <v>1221</v>
      </c>
      <c r="C161" s="622"/>
      <c r="D161" s="623"/>
      <c r="E161" s="419" t="s">
        <v>1222</v>
      </c>
      <c r="F161" s="419">
        <v>60.1</v>
      </c>
      <c r="G161" s="440">
        <v>6.52</v>
      </c>
      <c r="H161" s="441">
        <v>77</v>
      </c>
      <c r="I161" s="419">
        <v>0.443</v>
      </c>
      <c r="J161" s="421">
        <v>7.7359999999999998</v>
      </c>
      <c r="K161" s="442">
        <v>1357.4</v>
      </c>
      <c r="L161" s="434">
        <v>197.34</v>
      </c>
      <c r="M161" s="419">
        <v>134</v>
      </c>
      <c r="N161" s="419">
        <v>193</v>
      </c>
      <c r="O161" s="419">
        <v>180</v>
      </c>
    </row>
    <row r="162" spans="2:15" ht="15" x14ac:dyDescent="0.15">
      <c r="B162" s="621" t="s">
        <v>1223</v>
      </c>
      <c r="C162" s="622"/>
      <c r="D162" s="623"/>
      <c r="E162" s="419" t="s">
        <v>1224</v>
      </c>
      <c r="F162" s="419">
        <v>120.19</v>
      </c>
      <c r="G162" s="440">
        <v>7.19</v>
      </c>
      <c r="H162" s="441"/>
      <c r="I162" s="419">
        <v>4.8000000000000001E-2</v>
      </c>
      <c r="J162" s="421">
        <v>6.9290000000000003</v>
      </c>
      <c r="K162" s="442">
        <v>1455.8</v>
      </c>
      <c r="L162" s="434">
        <v>207.2</v>
      </c>
      <c r="M162" s="419">
        <v>158</v>
      </c>
      <c r="N162" s="419">
        <v>308</v>
      </c>
      <c r="O162" s="419">
        <v>305</v>
      </c>
    </row>
    <row r="163" spans="2:15" ht="15" x14ac:dyDescent="0.15">
      <c r="B163" s="621" t="s">
        <v>1225</v>
      </c>
      <c r="C163" s="622"/>
      <c r="D163" s="623"/>
      <c r="E163" s="419" t="s">
        <v>1226</v>
      </c>
      <c r="F163" s="419">
        <v>134.22</v>
      </c>
      <c r="G163" s="440">
        <v>7.32</v>
      </c>
      <c r="H163" s="441"/>
      <c r="I163" s="419">
        <v>1.7000000000000001E-2</v>
      </c>
      <c r="J163" s="421">
        <v>7.4169999999999998</v>
      </c>
      <c r="K163" s="442">
        <v>1880.5</v>
      </c>
      <c r="L163" s="434">
        <v>236.27</v>
      </c>
      <c r="M163" s="419">
        <v>178</v>
      </c>
      <c r="N163" s="419">
        <v>355</v>
      </c>
      <c r="O163" s="419">
        <v>350</v>
      </c>
    </row>
    <row r="164" spans="2:15" ht="15" x14ac:dyDescent="0.15">
      <c r="B164" s="621" t="s">
        <v>1227</v>
      </c>
      <c r="C164" s="622"/>
      <c r="D164" s="623"/>
      <c r="E164" s="419" t="s">
        <v>1228</v>
      </c>
      <c r="F164" s="419">
        <v>67.09</v>
      </c>
      <c r="G164" s="440">
        <v>6.68</v>
      </c>
      <c r="H164" s="441"/>
      <c r="I164" s="419">
        <v>0.88600000000000001</v>
      </c>
      <c r="J164" s="421">
        <v>6.9989999999999997</v>
      </c>
      <c r="K164" s="442">
        <v>1353.6</v>
      </c>
      <c r="L164" s="434">
        <v>238.03</v>
      </c>
      <c r="M164" s="419">
        <v>-48</v>
      </c>
      <c r="N164" s="419">
        <v>194</v>
      </c>
      <c r="O164" s="419">
        <v>194</v>
      </c>
    </row>
    <row r="165" spans="2:15" ht="15" x14ac:dyDescent="0.15">
      <c r="B165" s="621" t="s">
        <v>1229</v>
      </c>
      <c r="C165" s="622"/>
      <c r="D165" s="623"/>
      <c r="E165" s="419" t="s">
        <v>1230</v>
      </c>
      <c r="F165" s="419">
        <v>16.04</v>
      </c>
      <c r="G165" s="440">
        <v>3.53</v>
      </c>
      <c r="H165" s="441">
        <v>-260</v>
      </c>
      <c r="I165" s="419">
        <v>4567</v>
      </c>
      <c r="J165" s="421">
        <v>7.0960000000000001</v>
      </c>
      <c r="K165" s="442">
        <v>516.70000000000005</v>
      </c>
      <c r="L165" s="434">
        <v>284.37</v>
      </c>
      <c r="M165" s="419">
        <v>-262</v>
      </c>
      <c r="N165" s="419">
        <v>-117</v>
      </c>
      <c r="O165" s="419">
        <v>-260</v>
      </c>
    </row>
    <row r="166" spans="2:15" ht="15" x14ac:dyDescent="0.15">
      <c r="B166" s="621" t="s">
        <v>1231</v>
      </c>
      <c r="C166" s="622"/>
      <c r="D166" s="623"/>
      <c r="E166" s="419" t="s">
        <v>1232</v>
      </c>
      <c r="F166" s="419">
        <v>74.08</v>
      </c>
      <c r="G166" s="440">
        <v>7.8</v>
      </c>
      <c r="H166" s="441"/>
      <c r="I166" s="419">
        <v>2.7029999999999998</v>
      </c>
      <c r="J166" s="421">
        <v>7.0789999999999997</v>
      </c>
      <c r="K166" s="442">
        <v>1164.4000000000001</v>
      </c>
      <c r="L166" s="434">
        <v>220.46</v>
      </c>
      <c r="M166" s="419">
        <v>35</v>
      </c>
      <c r="N166" s="419">
        <v>133</v>
      </c>
      <c r="O166" s="419">
        <v>134</v>
      </c>
    </row>
    <row r="167" spans="2:15" ht="15" x14ac:dyDescent="0.15">
      <c r="B167" s="621" t="s">
        <v>1233</v>
      </c>
      <c r="C167" s="622"/>
      <c r="D167" s="623"/>
      <c r="E167" s="419" t="s">
        <v>1234</v>
      </c>
      <c r="F167" s="419">
        <v>86.09</v>
      </c>
      <c r="G167" s="440">
        <v>7.96</v>
      </c>
      <c r="H167" s="441"/>
      <c r="I167" s="419">
        <v>1.0580000000000001</v>
      </c>
      <c r="J167" s="421">
        <v>7.1980000000000004</v>
      </c>
      <c r="K167" s="442">
        <v>1338.7</v>
      </c>
      <c r="L167" s="434">
        <v>229.63</v>
      </c>
      <c r="M167" s="419">
        <v>-47</v>
      </c>
      <c r="N167" s="419">
        <v>176</v>
      </c>
      <c r="O167" s="419">
        <v>177</v>
      </c>
    </row>
    <row r="168" spans="2:15" ht="15" x14ac:dyDescent="0.15">
      <c r="B168" s="621" t="s">
        <v>1235</v>
      </c>
      <c r="C168" s="622"/>
      <c r="D168" s="623"/>
      <c r="E168" s="419" t="s">
        <v>1236</v>
      </c>
      <c r="F168" s="419">
        <v>32.04</v>
      </c>
      <c r="G168" s="440">
        <v>6.61</v>
      </c>
      <c r="H168" s="441"/>
      <c r="I168" s="419">
        <v>1.476</v>
      </c>
      <c r="J168" s="421">
        <v>8.0790000000000006</v>
      </c>
      <c r="K168" s="442">
        <v>1581.3</v>
      </c>
      <c r="L168" s="434">
        <v>239.65</v>
      </c>
      <c r="M168" s="419">
        <v>59</v>
      </c>
      <c r="N168" s="419">
        <v>183</v>
      </c>
      <c r="O168" s="419">
        <v>148</v>
      </c>
    </row>
    <row r="169" spans="2:15" ht="15" x14ac:dyDescent="0.15">
      <c r="B169" s="621" t="s">
        <v>1237</v>
      </c>
      <c r="C169" s="622"/>
      <c r="D169" s="623"/>
      <c r="E169" s="419" t="s">
        <v>1238</v>
      </c>
      <c r="F169" s="419">
        <v>72.11</v>
      </c>
      <c r="G169" s="440">
        <v>6.68</v>
      </c>
      <c r="H169" s="441">
        <v>77</v>
      </c>
      <c r="I169" s="419">
        <v>1.081</v>
      </c>
      <c r="J169" s="421">
        <v>6.8639999999999999</v>
      </c>
      <c r="K169" s="442">
        <v>1150.2</v>
      </c>
      <c r="L169" s="434">
        <v>209.25</v>
      </c>
      <c r="M169" s="419">
        <v>106</v>
      </c>
      <c r="N169" s="419">
        <v>207</v>
      </c>
      <c r="O169" s="419">
        <v>176</v>
      </c>
    </row>
    <row r="170" spans="2:15" ht="15" x14ac:dyDescent="0.15">
      <c r="B170" s="621" t="s">
        <v>1239</v>
      </c>
      <c r="C170" s="622"/>
      <c r="D170" s="623"/>
      <c r="E170" s="419" t="s">
        <v>1240</v>
      </c>
      <c r="F170" s="419">
        <v>100.16</v>
      </c>
      <c r="G170" s="440">
        <v>6.65</v>
      </c>
      <c r="H170" s="441">
        <v>77</v>
      </c>
      <c r="I170" s="419">
        <v>0.219</v>
      </c>
      <c r="J170" s="421">
        <v>6.8280000000000003</v>
      </c>
      <c r="K170" s="442">
        <v>1254.0999999999999</v>
      </c>
      <c r="L170" s="434">
        <v>201.61</v>
      </c>
      <c r="M170" s="419">
        <v>71</v>
      </c>
      <c r="N170" s="419">
        <v>241</v>
      </c>
      <c r="O170" s="419">
        <v>241</v>
      </c>
    </row>
    <row r="171" spans="2:15" ht="15" x14ac:dyDescent="0.15">
      <c r="B171" s="621" t="s">
        <v>1241</v>
      </c>
      <c r="C171" s="622"/>
      <c r="D171" s="623"/>
      <c r="E171" s="419" t="s">
        <v>1242</v>
      </c>
      <c r="F171" s="419">
        <v>100.12</v>
      </c>
      <c r="G171" s="440">
        <v>7.88</v>
      </c>
      <c r="H171" s="441"/>
      <c r="I171" s="419">
        <v>0.41599999999999998</v>
      </c>
      <c r="J171" s="421">
        <v>8.2530000000000001</v>
      </c>
      <c r="K171" s="442">
        <v>1945.6</v>
      </c>
      <c r="L171" s="434">
        <v>265.58</v>
      </c>
      <c r="M171" s="419">
        <v>102</v>
      </c>
      <c r="N171" s="419">
        <v>192</v>
      </c>
      <c r="O171" s="419">
        <v>213</v>
      </c>
    </row>
    <row r="172" spans="2:15" ht="15" x14ac:dyDescent="0.15">
      <c r="B172" s="621" t="s">
        <v>1243</v>
      </c>
      <c r="C172" s="622"/>
      <c r="D172" s="623"/>
      <c r="E172" s="419" t="s">
        <v>1244</v>
      </c>
      <c r="F172" s="419">
        <v>74.12</v>
      </c>
      <c r="G172" s="440">
        <v>6.14</v>
      </c>
      <c r="H172" s="441">
        <v>55</v>
      </c>
      <c r="I172" s="419">
        <v>6.0170000000000003</v>
      </c>
      <c r="J172" s="421">
        <v>6.5629999999999997</v>
      </c>
      <c r="K172" s="442">
        <v>903.6</v>
      </c>
      <c r="L172" s="434">
        <v>206.46</v>
      </c>
      <c r="M172" s="419">
        <v>31</v>
      </c>
      <c r="N172" s="419">
        <v>103</v>
      </c>
      <c r="O172" s="419">
        <v>102</v>
      </c>
    </row>
    <row r="173" spans="2:15" ht="15" x14ac:dyDescent="0.15">
      <c r="B173" s="621" t="s">
        <v>1245</v>
      </c>
      <c r="C173" s="622"/>
      <c r="D173" s="623"/>
      <c r="E173" s="419" t="s">
        <v>1246</v>
      </c>
      <c r="F173" s="419">
        <v>118.18</v>
      </c>
      <c r="G173" s="440">
        <v>7.6</v>
      </c>
      <c r="H173" s="441"/>
      <c r="I173" s="419">
        <v>2.4E-2</v>
      </c>
      <c r="J173" s="421">
        <v>6.9240000000000004</v>
      </c>
      <c r="K173" s="442">
        <v>1486.9</v>
      </c>
      <c r="L173" s="434">
        <v>202.4</v>
      </c>
      <c r="M173" s="419"/>
      <c r="N173" s="419"/>
      <c r="O173" s="419">
        <v>329</v>
      </c>
    </row>
    <row r="174" spans="2:15" ht="15" x14ac:dyDescent="0.15">
      <c r="B174" s="621" t="s">
        <v>1247</v>
      </c>
      <c r="C174" s="622"/>
      <c r="D174" s="623"/>
      <c r="E174" s="419" t="s">
        <v>1248</v>
      </c>
      <c r="F174" s="419">
        <v>98.19</v>
      </c>
      <c r="G174" s="440">
        <v>6.42</v>
      </c>
      <c r="H174" s="441"/>
      <c r="I174" s="419">
        <v>0.55800000000000005</v>
      </c>
      <c r="J174" s="421">
        <v>6.8230000000000004</v>
      </c>
      <c r="K174" s="442">
        <v>1270.8</v>
      </c>
      <c r="L174" s="434">
        <v>221.42</v>
      </c>
      <c r="M174" s="419">
        <v>27</v>
      </c>
      <c r="N174" s="419">
        <v>261</v>
      </c>
      <c r="O174" s="419">
        <v>214</v>
      </c>
    </row>
    <row r="175" spans="2:15" ht="15" x14ac:dyDescent="0.15">
      <c r="B175" s="621" t="s">
        <v>1249</v>
      </c>
      <c r="C175" s="622"/>
      <c r="D175" s="623"/>
      <c r="E175" s="419" t="s">
        <v>1250</v>
      </c>
      <c r="F175" s="419">
        <v>84.16</v>
      </c>
      <c r="G175" s="440">
        <v>6.25</v>
      </c>
      <c r="H175" s="441"/>
      <c r="I175" s="419">
        <v>1.738</v>
      </c>
      <c r="J175" s="421">
        <v>6.8630000000000004</v>
      </c>
      <c r="K175" s="442">
        <v>1186.0999999999999</v>
      </c>
      <c r="L175" s="434">
        <v>226.04</v>
      </c>
      <c r="M175" s="419">
        <v>59</v>
      </c>
      <c r="N175" s="419">
        <v>163</v>
      </c>
      <c r="O175" s="419">
        <v>161</v>
      </c>
    </row>
    <row r="176" spans="2:15" ht="15" x14ac:dyDescent="0.15">
      <c r="B176" s="621" t="s">
        <v>1251</v>
      </c>
      <c r="C176" s="622"/>
      <c r="D176" s="623"/>
      <c r="E176" s="419" t="s">
        <v>1252</v>
      </c>
      <c r="F176" s="419">
        <v>115.03</v>
      </c>
      <c r="G176" s="440">
        <v>8.91</v>
      </c>
      <c r="H176" s="441"/>
      <c r="I176" s="419">
        <v>5.718</v>
      </c>
      <c r="J176" s="421">
        <v>7.0279999999999996</v>
      </c>
      <c r="K176" s="442">
        <v>1167.8</v>
      </c>
      <c r="L176" s="434">
        <v>240.7</v>
      </c>
      <c r="M176" s="419">
        <v>34</v>
      </c>
      <c r="N176" s="419">
        <v>106</v>
      </c>
      <c r="O176" s="419"/>
    </row>
    <row r="177" spans="2:15" ht="15" x14ac:dyDescent="0.15">
      <c r="B177" s="621" t="s">
        <v>1253</v>
      </c>
      <c r="C177" s="622"/>
      <c r="D177" s="623"/>
      <c r="E177" s="419" t="s">
        <v>1254</v>
      </c>
      <c r="F177" s="419">
        <v>84.93</v>
      </c>
      <c r="G177" s="440">
        <v>11</v>
      </c>
      <c r="H177" s="441"/>
      <c r="I177" s="419">
        <v>5.64</v>
      </c>
      <c r="J177" s="421">
        <v>7.4119999999999999</v>
      </c>
      <c r="K177" s="442">
        <v>1327</v>
      </c>
      <c r="L177" s="434">
        <v>252.68</v>
      </c>
      <c r="M177" s="419">
        <v>-40</v>
      </c>
      <c r="N177" s="419">
        <v>104</v>
      </c>
      <c r="O177" s="419">
        <v>104</v>
      </c>
    </row>
    <row r="178" spans="2:15" ht="15" x14ac:dyDescent="0.15">
      <c r="B178" s="621" t="s">
        <v>1255</v>
      </c>
      <c r="C178" s="622"/>
      <c r="D178" s="623"/>
      <c r="E178" s="419" t="s">
        <v>1256</v>
      </c>
      <c r="F178" s="419">
        <v>100.2</v>
      </c>
      <c r="G178" s="440">
        <v>5.66</v>
      </c>
      <c r="H178" s="441"/>
      <c r="I178" s="419">
        <v>0.79900000000000004</v>
      </c>
      <c r="J178" s="421">
        <v>6.8819999999999997</v>
      </c>
      <c r="K178" s="442">
        <v>1240.9000000000001</v>
      </c>
      <c r="L178" s="434">
        <v>220.1</v>
      </c>
      <c r="M178" s="419">
        <v>65</v>
      </c>
      <c r="N178" s="419">
        <v>196</v>
      </c>
      <c r="O178" s="419">
        <v>194</v>
      </c>
    </row>
    <row r="179" spans="2:15" ht="15" x14ac:dyDescent="0.15">
      <c r="B179" s="621" t="s">
        <v>1257</v>
      </c>
      <c r="C179" s="622"/>
      <c r="D179" s="623"/>
      <c r="E179" s="419" t="s">
        <v>1258</v>
      </c>
      <c r="F179" s="419">
        <v>100.2</v>
      </c>
      <c r="G179" s="440">
        <v>5.72</v>
      </c>
      <c r="H179" s="441"/>
      <c r="I179" s="419">
        <v>0.74399999999999999</v>
      </c>
      <c r="J179" s="421">
        <v>6.8739999999999997</v>
      </c>
      <c r="K179" s="442">
        <v>1243.8</v>
      </c>
      <c r="L179" s="434">
        <v>219.63</v>
      </c>
      <c r="M179" s="419">
        <v>68</v>
      </c>
      <c r="N179" s="419">
        <v>199</v>
      </c>
      <c r="O179" s="419">
        <v>197</v>
      </c>
    </row>
    <row r="180" spans="2:15" ht="15" x14ac:dyDescent="0.15">
      <c r="B180" s="621" t="s">
        <v>1259</v>
      </c>
      <c r="C180" s="622"/>
      <c r="D180" s="623"/>
      <c r="E180" s="419" t="s">
        <v>1260</v>
      </c>
      <c r="F180" s="419">
        <v>86.18</v>
      </c>
      <c r="G180" s="440">
        <v>5.43</v>
      </c>
      <c r="H180" s="441">
        <v>77</v>
      </c>
      <c r="I180" s="419">
        <v>2.73</v>
      </c>
      <c r="J180" s="421">
        <v>6.8390000000000004</v>
      </c>
      <c r="K180" s="442">
        <v>1135.4000000000001</v>
      </c>
      <c r="L180" s="434">
        <v>226.57</v>
      </c>
      <c r="M180" s="419">
        <v>55</v>
      </c>
      <c r="N180" s="419">
        <v>142</v>
      </c>
      <c r="O180" s="419">
        <v>142</v>
      </c>
    </row>
    <row r="181" spans="2:15" ht="15" x14ac:dyDescent="0.15">
      <c r="B181" s="621" t="s">
        <v>1261</v>
      </c>
      <c r="C181" s="622"/>
      <c r="D181" s="623"/>
      <c r="E181" s="419" t="s">
        <v>1262</v>
      </c>
      <c r="F181" s="419">
        <v>88.15</v>
      </c>
      <c r="G181" s="440">
        <v>6.18</v>
      </c>
      <c r="H181" s="441"/>
      <c r="I181" s="419">
        <v>3.226</v>
      </c>
      <c r="J181" s="421">
        <v>6.867</v>
      </c>
      <c r="K181" s="442">
        <v>1116.0999999999999</v>
      </c>
      <c r="L181" s="434">
        <v>224.74</v>
      </c>
      <c r="M181" s="419">
        <v>125</v>
      </c>
      <c r="N181" s="419">
        <v>431</v>
      </c>
      <c r="O181" s="419">
        <v>131</v>
      </c>
    </row>
    <row r="182" spans="2:15" ht="15" x14ac:dyDescent="0.15">
      <c r="B182" s="621" t="s">
        <v>1263</v>
      </c>
      <c r="C182" s="622"/>
      <c r="D182" s="623"/>
      <c r="E182" s="419" t="s">
        <v>1264</v>
      </c>
      <c r="F182" s="419">
        <v>87.12</v>
      </c>
      <c r="G182" s="440">
        <v>8.35</v>
      </c>
      <c r="H182" s="441"/>
      <c r="I182" s="419">
        <v>0.109</v>
      </c>
      <c r="J182" s="421">
        <v>7.718</v>
      </c>
      <c r="K182" s="442">
        <v>1745.8</v>
      </c>
      <c r="L182" s="434">
        <v>235</v>
      </c>
      <c r="M182" s="419">
        <v>32</v>
      </c>
      <c r="N182" s="419">
        <v>111</v>
      </c>
      <c r="O182" s="419">
        <v>263</v>
      </c>
    </row>
    <row r="183" spans="2:15" ht="15" x14ac:dyDescent="0.15">
      <c r="B183" s="621" t="s">
        <v>19</v>
      </c>
      <c r="C183" s="622"/>
      <c r="D183" s="623"/>
      <c r="E183" s="419" t="s">
        <v>1265</v>
      </c>
      <c r="F183" s="419">
        <v>128.16999999999999</v>
      </c>
      <c r="G183" s="440">
        <v>8.56</v>
      </c>
      <c r="H183" s="441"/>
      <c r="I183" s="419">
        <v>2.3999999999999998E-3</v>
      </c>
      <c r="J183" s="421">
        <v>7.1459999999999999</v>
      </c>
      <c r="K183" s="442">
        <v>1831.6</v>
      </c>
      <c r="L183" s="434">
        <v>211.82</v>
      </c>
      <c r="M183" s="419">
        <v>177</v>
      </c>
      <c r="N183" s="419">
        <v>354</v>
      </c>
      <c r="O183" s="419">
        <v>422</v>
      </c>
    </row>
    <row r="184" spans="2:15" ht="15" x14ac:dyDescent="0.15">
      <c r="B184" s="621" t="s">
        <v>1266</v>
      </c>
      <c r="C184" s="622"/>
      <c r="D184" s="623"/>
      <c r="E184" s="419" t="s">
        <v>1267</v>
      </c>
      <c r="F184" s="419">
        <v>123.11</v>
      </c>
      <c r="G184" s="440">
        <v>10</v>
      </c>
      <c r="H184" s="441"/>
      <c r="I184" s="419">
        <v>2.2000000000000001E-3</v>
      </c>
      <c r="J184" s="421">
        <v>7.0910000000000002</v>
      </c>
      <c r="K184" s="442">
        <v>1727.6</v>
      </c>
      <c r="L184" s="434">
        <v>199.71</v>
      </c>
      <c r="M184" s="419">
        <v>273</v>
      </c>
      <c r="N184" s="419">
        <v>411</v>
      </c>
      <c r="O184" s="419">
        <v>412</v>
      </c>
    </row>
    <row r="185" spans="2:15" ht="15" x14ac:dyDescent="0.15">
      <c r="B185" s="621" t="s">
        <v>1268</v>
      </c>
      <c r="C185" s="622"/>
      <c r="D185" s="623"/>
      <c r="E185" s="419" t="s">
        <v>1269</v>
      </c>
      <c r="F185" s="419">
        <v>61.04</v>
      </c>
      <c r="G185" s="440">
        <v>9.49</v>
      </c>
      <c r="H185" s="441"/>
      <c r="I185" s="419">
        <v>0.41499999999999998</v>
      </c>
      <c r="J185" s="421">
        <v>7.2809999999999997</v>
      </c>
      <c r="K185" s="442">
        <v>1446.2</v>
      </c>
      <c r="L185" s="434">
        <v>227.52</v>
      </c>
      <c r="M185" s="419">
        <v>132</v>
      </c>
      <c r="N185" s="419">
        <v>277</v>
      </c>
      <c r="O185" s="419">
        <v>214</v>
      </c>
    </row>
    <row r="186" spans="2:15" ht="15" x14ac:dyDescent="0.15">
      <c r="B186" s="621" t="s">
        <v>1270</v>
      </c>
      <c r="C186" s="622"/>
      <c r="D186" s="623"/>
      <c r="E186" s="419" t="s">
        <v>1271</v>
      </c>
      <c r="F186" s="419">
        <v>268.52</v>
      </c>
      <c r="G186" s="440">
        <v>6.56</v>
      </c>
      <c r="H186" s="441"/>
      <c r="I186" s="443">
        <v>3.6399999999999998E-7</v>
      </c>
      <c r="J186" s="421">
        <v>33.302999999999997</v>
      </c>
      <c r="K186" s="442">
        <v>28197</v>
      </c>
      <c r="L186" s="434">
        <v>725.94</v>
      </c>
      <c r="M186" s="419">
        <v>91</v>
      </c>
      <c r="N186" s="419">
        <v>131</v>
      </c>
      <c r="O186" s="419">
        <v>624</v>
      </c>
    </row>
    <row r="187" spans="2:15" ht="15" x14ac:dyDescent="0.15">
      <c r="B187" s="621" t="s">
        <v>1272</v>
      </c>
      <c r="C187" s="622"/>
      <c r="D187" s="623"/>
      <c r="E187" s="419" t="s">
        <v>1273</v>
      </c>
      <c r="F187" s="419">
        <v>128.26</v>
      </c>
      <c r="G187" s="440">
        <v>5.99</v>
      </c>
      <c r="H187" s="441"/>
      <c r="I187" s="419">
        <v>3.6999999999999998E-2</v>
      </c>
      <c r="J187" s="421">
        <v>6.7</v>
      </c>
      <c r="K187" s="442">
        <v>1492.9</v>
      </c>
      <c r="L187" s="434">
        <v>217.26</v>
      </c>
      <c r="M187" s="419">
        <v>-64</v>
      </c>
      <c r="N187" s="419">
        <v>94</v>
      </c>
      <c r="O187" s="419">
        <v>303</v>
      </c>
    </row>
    <row r="188" spans="2:15" ht="15" x14ac:dyDescent="0.15">
      <c r="B188" s="621" t="s">
        <v>1274</v>
      </c>
      <c r="C188" s="622"/>
      <c r="D188" s="623"/>
      <c r="E188" s="419" t="s">
        <v>1275</v>
      </c>
      <c r="F188" s="419">
        <v>254.49</v>
      </c>
      <c r="G188" s="440">
        <v>6.48</v>
      </c>
      <c r="H188" s="441"/>
      <c r="I188" s="443">
        <v>6.1600000000000001E-7</v>
      </c>
      <c r="J188" s="421">
        <v>7.2069999999999999</v>
      </c>
      <c r="K188" s="442">
        <v>2069</v>
      </c>
      <c r="L188" s="434">
        <v>161.22</v>
      </c>
      <c r="M188" s="419">
        <v>346</v>
      </c>
      <c r="N188" s="419">
        <v>602</v>
      </c>
      <c r="O188" s="419">
        <v>592</v>
      </c>
    </row>
    <row r="189" spans="2:15" ht="15" x14ac:dyDescent="0.15">
      <c r="B189" s="621" t="s">
        <v>1276</v>
      </c>
      <c r="C189" s="622"/>
      <c r="D189" s="623"/>
      <c r="E189" s="419" t="s">
        <v>1277</v>
      </c>
      <c r="F189" s="419">
        <v>114.23</v>
      </c>
      <c r="G189" s="440">
        <v>5.83</v>
      </c>
      <c r="H189" s="441"/>
      <c r="I189" s="419">
        <v>0.14199999999999999</v>
      </c>
      <c r="J189" s="421">
        <v>8.0760000000000005</v>
      </c>
      <c r="K189" s="442">
        <v>1936.3</v>
      </c>
      <c r="L189" s="434">
        <v>253.01</v>
      </c>
      <c r="M189" s="419">
        <v>-70</v>
      </c>
      <c r="N189" s="419">
        <v>75</v>
      </c>
      <c r="O189" s="419">
        <v>258</v>
      </c>
    </row>
    <row r="190" spans="2:15" ht="15" x14ac:dyDescent="0.15">
      <c r="B190" s="621" t="s">
        <v>1278</v>
      </c>
      <c r="C190" s="622"/>
      <c r="D190" s="623"/>
      <c r="E190" s="419" t="s">
        <v>1279</v>
      </c>
      <c r="F190" s="419">
        <v>130.22999999999999</v>
      </c>
      <c r="G190" s="440">
        <v>6.9</v>
      </c>
      <c r="H190" s="441"/>
      <c r="I190" s="419">
        <v>6.0999999999999997E-4</v>
      </c>
      <c r="J190" s="421">
        <v>9.3520000000000003</v>
      </c>
      <c r="K190" s="442">
        <v>2603.4</v>
      </c>
      <c r="L190" s="434">
        <v>224.35</v>
      </c>
      <c r="M190" s="419">
        <v>68</v>
      </c>
      <c r="N190" s="419">
        <v>176</v>
      </c>
      <c r="O190" s="419">
        <v>383</v>
      </c>
    </row>
    <row r="191" spans="2:15" ht="15" x14ac:dyDescent="0.15">
      <c r="B191" s="621" t="s">
        <v>1280</v>
      </c>
      <c r="C191" s="622"/>
      <c r="D191" s="623"/>
      <c r="E191" s="419" t="s">
        <v>1281</v>
      </c>
      <c r="F191" s="419">
        <v>112.21</v>
      </c>
      <c r="G191" s="440">
        <v>5.97</v>
      </c>
      <c r="H191" s="441"/>
      <c r="I191" s="419">
        <v>0.19600000000000001</v>
      </c>
      <c r="J191" s="421">
        <v>6.9329999999999998</v>
      </c>
      <c r="K191" s="442">
        <v>1353.5</v>
      </c>
      <c r="L191" s="434">
        <v>212.76</v>
      </c>
      <c r="M191" s="419">
        <v>113</v>
      </c>
      <c r="N191" s="419">
        <v>252</v>
      </c>
      <c r="O191" s="419">
        <v>251</v>
      </c>
    </row>
    <row r="192" spans="2:15" ht="15" x14ac:dyDescent="0.15">
      <c r="B192" s="621" t="s">
        <v>1282</v>
      </c>
      <c r="C192" s="622"/>
      <c r="D192" s="623"/>
      <c r="E192" s="419" t="s">
        <v>1283</v>
      </c>
      <c r="F192" s="419">
        <v>202.29</v>
      </c>
      <c r="G192" s="440">
        <v>14</v>
      </c>
      <c r="H192" s="441"/>
      <c r="I192" s="419">
        <v>0.04</v>
      </c>
      <c r="J192" s="421">
        <v>6.6429999999999998</v>
      </c>
      <c r="K192" s="442">
        <v>1342.3</v>
      </c>
      <c r="L192" s="434">
        <v>196.51</v>
      </c>
      <c r="M192" s="419">
        <v>77</v>
      </c>
      <c r="N192" s="419">
        <v>324</v>
      </c>
      <c r="O192" s="419">
        <v>324</v>
      </c>
    </row>
    <row r="193" spans="2:15" ht="15" x14ac:dyDescent="0.15">
      <c r="B193" s="621" t="s">
        <v>1284</v>
      </c>
      <c r="C193" s="622"/>
      <c r="D193" s="623"/>
      <c r="E193" s="419" t="s">
        <v>1285</v>
      </c>
      <c r="F193" s="419">
        <v>68.12</v>
      </c>
      <c r="G193" s="440">
        <v>5.78</v>
      </c>
      <c r="H193" s="441"/>
      <c r="I193" s="419">
        <v>4.718</v>
      </c>
      <c r="J193" s="421">
        <v>6.9359999999999999</v>
      </c>
      <c r="K193" s="442">
        <v>1125.5</v>
      </c>
      <c r="L193" s="434">
        <v>231.88</v>
      </c>
      <c r="M193" s="419">
        <v>-76</v>
      </c>
      <c r="N193" s="419">
        <v>-19</v>
      </c>
      <c r="O193" s="419">
        <v>113</v>
      </c>
    </row>
    <row r="194" spans="2:15" ht="15" x14ac:dyDescent="0.15">
      <c r="B194" s="621" t="s">
        <v>1286</v>
      </c>
      <c r="C194" s="622"/>
      <c r="D194" s="623"/>
      <c r="E194" s="419" t="s">
        <v>1287</v>
      </c>
      <c r="F194" s="419">
        <v>68.12</v>
      </c>
      <c r="G194" s="440">
        <v>5.52</v>
      </c>
      <c r="H194" s="441"/>
      <c r="I194" s="419">
        <v>10.06</v>
      </c>
      <c r="J194" s="421">
        <v>7.0350000000000001</v>
      </c>
      <c r="K194" s="442">
        <v>1108.2</v>
      </c>
      <c r="L194" s="434">
        <v>241.05</v>
      </c>
      <c r="M194" s="419">
        <v>-110</v>
      </c>
      <c r="N194" s="419">
        <v>65</v>
      </c>
      <c r="O194" s="419">
        <v>79</v>
      </c>
    </row>
    <row r="195" spans="2:15" ht="15" x14ac:dyDescent="0.15">
      <c r="B195" s="621" t="s">
        <v>1288</v>
      </c>
      <c r="C195" s="622"/>
      <c r="D195" s="623"/>
      <c r="E195" s="419" t="s">
        <v>1289</v>
      </c>
      <c r="F195" s="419">
        <v>68.12</v>
      </c>
      <c r="G195" s="440">
        <v>5.8</v>
      </c>
      <c r="H195" s="441"/>
      <c r="I195" s="419">
        <v>4.2229999999999999</v>
      </c>
      <c r="J195" s="421">
        <v>7.2629999999999999</v>
      </c>
      <c r="K195" s="442">
        <v>1256.2</v>
      </c>
      <c r="L195" s="434">
        <v>239.57</v>
      </c>
      <c r="M195" s="419">
        <v>-76</v>
      </c>
      <c r="N195" s="419">
        <v>-15</v>
      </c>
      <c r="O195" s="419">
        <v>119</v>
      </c>
    </row>
    <row r="196" spans="2:15" ht="15" x14ac:dyDescent="0.15">
      <c r="B196" s="621" t="s">
        <v>1290</v>
      </c>
      <c r="C196" s="622"/>
      <c r="D196" s="623"/>
      <c r="E196" s="419" t="s">
        <v>1291</v>
      </c>
      <c r="F196" s="419">
        <v>72.150000000000006</v>
      </c>
      <c r="G196" s="440">
        <v>5.23</v>
      </c>
      <c r="H196" s="441"/>
      <c r="I196" s="419">
        <v>6.8840000000000003</v>
      </c>
      <c r="J196" s="421">
        <v>6.8639999999999999</v>
      </c>
      <c r="K196" s="442">
        <v>1070.5999999999999</v>
      </c>
      <c r="L196" s="434">
        <v>232.7</v>
      </c>
      <c r="M196" s="419">
        <v>24</v>
      </c>
      <c r="N196" s="419">
        <v>155</v>
      </c>
      <c r="O196" s="419">
        <v>97</v>
      </c>
    </row>
    <row r="197" spans="2:15" ht="15" x14ac:dyDescent="0.15">
      <c r="B197" s="621" t="s">
        <v>1292</v>
      </c>
      <c r="C197" s="622"/>
      <c r="D197" s="623"/>
      <c r="E197" s="419" t="s">
        <v>1293</v>
      </c>
      <c r="F197" s="419">
        <v>70.13</v>
      </c>
      <c r="G197" s="440">
        <v>5.35</v>
      </c>
      <c r="H197" s="441"/>
      <c r="I197" s="419">
        <v>8.6709999999999994</v>
      </c>
      <c r="J197" s="421">
        <v>6.7859999999999996</v>
      </c>
      <c r="K197" s="442">
        <v>1014.3</v>
      </c>
      <c r="L197" s="434">
        <v>229.78</v>
      </c>
      <c r="M197" s="419">
        <v>55</v>
      </c>
      <c r="N197" s="419">
        <v>87</v>
      </c>
      <c r="O197" s="419">
        <v>88</v>
      </c>
    </row>
    <row r="198" spans="2:15" ht="15" x14ac:dyDescent="0.15">
      <c r="B198" s="621" t="s">
        <v>1294</v>
      </c>
      <c r="C198" s="622"/>
      <c r="D198" s="623"/>
      <c r="E198" s="419" t="s">
        <v>1295</v>
      </c>
      <c r="F198" s="419">
        <v>68.12</v>
      </c>
      <c r="G198" s="440">
        <v>5.76</v>
      </c>
      <c r="H198" s="441"/>
      <c r="I198" s="419">
        <v>5.657</v>
      </c>
      <c r="J198" s="421">
        <v>6.9669999999999996</v>
      </c>
      <c r="K198" s="442">
        <v>1092.5</v>
      </c>
      <c r="L198" s="434">
        <v>227.18</v>
      </c>
      <c r="M198" s="419">
        <v>-47</v>
      </c>
      <c r="N198" s="419">
        <v>142</v>
      </c>
      <c r="O198" s="419">
        <v>104</v>
      </c>
    </row>
    <row r="199" spans="2:15" ht="15" x14ac:dyDescent="0.15">
      <c r="B199" s="621" t="s">
        <v>640</v>
      </c>
      <c r="C199" s="622"/>
      <c r="D199" s="623"/>
      <c r="E199" s="419" t="s">
        <v>1296</v>
      </c>
      <c r="F199" s="419">
        <v>178.23</v>
      </c>
      <c r="G199" s="440">
        <v>8.18</v>
      </c>
      <c r="H199" s="441"/>
      <c r="I199" s="443">
        <v>3.3699999999999999E-6</v>
      </c>
      <c r="J199" s="421">
        <v>7.3940000000000001</v>
      </c>
      <c r="K199" s="442">
        <v>2428.5</v>
      </c>
      <c r="L199" s="434">
        <v>202.19</v>
      </c>
      <c r="M199" s="419">
        <v>212</v>
      </c>
      <c r="N199" s="419">
        <v>302</v>
      </c>
      <c r="O199" s="419">
        <v>635</v>
      </c>
    </row>
    <row r="200" spans="2:15" ht="15" x14ac:dyDescent="0.15">
      <c r="B200" s="621" t="s">
        <v>1297</v>
      </c>
      <c r="C200" s="622"/>
      <c r="D200" s="623"/>
      <c r="E200" s="419" t="s">
        <v>1298</v>
      </c>
      <c r="F200" s="419">
        <v>94.11</v>
      </c>
      <c r="G200" s="440">
        <v>8.8000000000000007</v>
      </c>
      <c r="H200" s="441">
        <v>113</v>
      </c>
      <c r="I200" s="419">
        <v>3.0000000000000001E-3</v>
      </c>
      <c r="J200" s="421">
        <v>7.1219999999999999</v>
      </c>
      <c r="K200" s="442">
        <v>1509.7</v>
      </c>
      <c r="L200" s="434">
        <v>174.2</v>
      </c>
      <c r="M200" s="419">
        <v>225</v>
      </c>
      <c r="N200" s="419">
        <v>359</v>
      </c>
      <c r="O200" s="419">
        <v>359</v>
      </c>
    </row>
    <row r="201" spans="2:15" ht="15" x14ac:dyDescent="0.15">
      <c r="B201" s="621" t="s">
        <v>1299</v>
      </c>
      <c r="C201" s="622"/>
      <c r="D201" s="623"/>
      <c r="E201" s="419" t="s">
        <v>1300</v>
      </c>
      <c r="F201" s="419">
        <v>98.92</v>
      </c>
      <c r="G201" s="440">
        <v>11.4</v>
      </c>
      <c r="H201" s="441">
        <v>77</v>
      </c>
      <c r="I201" s="419">
        <v>19.43</v>
      </c>
      <c r="J201" s="421">
        <v>7.1459999999999999</v>
      </c>
      <c r="K201" s="442">
        <v>1072.7</v>
      </c>
      <c r="L201" s="434">
        <v>243.3</v>
      </c>
      <c r="M201" s="419">
        <v>47</v>
      </c>
      <c r="N201" s="419">
        <v>345</v>
      </c>
      <c r="O201" s="419">
        <v>46</v>
      </c>
    </row>
    <row r="202" spans="2:15" ht="15" x14ac:dyDescent="0.15">
      <c r="B202" s="621" t="s">
        <v>1301</v>
      </c>
      <c r="C202" s="622"/>
      <c r="D202" s="623"/>
      <c r="E202" s="419" t="s">
        <v>1302</v>
      </c>
      <c r="F202" s="419">
        <v>93.13</v>
      </c>
      <c r="G202" s="440">
        <v>7.98</v>
      </c>
      <c r="H202" s="441"/>
      <c r="I202" s="419">
        <v>6.4000000000000001E-2</v>
      </c>
      <c r="J202" s="421">
        <v>7.0540000000000003</v>
      </c>
      <c r="K202" s="442">
        <v>1484.3</v>
      </c>
      <c r="L202" s="434">
        <v>211.54</v>
      </c>
      <c r="M202" s="419">
        <v>165</v>
      </c>
      <c r="N202" s="419">
        <v>364</v>
      </c>
      <c r="O202" s="419">
        <v>291</v>
      </c>
    </row>
    <row r="203" spans="2:15" ht="15" x14ac:dyDescent="0.15">
      <c r="B203" s="621" t="s">
        <v>1303</v>
      </c>
      <c r="C203" s="622"/>
      <c r="D203" s="623"/>
      <c r="E203" s="419" t="s">
        <v>1304</v>
      </c>
      <c r="F203" s="419">
        <v>44.1</v>
      </c>
      <c r="G203" s="440">
        <v>4.12</v>
      </c>
      <c r="H203" s="441">
        <v>77</v>
      </c>
      <c r="I203" s="419">
        <v>111</v>
      </c>
      <c r="J203" s="421">
        <v>6.8579999999999997</v>
      </c>
      <c r="K203" s="442">
        <v>819.3</v>
      </c>
      <c r="L203" s="434">
        <v>248.73</v>
      </c>
      <c r="M203" s="419">
        <v>-45</v>
      </c>
      <c r="N203" s="419">
        <v>117</v>
      </c>
      <c r="O203" s="419">
        <v>-44</v>
      </c>
    </row>
    <row r="204" spans="2:15" ht="15" x14ac:dyDescent="0.15">
      <c r="B204" s="621" t="s">
        <v>1305</v>
      </c>
      <c r="C204" s="622"/>
      <c r="D204" s="623"/>
      <c r="E204" s="419" t="s">
        <v>1306</v>
      </c>
      <c r="F204" s="419">
        <v>76.16</v>
      </c>
      <c r="G204" s="440">
        <v>7.02</v>
      </c>
      <c r="H204" s="441"/>
      <c r="I204" s="419">
        <v>1.9430000000000001</v>
      </c>
      <c r="J204" s="421">
        <v>6.9290000000000003</v>
      </c>
      <c r="K204" s="442">
        <v>1183.4000000000001</v>
      </c>
      <c r="L204" s="434">
        <v>224.63</v>
      </c>
      <c r="M204" s="419">
        <v>76</v>
      </c>
      <c r="N204" s="419">
        <v>216</v>
      </c>
      <c r="O204" s="419">
        <v>154</v>
      </c>
    </row>
    <row r="205" spans="2:15" ht="15" x14ac:dyDescent="0.15">
      <c r="B205" s="621" t="s">
        <v>1307</v>
      </c>
      <c r="C205" s="622"/>
      <c r="D205" s="623"/>
      <c r="E205" s="419" t="s">
        <v>1308</v>
      </c>
      <c r="F205" s="419">
        <v>76.16</v>
      </c>
      <c r="G205" s="440">
        <v>6.8</v>
      </c>
      <c r="H205" s="441"/>
      <c r="I205" s="419">
        <v>3.59</v>
      </c>
      <c r="J205" s="421">
        <v>6.8769999999999998</v>
      </c>
      <c r="K205" s="442">
        <v>1113.9000000000001</v>
      </c>
      <c r="L205" s="434">
        <v>226.16</v>
      </c>
      <c r="M205" s="419">
        <v>51</v>
      </c>
      <c r="N205" s="419">
        <v>186</v>
      </c>
      <c r="O205" s="419">
        <v>131</v>
      </c>
    </row>
    <row r="206" spans="2:15" ht="15" x14ac:dyDescent="0.15">
      <c r="B206" s="621" t="s">
        <v>1309</v>
      </c>
      <c r="C206" s="622"/>
      <c r="D206" s="623"/>
      <c r="E206" s="419" t="s">
        <v>1310</v>
      </c>
      <c r="F206" s="419">
        <v>60.1</v>
      </c>
      <c r="G206" s="440">
        <v>6.67</v>
      </c>
      <c r="H206" s="441">
        <v>77</v>
      </c>
      <c r="I206" s="419">
        <v>0.218</v>
      </c>
      <c r="J206" s="421">
        <v>8.1890000000000001</v>
      </c>
      <c r="K206" s="442">
        <v>1690.9</v>
      </c>
      <c r="L206" s="434">
        <v>221.35</v>
      </c>
      <c r="M206" s="419">
        <v>67</v>
      </c>
      <c r="N206" s="419">
        <v>207</v>
      </c>
      <c r="O206" s="419">
        <v>207</v>
      </c>
    </row>
    <row r="207" spans="2:15" ht="15" x14ac:dyDescent="0.15">
      <c r="B207" s="621" t="s">
        <v>1311</v>
      </c>
      <c r="C207" s="622"/>
      <c r="D207" s="623"/>
      <c r="E207" s="419" t="s">
        <v>1312</v>
      </c>
      <c r="F207" s="419">
        <v>105.09</v>
      </c>
      <c r="G207" s="440">
        <v>8.8000000000000007</v>
      </c>
      <c r="H207" s="441"/>
      <c r="I207" s="419">
        <v>0.26100000000000001</v>
      </c>
      <c r="J207" s="421">
        <v>6.9550000000000001</v>
      </c>
      <c r="K207" s="442">
        <v>1294.4000000000001</v>
      </c>
      <c r="L207" s="434">
        <v>206.7</v>
      </c>
      <c r="M207" s="419">
        <v>32</v>
      </c>
      <c r="N207" s="419">
        <v>158</v>
      </c>
      <c r="O207" s="419">
        <v>231</v>
      </c>
    </row>
    <row r="208" spans="2:15" ht="15" x14ac:dyDescent="0.15">
      <c r="B208" s="621" t="s">
        <v>1313</v>
      </c>
      <c r="C208" s="622"/>
      <c r="D208" s="623"/>
      <c r="E208" s="419" t="s">
        <v>1314</v>
      </c>
      <c r="F208" s="419">
        <v>59.11</v>
      </c>
      <c r="G208" s="440">
        <v>5.99</v>
      </c>
      <c r="H208" s="441"/>
      <c r="I208" s="419">
        <v>3.99</v>
      </c>
      <c r="J208" s="421">
        <v>6.9260000000000002</v>
      </c>
      <c r="K208" s="442">
        <v>1044</v>
      </c>
      <c r="L208" s="434">
        <v>210.84</v>
      </c>
      <c r="M208" s="419">
        <v>73</v>
      </c>
      <c r="N208" s="419">
        <v>172</v>
      </c>
      <c r="O208" s="419">
        <v>120</v>
      </c>
    </row>
    <row r="209" spans="2:15" ht="15" x14ac:dyDescent="0.15">
      <c r="B209" s="621" t="s">
        <v>1315</v>
      </c>
      <c r="C209" s="622"/>
      <c r="D209" s="623"/>
      <c r="E209" s="419" t="s">
        <v>1316</v>
      </c>
      <c r="F209" s="419">
        <v>42.08</v>
      </c>
      <c r="G209" s="440">
        <v>4.22</v>
      </c>
      <c r="H209" s="441"/>
      <c r="I209" s="419">
        <v>132</v>
      </c>
      <c r="J209" s="421">
        <v>6.85</v>
      </c>
      <c r="K209" s="442">
        <v>795.8</v>
      </c>
      <c r="L209" s="434">
        <v>248.27</v>
      </c>
      <c r="M209" s="419">
        <v>-161</v>
      </c>
      <c r="N209" s="419">
        <v>-53</v>
      </c>
      <c r="O209" s="419">
        <v>-54</v>
      </c>
    </row>
    <row r="210" spans="2:15" ht="15" x14ac:dyDescent="0.15">
      <c r="B210" s="621" t="s">
        <v>1317</v>
      </c>
      <c r="C210" s="622"/>
      <c r="D210" s="623"/>
      <c r="E210" s="419" t="s">
        <v>1318</v>
      </c>
      <c r="F210" s="419">
        <v>76.09</v>
      </c>
      <c r="G210" s="440">
        <v>8.65</v>
      </c>
      <c r="H210" s="441"/>
      <c r="I210" s="419">
        <v>9.3999999999999997E-4</v>
      </c>
      <c r="J210" s="421">
        <v>8.2080000000000002</v>
      </c>
      <c r="K210" s="442">
        <v>2085.9</v>
      </c>
      <c r="L210" s="434">
        <v>203.54</v>
      </c>
      <c r="M210" s="419"/>
      <c r="N210" s="419"/>
      <c r="O210" s="419">
        <v>368</v>
      </c>
    </row>
    <row r="211" spans="2:15" ht="15" x14ac:dyDescent="0.15">
      <c r="B211" s="621" t="s">
        <v>1319</v>
      </c>
      <c r="C211" s="622"/>
      <c r="D211" s="623"/>
      <c r="E211" s="419" t="s">
        <v>1320</v>
      </c>
      <c r="F211" s="419">
        <v>58.08</v>
      </c>
      <c r="G211" s="440">
        <v>7.17</v>
      </c>
      <c r="H211" s="441">
        <v>32</v>
      </c>
      <c r="I211" s="419">
        <v>7.101</v>
      </c>
      <c r="J211" s="421">
        <v>6.97</v>
      </c>
      <c r="K211" s="442">
        <v>1065.3</v>
      </c>
      <c r="L211" s="434">
        <v>226.28</v>
      </c>
      <c r="M211" s="419">
        <v>-100</v>
      </c>
      <c r="N211" s="419">
        <v>94</v>
      </c>
      <c r="O211" s="419">
        <v>95</v>
      </c>
    </row>
    <row r="212" spans="2:15" ht="15" x14ac:dyDescent="0.15">
      <c r="B212" s="621" t="s">
        <v>1321</v>
      </c>
      <c r="C212" s="622"/>
      <c r="D212" s="623"/>
      <c r="E212" s="419" t="s">
        <v>1322</v>
      </c>
      <c r="F212" s="419">
        <v>79.099999999999994</v>
      </c>
      <c r="G212" s="440">
        <v>8.1999999999999993</v>
      </c>
      <c r="H212" s="441"/>
      <c r="I212" s="419">
        <v>0.23300000000000001</v>
      </c>
      <c r="J212" s="421">
        <v>7.0380000000000003</v>
      </c>
      <c r="K212" s="442">
        <v>1371.4</v>
      </c>
      <c r="L212" s="434">
        <v>214.65</v>
      </c>
      <c r="M212" s="419">
        <v>153</v>
      </c>
      <c r="N212" s="419">
        <v>307</v>
      </c>
      <c r="O212" s="419">
        <v>240</v>
      </c>
    </row>
    <row r="213" spans="2:15" ht="15" x14ac:dyDescent="0.15">
      <c r="B213" s="621" t="s">
        <v>1323</v>
      </c>
      <c r="C213" s="622"/>
      <c r="D213" s="623"/>
      <c r="E213" s="419" t="s">
        <v>1324</v>
      </c>
      <c r="F213" s="419">
        <v>110.11</v>
      </c>
      <c r="G213" s="440">
        <v>10.6</v>
      </c>
      <c r="H213" s="441">
        <v>77</v>
      </c>
      <c r="I213" s="443">
        <v>6.6499999999999999E-6</v>
      </c>
      <c r="J213" s="421">
        <v>8.3979999999999997</v>
      </c>
      <c r="K213" s="442">
        <v>2687.2</v>
      </c>
      <c r="L213" s="434">
        <v>210.99</v>
      </c>
      <c r="M213" s="419">
        <v>305</v>
      </c>
      <c r="N213" s="419">
        <v>530</v>
      </c>
      <c r="O213" s="419">
        <v>532</v>
      </c>
    </row>
    <row r="214" spans="2:15" ht="15" x14ac:dyDescent="0.15">
      <c r="B214" s="621" t="s">
        <v>20</v>
      </c>
      <c r="C214" s="622"/>
      <c r="D214" s="623"/>
      <c r="E214" s="419" t="s">
        <v>1325</v>
      </c>
      <c r="F214" s="419">
        <v>104.15</v>
      </c>
      <c r="G214" s="440">
        <v>7.56</v>
      </c>
      <c r="H214" s="441"/>
      <c r="I214" s="419">
        <v>6.6000000000000003E-2</v>
      </c>
      <c r="J214" s="421">
        <v>7.0949999999999998</v>
      </c>
      <c r="K214" s="442">
        <v>1525.1</v>
      </c>
      <c r="L214" s="434">
        <v>216.77</v>
      </c>
      <c r="M214" s="419">
        <v>86</v>
      </c>
      <c r="N214" s="419">
        <v>293</v>
      </c>
      <c r="O214" s="419">
        <v>295</v>
      </c>
    </row>
    <row r="215" spans="2:15" ht="15" x14ac:dyDescent="0.15">
      <c r="B215" s="621" t="s">
        <v>1326</v>
      </c>
      <c r="C215" s="622"/>
      <c r="D215" s="623"/>
      <c r="E215" s="419" t="s">
        <v>1327</v>
      </c>
      <c r="F215" s="419">
        <v>167.85</v>
      </c>
      <c r="G215" s="440">
        <v>12.8</v>
      </c>
      <c r="H215" s="441"/>
      <c r="I215" s="419">
        <v>0.13300000000000001</v>
      </c>
      <c r="J215" s="421">
        <v>6.9059999999999997</v>
      </c>
      <c r="K215" s="442">
        <v>1370.4</v>
      </c>
      <c r="L215" s="434">
        <v>210.25</v>
      </c>
      <c r="M215" s="419">
        <v>139</v>
      </c>
      <c r="N215" s="419">
        <v>266</v>
      </c>
      <c r="O215" s="419">
        <v>271</v>
      </c>
    </row>
    <row r="216" spans="2:15" ht="15" x14ac:dyDescent="0.15">
      <c r="B216" s="621" t="s">
        <v>1328</v>
      </c>
      <c r="C216" s="622"/>
      <c r="D216" s="623"/>
      <c r="E216" s="419" t="s">
        <v>1329</v>
      </c>
      <c r="F216" s="419">
        <v>167.85</v>
      </c>
      <c r="G216" s="440">
        <v>13.3</v>
      </c>
      <c r="H216" s="441"/>
      <c r="I216" s="419">
        <v>3.6999999999999998E-2</v>
      </c>
      <c r="J216" s="421">
        <v>6.0910000000000002</v>
      </c>
      <c r="K216" s="442">
        <v>959.6</v>
      </c>
      <c r="L216" s="434">
        <v>149.78</v>
      </c>
      <c r="M216" s="419">
        <v>77</v>
      </c>
      <c r="N216" s="419">
        <v>266</v>
      </c>
      <c r="O216" s="419">
        <v>295</v>
      </c>
    </row>
    <row r="217" spans="2:15" ht="15" x14ac:dyDescent="0.15">
      <c r="B217" s="621" t="s">
        <v>1330</v>
      </c>
      <c r="C217" s="622"/>
      <c r="D217" s="623"/>
      <c r="E217" s="419" t="s">
        <v>1331</v>
      </c>
      <c r="F217" s="419">
        <v>165.83</v>
      </c>
      <c r="G217" s="440">
        <v>13.5</v>
      </c>
      <c r="H217" s="441"/>
      <c r="I217" s="419">
        <v>0.21299999999999999</v>
      </c>
      <c r="J217" s="421">
        <v>7.056</v>
      </c>
      <c r="K217" s="442">
        <v>1440.8</v>
      </c>
      <c r="L217" s="434">
        <v>223.98</v>
      </c>
      <c r="M217" s="419">
        <v>82</v>
      </c>
      <c r="N217" s="419">
        <v>226</v>
      </c>
      <c r="O217" s="419">
        <v>250</v>
      </c>
    </row>
    <row r="218" spans="2:15" ht="15" x14ac:dyDescent="0.15">
      <c r="B218" s="621" t="s">
        <v>1332</v>
      </c>
      <c r="C218" s="622"/>
      <c r="D218" s="623"/>
      <c r="E218" s="419" t="s">
        <v>1333</v>
      </c>
      <c r="F218" s="419">
        <v>72.11</v>
      </c>
      <c r="G218" s="440">
        <v>7.42</v>
      </c>
      <c r="H218" s="441"/>
      <c r="I218" s="419">
        <v>2.0390000000000001</v>
      </c>
      <c r="J218" s="421">
        <v>6.9960000000000004</v>
      </c>
      <c r="K218" s="442">
        <v>1202.9000000000001</v>
      </c>
      <c r="L218" s="434">
        <v>226.33</v>
      </c>
      <c r="M218" s="419">
        <v>74</v>
      </c>
      <c r="N218" s="419">
        <v>211</v>
      </c>
      <c r="O218" s="419">
        <v>151</v>
      </c>
    </row>
    <row r="219" spans="2:15" ht="15" x14ac:dyDescent="0.15">
      <c r="B219" s="621" t="s">
        <v>21</v>
      </c>
      <c r="C219" s="622"/>
      <c r="D219" s="623"/>
      <c r="E219" s="419" t="s">
        <v>1334</v>
      </c>
      <c r="F219" s="419">
        <v>92.14</v>
      </c>
      <c r="G219" s="440">
        <v>7.24</v>
      </c>
      <c r="H219" s="441"/>
      <c r="I219" s="419">
        <v>0.33100000000000002</v>
      </c>
      <c r="J219" s="421">
        <v>7.0170000000000003</v>
      </c>
      <c r="K219" s="442">
        <v>1377.6</v>
      </c>
      <c r="L219" s="434">
        <v>222.64</v>
      </c>
      <c r="M219" s="419">
        <v>32</v>
      </c>
      <c r="N219" s="419">
        <v>122</v>
      </c>
      <c r="O219" s="419">
        <v>231</v>
      </c>
    </row>
    <row r="220" spans="2:15" ht="15" x14ac:dyDescent="0.15">
      <c r="B220" s="621" t="s">
        <v>1335</v>
      </c>
      <c r="C220" s="622"/>
      <c r="D220" s="623"/>
      <c r="E220" s="419" t="s">
        <v>1336</v>
      </c>
      <c r="F220" s="419">
        <v>133.4</v>
      </c>
      <c r="G220" s="440">
        <v>11.1</v>
      </c>
      <c r="H220" s="441"/>
      <c r="I220" s="419">
        <v>1.65</v>
      </c>
      <c r="J220" s="421">
        <v>8.7609999999999992</v>
      </c>
      <c r="K220" s="442">
        <v>2210.1999999999998</v>
      </c>
      <c r="L220" s="434">
        <v>308.05</v>
      </c>
      <c r="M220" s="419">
        <v>22</v>
      </c>
      <c r="N220" s="419">
        <v>62</v>
      </c>
      <c r="O220" s="419">
        <v>165</v>
      </c>
    </row>
    <row r="221" spans="2:15" ht="15" x14ac:dyDescent="0.15">
      <c r="B221" s="621" t="s">
        <v>1337</v>
      </c>
      <c r="C221" s="622"/>
      <c r="D221" s="623"/>
      <c r="E221" s="419" t="s">
        <v>1338</v>
      </c>
      <c r="F221" s="419">
        <v>133.4</v>
      </c>
      <c r="G221" s="440">
        <v>12</v>
      </c>
      <c r="H221" s="441"/>
      <c r="I221" s="419">
        <v>0.245</v>
      </c>
      <c r="J221" s="421">
        <v>6.9450000000000003</v>
      </c>
      <c r="K221" s="442">
        <v>1310.3</v>
      </c>
      <c r="L221" s="434">
        <v>208.74</v>
      </c>
      <c r="M221" s="419">
        <v>122</v>
      </c>
      <c r="N221" s="419">
        <v>237</v>
      </c>
      <c r="O221" s="419">
        <v>237</v>
      </c>
    </row>
    <row r="222" spans="2:15" ht="15" x14ac:dyDescent="0.15">
      <c r="B222" s="621" t="s">
        <v>1339</v>
      </c>
      <c r="C222" s="622"/>
      <c r="D222" s="623"/>
      <c r="E222" s="419" t="s">
        <v>1340</v>
      </c>
      <c r="F222" s="419">
        <v>131.38999999999999</v>
      </c>
      <c r="G222" s="440">
        <v>12.2</v>
      </c>
      <c r="H222" s="441"/>
      <c r="I222" s="419">
        <v>0.81699999999999995</v>
      </c>
      <c r="J222" s="421">
        <v>6.4290000000000003</v>
      </c>
      <c r="K222" s="442">
        <v>974.5</v>
      </c>
      <c r="L222" s="434">
        <v>187.34</v>
      </c>
      <c r="M222" s="419">
        <v>64</v>
      </c>
      <c r="N222" s="419">
        <v>188</v>
      </c>
      <c r="O222" s="419">
        <v>189</v>
      </c>
    </row>
    <row r="223" spans="2:15" ht="15" x14ac:dyDescent="0.15">
      <c r="B223" s="621" t="s">
        <v>1341</v>
      </c>
      <c r="C223" s="622"/>
      <c r="D223" s="623"/>
      <c r="E223" s="419" t="s">
        <v>1342</v>
      </c>
      <c r="F223" s="419">
        <v>147.43</v>
      </c>
      <c r="G223" s="440">
        <v>11.5</v>
      </c>
      <c r="H223" s="441"/>
      <c r="I223" s="419">
        <v>3.1E-2</v>
      </c>
      <c r="J223" s="421">
        <v>7.532</v>
      </c>
      <c r="K223" s="442">
        <v>1818.9</v>
      </c>
      <c r="L223" s="434">
        <v>232.52</v>
      </c>
      <c r="M223" s="419">
        <v>48</v>
      </c>
      <c r="N223" s="419">
        <v>316</v>
      </c>
      <c r="O223" s="419">
        <v>313</v>
      </c>
    </row>
    <row r="224" spans="2:15" ht="15" x14ac:dyDescent="0.15">
      <c r="B224" s="621" t="s">
        <v>1343</v>
      </c>
      <c r="C224" s="622"/>
      <c r="D224" s="623"/>
      <c r="E224" s="419" t="s">
        <v>1344</v>
      </c>
      <c r="F224" s="419">
        <v>184.36</v>
      </c>
      <c r="G224" s="440">
        <v>6.31</v>
      </c>
      <c r="H224" s="441"/>
      <c r="I224" s="443">
        <v>2.4600000000000002E-4</v>
      </c>
      <c r="J224" s="421">
        <v>7.0030000000000001</v>
      </c>
      <c r="K224" s="442">
        <v>1689.1</v>
      </c>
      <c r="L224" s="434">
        <v>174.28</v>
      </c>
      <c r="M224" s="419">
        <v>283</v>
      </c>
      <c r="N224" s="419">
        <v>457</v>
      </c>
      <c r="O224" s="419">
        <v>453</v>
      </c>
    </row>
    <row r="225" spans="2:15" ht="15" x14ac:dyDescent="0.15">
      <c r="B225" s="621" t="s">
        <v>1345</v>
      </c>
      <c r="C225" s="622"/>
      <c r="D225" s="623"/>
      <c r="E225" s="419" t="s">
        <v>1346</v>
      </c>
      <c r="F225" s="419">
        <v>187.37</v>
      </c>
      <c r="G225" s="440">
        <v>13.05</v>
      </c>
      <c r="H225" s="441">
        <v>77</v>
      </c>
      <c r="I225" s="419">
        <v>4.3760000000000003</v>
      </c>
      <c r="J225" s="421">
        <v>6.88</v>
      </c>
      <c r="K225" s="442">
        <v>1099.9000000000001</v>
      </c>
      <c r="L225" s="434">
        <v>227.5</v>
      </c>
      <c r="M225" s="419">
        <v>-13</v>
      </c>
      <c r="N225" s="419">
        <v>181</v>
      </c>
      <c r="O225" s="419">
        <v>118</v>
      </c>
    </row>
    <row r="226" spans="2:15" ht="15" x14ac:dyDescent="0.15">
      <c r="B226" s="621" t="s">
        <v>1347</v>
      </c>
      <c r="C226" s="622"/>
      <c r="D226" s="623"/>
      <c r="E226" s="419" t="s">
        <v>1348</v>
      </c>
      <c r="F226" s="419">
        <v>120.19</v>
      </c>
      <c r="G226" s="440">
        <v>7.31</v>
      </c>
      <c r="H226" s="441"/>
      <c r="I226" s="419">
        <v>0.02</v>
      </c>
      <c r="J226" s="421">
        <v>7.0439999999999996</v>
      </c>
      <c r="K226" s="442">
        <v>1573.3</v>
      </c>
      <c r="L226" s="434">
        <v>208.56</v>
      </c>
      <c r="M226" s="419">
        <v>126</v>
      </c>
      <c r="N226" s="419">
        <v>388</v>
      </c>
      <c r="O226" s="419">
        <v>337</v>
      </c>
    </row>
    <row r="227" spans="2:15" ht="15" x14ac:dyDescent="0.15">
      <c r="B227" s="621" t="s">
        <v>1349</v>
      </c>
      <c r="C227" s="622"/>
      <c r="D227" s="623"/>
      <c r="E227" s="419" t="s">
        <v>1350</v>
      </c>
      <c r="F227" s="419">
        <v>108.64</v>
      </c>
      <c r="G227" s="440">
        <v>7.15</v>
      </c>
      <c r="H227" s="441">
        <v>77</v>
      </c>
      <c r="I227" s="419">
        <v>3.0680000000000001</v>
      </c>
      <c r="J227" s="421">
        <v>6.9509999999999996</v>
      </c>
      <c r="K227" s="442">
        <v>1191</v>
      </c>
      <c r="L227" s="434">
        <v>235.15</v>
      </c>
      <c r="M227" s="419">
        <v>37</v>
      </c>
      <c r="N227" s="419">
        <v>132</v>
      </c>
      <c r="O227" s="419">
        <v>136</v>
      </c>
    </row>
    <row r="228" spans="2:15" ht="15" x14ac:dyDescent="0.15">
      <c r="B228" s="621" t="s">
        <v>1351</v>
      </c>
      <c r="C228" s="622"/>
      <c r="D228" s="623"/>
      <c r="E228" s="419" t="s">
        <v>1352</v>
      </c>
      <c r="F228" s="419">
        <v>114.23</v>
      </c>
      <c r="G228" s="440">
        <v>5.74</v>
      </c>
      <c r="H228" s="441">
        <v>77</v>
      </c>
      <c r="I228" s="419">
        <v>0.378</v>
      </c>
      <c r="J228" s="421">
        <v>6.8250000000000002</v>
      </c>
      <c r="K228" s="442">
        <v>1294.9000000000001</v>
      </c>
      <c r="L228" s="434">
        <v>218.42</v>
      </c>
      <c r="M228" s="419"/>
      <c r="N228" s="419"/>
      <c r="O228" s="419">
        <v>230</v>
      </c>
    </row>
    <row r="229" spans="2:15" ht="15" x14ac:dyDescent="0.15">
      <c r="B229" s="621" t="s">
        <v>1353</v>
      </c>
      <c r="C229" s="622"/>
      <c r="D229" s="623"/>
      <c r="E229" s="419" t="s">
        <v>1354</v>
      </c>
      <c r="F229" s="419">
        <v>114.23</v>
      </c>
      <c r="G229" s="440">
        <v>6.06</v>
      </c>
      <c r="H229" s="441"/>
      <c r="I229" s="419">
        <v>0.317</v>
      </c>
      <c r="J229" s="421">
        <v>6.8440000000000003</v>
      </c>
      <c r="K229" s="442">
        <v>1328.1</v>
      </c>
      <c r="L229" s="434">
        <v>220.38</v>
      </c>
      <c r="M229" s="419"/>
      <c r="N229" s="419"/>
      <c r="O229" s="419">
        <v>238</v>
      </c>
    </row>
    <row r="230" spans="2:15" ht="15" x14ac:dyDescent="0.15">
      <c r="B230" s="621" t="s">
        <v>1355</v>
      </c>
      <c r="C230" s="622"/>
      <c r="D230" s="623"/>
      <c r="E230" s="419" t="s">
        <v>1356</v>
      </c>
      <c r="F230" s="419">
        <v>114.23</v>
      </c>
      <c r="G230" s="440">
        <v>6</v>
      </c>
      <c r="H230" s="441"/>
      <c r="I230" s="419">
        <v>0.314</v>
      </c>
      <c r="J230" s="421">
        <v>7.0309999999999997</v>
      </c>
      <c r="K230" s="442">
        <v>1420.7</v>
      </c>
      <c r="L230" s="434">
        <v>228.53</v>
      </c>
      <c r="M230" s="419">
        <v>-59</v>
      </c>
      <c r="N230" s="419">
        <v>308</v>
      </c>
      <c r="O230" s="419">
        <v>237</v>
      </c>
    </row>
    <row r="231" spans="2:15" ht="15" x14ac:dyDescent="0.15">
      <c r="B231" s="621" t="s">
        <v>1357</v>
      </c>
      <c r="C231" s="622"/>
      <c r="D231" s="623"/>
      <c r="E231" s="419" t="s">
        <v>1358</v>
      </c>
      <c r="F231" s="419">
        <v>156.31</v>
      </c>
      <c r="G231" s="440">
        <v>6.18</v>
      </c>
      <c r="H231" s="441"/>
      <c r="I231" s="419">
        <v>3.5000000000000001E-3</v>
      </c>
      <c r="J231" s="421">
        <v>6.9770000000000003</v>
      </c>
      <c r="K231" s="442">
        <v>1572.5</v>
      </c>
      <c r="L231" s="434">
        <v>188.02</v>
      </c>
      <c r="M231" s="419">
        <v>220</v>
      </c>
      <c r="N231" s="419">
        <v>387</v>
      </c>
      <c r="O231" s="419">
        <v>383</v>
      </c>
    </row>
    <row r="232" spans="2:15" ht="15" x14ac:dyDescent="0.15">
      <c r="B232" s="621" t="s">
        <v>1359</v>
      </c>
      <c r="C232" s="622"/>
      <c r="D232" s="623"/>
      <c r="E232" s="419" t="s">
        <v>1360</v>
      </c>
      <c r="F232" s="419">
        <v>86.09</v>
      </c>
      <c r="G232" s="440">
        <v>7.78</v>
      </c>
      <c r="H232" s="441"/>
      <c r="I232" s="419">
        <v>1.3959999999999999</v>
      </c>
      <c r="J232" s="421">
        <v>7.2149999999999999</v>
      </c>
      <c r="K232" s="442">
        <v>1299.0999999999999</v>
      </c>
      <c r="L232" s="434">
        <v>226.97</v>
      </c>
      <c r="M232" s="419">
        <v>71</v>
      </c>
      <c r="N232" s="419">
        <v>162</v>
      </c>
      <c r="O232" s="419">
        <v>163</v>
      </c>
    </row>
    <row r="233" spans="2:15" ht="15" x14ac:dyDescent="0.15">
      <c r="B233" s="621" t="s">
        <v>1361</v>
      </c>
      <c r="C233" s="622"/>
      <c r="D233" s="623"/>
      <c r="E233" s="419" t="s">
        <v>1362</v>
      </c>
      <c r="F233" s="419">
        <v>96.94</v>
      </c>
      <c r="G233" s="440">
        <v>10.1</v>
      </c>
      <c r="H233" s="441"/>
      <c r="I233" s="419">
        <v>8.0960000000000001</v>
      </c>
      <c r="J233" s="421">
        <v>6.9829999999999997</v>
      </c>
      <c r="K233" s="442">
        <v>1104.7</v>
      </c>
      <c r="L233" s="434">
        <v>237.75</v>
      </c>
      <c r="M233" s="419">
        <v>-19</v>
      </c>
      <c r="N233" s="419">
        <v>90</v>
      </c>
      <c r="O233" s="419">
        <v>88</v>
      </c>
    </row>
    <row r="234" spans="2:15" ht="15" x14ac:dyDescent="0.15">
      <c r="B234" s="621" t="s">
        <v>1363</v>
      </c>
      <c r="C234" s="622"/>
      <c r="D234" s="623"/>
      <c r="E234" s="419" t="s">
        <v>1364</v>
      </c>
      <c r="F234" s="419">
        <v>106.17</v>
      </c>
      <c r="G234" s="440">
        <v>7.21</v>
      </c>
      <c r="H234" s="441"/>
      <c r="I234" s="419">
        <v>0.09</v>
      </c>
      <c r="J234" s="421">
        <v>7.0090000000000003</v>
      </c>
      <c r="K234" s="442">
        <v>1462.3</v>
      </c>
      <c r="L234" s="434">
        <v>215.11</v>
      </c>
      <c r="M234" s="419">
        <v>82</v>
      </c>
      <c r="N234" s="419">
        <v>331</v>
      </c>
      <c r="O234" s="419">
        <v>283</v>
      </c>
    </row>
    <row r="235" spans="2:15" ht="15" x14ac:dyDescent="0.15">
      <c r="B235" s="621" t="s">
        <v>1365</v>
      </c>
      <c r="C235" s="622"/>
      <c r="D235" s="623"/>
      <c r="E235" s="419" t="s">
        <v>1366</v>
      </c>
      <c r="F235" s="419">
        <v>106.17</v>
      </c>
      <c r="G235" s="440">
        <v>7.35</v>
      </c>
      <c r="H235" s="441">
        <v>50</v>
      </c>
      <c r="I235" s="419">
        <v>7.0999999999999994E-2</v>
      </c>
      <c r="J235" s="421">
        <v>6.9989999999999997</v>
      </c>
      <c r="K235" s="442">
        <v>1474.7</v>
      </c>
      <c r="L235" s="434">
        <v>213.69</v>
      </c>
      <c r="M235" s="419">
        <v>90</v>
      </c>
      <c r="N235" s="419">
        <v>342</v>
      </c>
      <c r="O235" s="419">
        <v>291</v>
      </c>
    </row>
    <row r="236" spans="2:15" ht="15" x14ac:dyDescent="0.15">
      <c r="B236" s="621" t="s">
        <v>1367</v>
      </c>
      <c r="C236" s="622"/>
      <c r="D236" s="623"/>
      <c r="E236" s="419" t="s">
        <v>1368</v>
      </c>
      <c r="F236" s="419">
        <v>106.17</v>
      </c>
      <c r="G236" s="440">
        <v>7.19</v>
      </c>
      <c r="H236" s="441"/>
      <c r="I236" s="419">
        <v>9.7000000000000003E-2</v>
      </c>
      <c r="J236" s="421">
        <v>7.0209999999999999</v>
      </c>
      <c r="K236" s="442">
        <v>1474.4</v>
      </c>
      <c r="L236" s="434">
        <v>217.77</v>
      </c>
      <c r="M236" s="419">
        <v>56</v>
      </c>
      <c r="N236" s="419">
        <v>355</v>
      </c>
      <c r="O236" s="419">
        <v>281</v>
      </c>
    </row>
    <row r="237" spans="2:15" x14ac:dyDescent="0.15">
      <c r="B237" s="418"/>
      <c r="C237" s="418"/>
      <c r="D237" s="418"/>
      <c r="E237" s="418"/>
      <c r="F237" s="418"/>
      <c r="G237" s="418"/>
      <c r="H237" s="418"/>
      <c r="I237" s="418"/>
      <c r="J237" s="418"/>
      <c r="K237" s="418"/>
      <c r="L237" s="418"/>
      <c r="M237" s="418"/>
      <c r="N237" s="418"/>
      <c r="O237" s="418"/>
    </row>
    <row r="238" spans="2:15" ht="15" x14ac:dyDescent="0.15">
      <c r="B238" s="418" t="s">
        <v>1369</v>
      </c>
      <c r="C238" s="418"/>
      <c r="D238" s="418"/>
      <c r="E238" s="418"/>
      <c r="F238" s="418"/>
      <c r="G238" s="418"/>
      <c r="H238" s="418"/>
      <c r="I238" s="418"/>
      <c r="J238" s="418"/>
      <c r="K238" s="418"/>
      <c r="L238" s="418"/>
      <c r="M238" s="418"/>
      <c r="N238" s="418"/>
      <c r="O238" s="418"/>
    </row>
    <row r="239" spans="2:15" ht="15" x14ac:dyDescent="0.15">
      <c r="B239" s="418" t="s">
        <v>1370</v>
      </c>
      <c r="C239" s="418"/>
      <c r="D239" s="418"/>
      <c r="E239" s="418"/>
      <c r="F239" s="418"/>
      <c r="G239" s="418"/>
      <c r="H239" s="418"/>
      <c r="I239" s="418"/>
      <c r="J239" s="418"/>
      <c r="K239" s="418"/>
      <c r="L239" s="418"/>
      <c r="M239" s="418"/>
      <c r="N239" s="418"/>
      <c r="O239" s="418"/>
    </row>
    <row r="240" spans="2:15" ht="15" x14ac:dyDescent="0.15">
      <c r="B240" s="418" t="s">
        <v>1371</v>
      </c>
      <c r="C240" s="418"/>
      <c r="D240" s="418"/>
      <c r="E240" s="418"/>
      <c r="F240" s="418"/>
      <c r="G240" s="418"/>
      <c r="H240" s="418"/>
      <c r="I240" s="418"/>
      <c r="J240" s="418"/>
      <c r="K240" s="418"/>
      <c r="L240" s="418"/>
      <c r="M240" s="418"/>
      <c r="N240" s="418"/>
      <c r="O240" s="418"/>
    </row>
    <row r="241" spans="2:15" ht="15" x14ac:dyDescent="0.15">
      <c r="B241" s="418" t="s">
        <v>1372</v>
      </c>
      <c r="C241" s="418"/>
      <c r="D241" s="418"/>
      <c r="E241" s="418"/>
      <c r="F241" s="418"/>
      <c r="G241" s="418"/>
      <c r="H241" s="418"/>
      <c r="I241" s="418"/>
      <c r="J241" s="418"/>
      <c r="K241" s="418"/>
      <c r="L241" s="418"/>
      <c r="M241" s="418"/>
      <c r="N241" s="418"/>
      <c r="O241" s="418"/>
    </row>
  </sheetData>
  <sheetProtection algorithmName="SHA-512" hashValue="/tYYAGHBShMnajEnFZFg6ce7ApCPSLD2xtz7RNRVpMayWUcDnMdEirLWcW8I2jMOfG/7zOhak1DDRTVlZsmaGw==" saltValue="KSghyqjbmCClEyKV82Tytw==" spinCount="100000" sheet="1" objects="1" scenarios="1"/>
  <mergeCells count="206">
    <mergeCell ref="B2:G2"/>
    <mergeCell ref="B3:C3"/>
    <mergeCell ref="D3:G3"/>
    <mergeCell ref="B5:E5"/>
    <mergeCell ref="B7:B10"/>
    <mergeCell ref="C7:C8"/>
    <mergeCell ref="D7:D8"/>
    <mergeCell ref="E7:E8"/>
    <mergeCell ref="O48:O50"/>
    <mergeCell ref="J49:L49"/>
    <mergeCell ref="M49:N49"/>
    <mergeCell ref="B24:B26"/>
    <mergeCell ref="C24:C26"/>
    <mergeCell ref="D24:F25"/>
    <mergeCell ref="B48:D50"/>
    <mergeCell ref="E48:E50"/>
    <mergeCell ref="F48:F50"/>
    <mergeCell ref="B51:D51"/>
    <mergeCell ref="B52:D52"/>
    <mergeCell ref="B53:D53"/>
    <mergeCell ref="B54:D54"/>
    <mergeCell ref="B55:D55"/>
    <mergeCell ref="B56:D56"/>
    <mergeCell ref="G48:H50"/>
    <mergeCell ref="I48:I50"/>
    <mergeCell ref="J48:N48"/>
    <mergeCell ref="B63:D63"/>
    <mergeCell ref="B64:D64"/>
    <mergeCell ref="B65:D65"/>
    <mergeCell ref="B66:D66"/>
    <mergeCell ref="B67:D67"/>
    <mergeCell ref="B68:D68"/>
    <mergeCell ref="B57:D57"/>
    <mergeCell ref="B58:D58"/>
    <mergeCell ref="B59:D59"/>
    <mergeCell ref="B60:D60"/>
    <mergeCell ref="B61:D61"/>
    <mergeCell ref="B62:D62"/>
    <mergeCell ref="B75:D75"/>
    <mergeCell ref="B76:D76"/>
    <mergeCell ref="B77:D77"/>
    <mergeCell ref="B78:D78"/>
    <mergeCell ref="B79:D79"/>
    <mergeCell ref="B80:D80"/>
    <mergeCell ref="B69:D69"/>
    <mergeCell ref="B70:D70"/>
    <mergeCell ref="B71:D71"/>
    <mergeCell ref="B72:D72"/>
    <mergeCell ref="B73:D73"/>
    <mergeCell ref="B74:D74"/>
    <mergeCell ref="B87:D87"/>
    <mergeCell ref="B88:D88"/>
    <mergeCell ref="B89:D89"/>
    <mergeCell ref="B90:D90"/>
    <mergeCell ref="B91:D91"/>
    <mergeCell ref="B92:D92"/>
    <mergeCell ref="B81:D81"/>
    <mergeCell ref="B82:D82"/>
    <mergeCell ref="B83:D83"/>
    <mergeCell ref="B84:D84"/>
    <mergeCell ref="B85:D85"/>
    <mergeCell ref="B86:D86"/>
    <mergeCell ref="B99:D99"/>
    <mergeCell ref="B100:D100"/>
    <mergeCell ref="B101:D101"/>
    <mergeCell ref="B102:D102"/>
    <mergeCell ref="B103:D103"/>
    <mergeCell ref="B104:D104"/>
    <mergeCell ref="B93:D93"/>
    <mergeCell ref="B94:D94"/>
    <mergeCell ref="B95:D95"/>
    <mergeCell ref="B96:D96"/>
    <mergeCell ref="B97:D97"/>
    <mergeCell ref="B98:D98"/>
    <mergeCell ref="B111:D111"/>
    <mergeCell ref="B112:D112"/>
    <mergeCell ref="B113:D113"/>
    <mergeCell ref="B114:D114"/>
    <mergeCell ref="B115:D115"/>
    <mergeCell ref="B116:D116"/>
    <mergeCell ref="B105:D105"/>
    <mergeCell ref="B106:D106"/>
    <mergeCell ref="B107:D107"/>
    <mergeCell ref="B108:D108"/>
    <mergeCell ref="B109:D109"/>
    <mergeCell ref="B110:D110"/>
    <mergeCell ref="B123:D123"/>
    <mergeCell ref="B124:D124"/>
    <mergeCell ref="B125:D125"/>
    <mergeCell ref="B126:D126"/>
    <mergeCell ref="B127:D127"/>
    <mergeCell ref="B128:D128"/>
    <mergeCell ref="B117:D117"/>
    <mergeCell ref="B118:D118"/>
    <mergeCell ref="B119:D119"/>
    <mergeCell ref="B120:D120"/>
    <mergeCell ref="B121:D121"/>
    <mergeCell ref="B122:D122"/>
    <mergeCell ref="B135:D135"/>
    <mergeCell ref="B136:D136"/>
    <mergeCell ref="B137:D137"/>
    <mergeCell ref="B138:D138"/>
    <mergeCell ref="B139:D139"/>
    <mergeCell ref="B140:D140"/>
    <mergeCell ref="B129:D129"/>
    <mergeCell ref="B130:D130"/>
    <mergeCell ref="B131:D131"/>
    <mergeCell ref="B132:D132"/>
    <mergeCell ref="B133:D133"/>
    <mergeCell ref="B134:D134"/>
    <mergeCell ref="B147:D147"/>
    <mergeCell ref="B148:D148"/>
    <mergeCell ref="B149:D149"/>
    <mergeCell ref="B150:D150"/>
    <mergeCell ref="B151:D151"/>
    <mergeCell ref="B152:D152"/>
    <mergeCell ref="B141:D141"/>
    <mergeCell ref="B142:D142"/>
    <mergeCell ref="B143:D143"/>
    <mergeCell ref="B144:D144"/>
    <mergeCell ref="B145:D145"/>
    <mergeCell ref="B146:D146"/>
    <mergeCell ref="B159:D159"/>
    <mergeCell ref="B160:D160"/>
    <mergeCell ref="B161:D161"/>
    <mergeCell ref="B162:D162"/>
    <mergeCell ref="B163:D163"/>
    <mergeCell ref="B164:D164"/>
    <mergeCell ref="B153:D153"/>
    <mergeCell ref="B154:D154"/>
    <mergeCell ref="B155:D155"/>
    <mergeCell ref="B156:D156"/>
    <mergeCell ref="B157:D157"/>
    <mergeCell ref="B158:D158"/>
    <mergeCell ref="B171:D171"/>
    <mergeCell ref="B172:D172"/>
    <mergeCell ref="B173:D173"/>
    <mergeCell ref="B174:D174"/>
    <mergeCell ref="B175:D175"/>
    <mergeCell ref="B176:D176"/>
    <mergeCell ref="B165:D165"/>
    <mergeCell ref="B166:D166"/>
    <mergeCell ref="B167:D167"/>
    <mergeCell ref="B168:D168"/>
    <mergeCell ref="B169:D169"/>
    <mergeCell ref="B170:D170"/>
    <mergeCell ref="B183:D183"/>
    <mergeCell ref="B184:D184"/>
    <mergeCell ref="B185:D185"/>
    <mergeCell ref="B186:D186"/>
    <mergeCell ref="B187:D187"/>
    <mergeCell ref="B188:D188"/>
    <mergeCell ref="B177:D177"/>
    <mergeCell ref="B178:D178"/>
    <mergeCell ref="B179:D179"/>
    <mergeCell ref="B180:D180"/>
    <mergeCell ref="B181:D181"/>
    <mergeCell ref="B182:D182"/>
    <mergeCell ref="B195:D195"/>
    <mergeCell ref="B196:D196"/>
    <mergeCell ref="B197:D197"/>
    <mergeCell ref="B198:D198"/>
    <mergeCell ref="B199:D199"/>
    <mergeCell ref="B200:D200"/>
    <mergeCell ref="B189:D189"/>
    <mergeCell ref="B190:D190"/>
    <mergeCell ref="B191:D191"/>
    <mergeCell ref="B192:D192"/>
    <mergeCell ref="B193:D193"/>
    <mergeCell ref="B194:D194"/>
    <mergeCell ref="B207:D207"/>
    <mergeCell ref="B208:D208"/>
    <mergeCell ref="B209:D209"/>
    <mergeCell ref="B210:D210"/>
    <mergeCell ref="B211:D211"/>
    <mergeCell ref="B212:D212"/>
    <mergeCell ref="B201:D201"/>
    <mergeCell ref="B202:D202"/>
    <mergeCell ref="B203:D203"/>
    <mergeCell ref="B204:D204"/>
    <mergeCell ref="B205:D205"/>
    <mergeCell ref="B206:D206"/>
    <mergeCell ref="B219:D219"/>
    <mergeCell ref="B220:D220"/>
    <mergeCell ref="B221:D221"/>
    <mergeCell ref="B222:D222"/>
    <mergeCell ref="B223:D223"/>
    <mergeCell ref="B224:D224"/>
    <mergeCell ref="B213:D213"/>
    <mergeCell ref="B214:D214"/>
    <mergeCell ref="B215:D215"/>
    <mergeCell ref="B216:D216"/>
    <mergeCell ref="B217:D217"/>
    <mergeCell ref="B218:D218"/>
    <mergeCell ref="B231:D231"/>
    <mergeCell ref="B232:D232"/>
    <mergeCell ref="B233:D233"/>
    <mergeCell ref="B234:D234"/>
    <mergeCell ref="B235:D235"/>
    <mergeCell ref="B236:D236"/>
    <mergeCell ref="B225:D225"/>
    <mergeCell ref="B226:D226"/>
    <mergeCell ref="B227:D227"/>
    <mergeCell ref="B228:D228"/>
    <mergeCell ref="B229:D229"/>
    <mergeCell ref="B230:D230"/>
  </mergeCells>
  <hyperlinks>
    <hyperlink ref="D3" r:id="rId1" xr:uid="{7FECF482-7558-0F4A-B042-CF2B15345638}"/>
  </hyperlinks>
  <pageMargins left="0.7" right="0.7" top="0.75" bottom="0.75" header="0.51180555555555496" footer="0.51180555555555496"/>
  <pageSetup firstPageNumber="0" orientation="portrait" horizontalDpi="300" verticalDpi="300" r:id="rId2"/>
  <headerFooter>
    <oddFooter>&amp;L&amp;A&amp;C&amp;B Confidential&amp;B&amp;RPage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A18B2-6072-824B-A812-823397CD3FD1}">
  <sheetPr>
    <tabColor rgb="FF00B0F0"/>
  </sheetPr>
  <dimension ref="A1:R1212"/>
  <sheetViews>
    <sheetView tabSelected="1" workbookViewId="0">
      <selection activeCell="W21" sqref="W21"/>
    </sheetView>
  </sheetViews>
  <sheetFormatPr baseColWidth="10" defaultColWidth="7.5" defaultRowHeight="13" x14ac:dyDescent="0.2"/>
  <cols>
    <col min="1" max="1" width="21" style="445" customWidth="1"/>
    <col min="2" max="2" width="7.83203125" style="445" customWidth="1"/>
    <col min="3" max="3" width="8.5" style="445" customWidth="1"/>
    <col min="4" max="4" width="6.1640625" style="445" customWidth="1"/>
    <col min="5" max="5" width="6" style="445" customWidth="1"/>
    <col min="6" max="6" width="6.1640625" style="445" customWidth="1"/>
    <col min="7" max="7" width="6" style="445" customWidth="1"/>
    <col min="8" max="8" width="6.1640625" style="445" customWidth="1"/>
    <col min="9" max="10" width="6.33203125" style="445" customWidth="1"/>
    <col min="11" max="11" width="6.5" style="445" customWidth="1"/>
    <col min="12" max="12" width="6" style="445" customWidth="1"/>
    <col min="13" max="13" width="6.1640625" style="445" customWidth="1"/>
    <col min="14" max="15" width="6" style="445" customWidth="1"/>
    <col min="16" max="16" width="9.83203125" style="445" customWidth="1"/>
    <col min="17" max="17" width="6.83203125" style="445" customWidth="1"/>
    <col min="18" max="16384" width="7.5" style="445"/>
  </cols>
  <sheetData>
    <row r="1" spans="1:18" ht="13" customHeight="1" x14ac:dyDescent="0.2">
      <c r="A1" s="444" t="s">
        <v>1373</v>
      </c>
    </row>
    <row r="2" spans="1:18" ht="13.5" customHeight="1" x14ac:dyDescent="0.2">
      <c r="A2" s="446" t="s">
        <v>1374</v>
      </c>
      <c r="B2" s="447" t="s">
        <v>1375</v>
      </c>
      <c r="C2" s="447" t="s">
        <v>1376</v>
      </c>
      <c r="D2" s="447" t="s">
        <v>1377</v>
      </c>
      <c r="E2" s="447" t="s">
        <v>1378</v>
      </c>
      <c r="F2" s="448" t="s">
        <v>1379</v>
      </c>
      <c r="G2" s="448" t="s">
        <v>1380</v>
      </c>
      <c r="H2" s="447" t="s">
        <v>1381</v>
      </c>
      <c r="I2" s="448" t="s">
        <v>1382</v>
      </c>
      <c r="J2" s="448" t="s">
        <v>1383</v>
      </c>
      <c r="K2" s="447" t="s">
        <v>1384</v>
      </c>
      <c r="L2" s="447" t="s">
        <v>1385</v>
      </c>
      <c r="M2" s="447" t="s">
        <v>1386</v>
      </c>
      <c r="N2" s="447" t="s">
        <v>1387</v>
      </c>
      <c r="O2" s="447" t="s">
        <v>1388</v>
      </c>
      <c r="P2" s="447" t="s">
        <v>1389</v>
      </c>
      <c r="Q2" s="447" t="s">
        <v>1390</v>
      </c>
      <c r="R2" s="445" t="s">
        <v>72</v>
      </c>
    </row>
    <row r="3" spans="1:18" ht="13.5" customHeight="1" x14ac:dyDescent="0.2">
      <c r="A3" s="449" t="s">
        <v>1391</v>
      </c>
      <c r="B3" s="450" t="s">
        <v>1392</v>
      </c>
      <c r="C3" s="451" t="s">
        <v>1393</v>
      </c>
      <c r="D3" s="452">
        <v>35</v>
      </c>
      <c r="E3" s="452">
        <v>37.5</v>
      </c>
      <c r="F3" s="453">
        <v>44.1</v>
      </c>
      <c r="G3" s="453">
        <v>51.7</v>
      </c>
      <c r="H3" s="452">
        <v>60.6</v>
      </c>
      <c r="I3" s="453">
        <v>68.099999999999994</v>
      </c>
      <c r="J3" s="453">
        <v>71.7</v>
      </c>
      <c r="K3" s="452">
        <v>71.099999999999994</v>
      </c>
      <c r="L3" s="452">
        <v>64.7</v>
      </c>
      <c r="M3" s="452">
        <v>53.3</v>
      </c>
      <c r="N3" s="452">
        <v>43.3</v>
      </c>
      <c r="O3" s="452">
        <v>36.700000000000003</v>
      </c>
      <c r="P3" s="452">
        <v>53.2</v>
      </c>
      <c r="Q3" s="454">
        <v>1</v>
      </c>
      <c r="R3" s="455">
        <f>AVERAGE(D3:O3)</f>
        <v>53.15</v>
      </c>
    </row>
    <row r="4" spans="1:18" ht="13.5" customHeight="1" x14ac:dyDescent="0.2">
      <c r="A4" s="449" t="s">
        <v>1394</v>
      </c>
      <c r="B4" s="450" t="s">
        <v>1392</v>
      </c>
      <c r="C4" s="451" t="s">
        <v>1393</v>
      </c>
      <c r="D4" s="452">
        <v>32.700000000000003</v>
      </c>
      <c r="E4" s="452">
        <v>35.200000000000003</v>
      </c>
      <c r="F4" s="453">
        <v>42.1</v>
      </c>
      <c r="G4" s="453">
        <v>50.6</v>
      </c>
      <c r="H4" s="452">
        <v>59.6</v>
      </c>
      <c r="I4" s="453">
        <v>67.2</v>
      </c>
      <c r="J4" s="453">
        <v>70.3</v>
      </c>
      <c r="K4" s="452">
        <v>69.2</v>
      </c>
      <c r="L4" s="452">
        <v>62.6</v>
      </c>
      <c r="M4" s="452">
        <v>51.1</v>
      </c>
      <c r="N4" s="452">
        <v>41.2</v>
      </c>
      <c r="O4" s="452">
        <v>34.5</v>
      </c>
      <c r="P4" s="452">
        <v>51.4</v>
      </c>
      <c r="Q4" s="454">
        <v>1</v>
      </c>
      <c r="R4" s="455">
        <f t="shared" ref="R4:R67" si="0">AVERAGE(D4:O4)</f>
        <v>51.358333333333341</v>
      </c>
    </row>
    <row r="5" spans="1:18" ht="13.5" customHeight="1" x14ac:dyDescent="0.2">
      <c r="A5" s="449" t="s">
        <v>1395</v>
      </c>
      <c r="B5" s="450" t="s">
        <v>1392</v>
      </c>
      <c r="C5" s="451" t="s">
        <v>1393</v>
      </c>
      <c r="D5" s="452">
        <v>41.4</v>
      </c>
      <c r="E5" s="452">
        <v>43.8</v>
      </c>
      <c r="F5" s="453">
        <v>49.7</v>
      </c>
      <c r="G5" s="453">
        <v>56.3</v>
      </c>
      <c r="H5" s="452">
        <v>64.7</v>
      </c>
      <c r="I5" s="453">
        <v>71</v>
      </c>
      <c r="J5" s="453">
        <v>73.3</v>
      </c>
      <c r="K5" s="452">
        <v>73.099999999999994</v>
      </c>
      <c r="L5" s="452">
        <v>68.900000000000006</v>
      </c>
      <c r="M5" s="452">
        <v>58.4</v>
      </c>
      <c r="N5" s="452">
        <v>48.3</v>
      </c>
      <c r="O5" s="452">
        <v>42.4</v>
      </c>
      <c r="P5" s="452">
        <v>57.6</v>
      </c>
      <c r="Q5" s="454">
        <v>1</v>
      </c>
      <c r="R5" s="455">
        <f t="shared" si="0"/>
        <v>57.60833333333332</v>
      </c>
    </row>
    <row r="6" spans="1:18" ht="13.5" customHeight="1" x14ac:dyDescent="0.2">
      <c r="A6" s="449" t="s">
        <v>1396</v>
      </c>
      <c r="B6" s="450" t="s">
        <v>1392</v>
      </c>
      <c r="C6" s="451" t="s">
        <v>1393</v>
      </c>
      <c r="D6" s="452">
        <v>37.1</v>
      </c>
      <c r="E6" s="452">
        <v>39.9</v>
      </c>
      <c r="F6" s="453">
        <v>46.1</v>
      </c>
      <c r="G6" s="453">
        <v>52.6</v>
      </c>
      <c r="H6" s="452">
        <v>61.8</v>
      </c>
      <c r="I6" s="453">
        <v>68.900000000000006</v>
      </c>
      <c r="J6" s="453">
        <v>72.2</v>
      </c>
      <c r="K6" s="452">
        <v>71.7</v>
      </c>
      <c r="L6" s="452">
        <v>66.2</v>
      </c>
      <c r="M6" s="452">
        <v>54.4</v>
      </c>
      <c r="N6" s="452">
        <v>44</v>
      </c>
      <c r="O6" s="452">
        <v>38</v>
      </c>
      <c r="P6" s="452">
        <v>54.4</v>
      </c>
      <c r="Q6" s="454">
        <v>1</v>
      </c>
      <c r="R6" s="455">
        <f t="shared" si="0"/>
        <v>54.408333333333331</v>
      </c>
    </row>
    <row r="7" spans="1:18" ht="13.5" customHeight="1" x14ac:dyDescent="0.2">
      <c r="A7" s="449" t="s">
        <v>1397</v>
      </c>
      <c r="B7" s="450" t="s">
        <v>1392</v>
      </c>
      <c r="C7" s="451" t="s">
        <v>1393</v>
      </c>
      <c r="D7" s="452">
        <v>46.5</v>
      </c>
      <c r="E7" s="452">
        <v>49.5</v>
      </c>
      <c r="F7" s="453">
        <v>54</v>
      </c>
      <c r="G7" s="453">
        <v>60.1</v>
      </c>
      <c r="H7" s="452">
        <v>69.8</v>
      </c>
      <c r="I7" s="453">
        <v>78.099999999999994</v>
      </c>
      <c r="J7" s="453">
        <v>84.3</v>
      </c>
      <c r="K7" s="452">
        <v>83.4</v>
      </c>
      <c r="L7" s="452">
        <v>78.099999999999994</v>
      </c>
      <c r="M7" s="452">
        <v>65.400000000000006</v>
      </c>
      <c r="N7" s="452">
        <v>53.3</v>
      </c>
      <c r="O7" s="452">
        <v>45.6</v>
      </c>
      <c r="P7" s="452">
        <v>64</v>
      </c>
      <c r="Q7" s="454">
        <v>1</v>
      </c>
      <c r="R7" s="455">
        <f t="shared" si="0"/>
        <v>64.00833333333334</v>
      </c>
    </row>
    <row r="8" spans="1:18" ht="13.5" customHeight="1" x14ac:dyDescent="0.2">
      <c r="A8" s="449" t="s">
        <v>1398</v>
      </c>
      <c r="B8" s="450" t="s">
        <v>1392</v>
      </c>
      <c r="C8" s="451" t="s">
        <v>1393</v>
      </c>
      <c r="D8" s="452">
        <v>26.8</v>
      </c>
      <c r="E8" s="452">
        <v>29.5</v>
      </c>
      <c r="F8" s="453">
        <v>33.5</v>
      </c>
      <c r="G8" s="453">
        <v>38.9</v>
      </c>
      <c r="H8" s="452">
        <v>48</v>
      </c>
      <c r="I8" s="453">
        <v>55.9</v>
      </c>
      <c r="J8" s="453">
        <v>63.3</v>
      </c>
      <c r="K8" s="452">
        <v>61.9</v>
      </c>
      <c r="L8" s="452">
        <v>54.9</v>
      </c>
      <c r="M8" s="452">
        <v>42.7</v>
      </c>
      <c r="N8" s="452">
        <v>32.299999999999997</v>
      </c>
      <c r="O8" s="452">
        <v>26.2</v>
      </c>
      <c r="P8" s="452">
        <v>42.8</v>
      </c>
      <c r="Q8" s="454">
        <v>1</v>
      </c>
      <c r="R8" s="455">
        <f t="shared" si="0"/>
        <v>42.824999999999996</v>
      </c>
    </row>
    <row r="9" spans="1:18" ht="13.5" customHeight="1" x14ac:dyDescent="0.2">
      <c r="A9" s="449" t="s">
        <v>1399</v>
      </c>
      <c r="B9" s="450" t="s">
        <v>1392</v>
      </c>
      <c r="C9" s="451" t="s">
        <v>1393</v>
      </c>
      <c r="D9" s="452">
        <v>40.700000000000003</v>
      </c>
      <c r="E9" s="452">
        <v>43.1</v>
      </c>
      <c r="F9" s="453">
        <v>47</v>
      </c>
      <c r="G9" s="453">
        <v>52.4</v>
      </c>
      <c r="H9" s="452">
        <v>61.6</v>
      </c>
      <c r="I9" s="453">
        <v>70.400000000000006</v>
      </c>
      <c r="J9" s="453">
        <v>75.7</v>
      </c>
      <c r="K9" s="452">
        <v>74.400000000000006</v>
      </c>
      <c r="L9" s="452">
        <v>70.099999999999994</v>
      </c>
      <c r="M9" s="452">
        <v>58.4</v>
      </c>
      <c r="N9" s="452">
        <v>47</v>
      </c>
      <c r="O9" s="452">
        <v>40</v>
      </c>
      <c r="P9" s="452">
        <v>56.8</v>
      </c>
      <c r="Q9" s="454">
        <v>1</v>
      </c>
      <c r="R9" s="455">
        <f t="shared" si="0"/>
        <v>56.733333333333341</v>
      </c>
    </row>
    <row r="10" spans="1:18" ht="13.5" customHeight="1" x14ac:dyDescent="0.2">
      <c r="A10" s="449" t="s">
        <v>1400</v>
      </c>
      <c r="B10" s="450" t="s">
        <v>1392</v>
      </c>
      <c r="C10" s="451" t="s">
        <v>1393</v>
      </c>
      <c r="D10" s="452">
        <v>30.7</v>
      </c>
      <c r="E10" s="452">
        <v>34.299999999999997</v>
      </c>
      <c r="F10" s="452">
        <v>41.8</v>
      </c>
      <c r="G10" s="452">
        <v>50.5</v>
      </c>
      <c r="H10" s="452">
        <v>60.4</v>
      </c>
      <c r="I10" s="452">
        <v>68.400000000000006</v>
      </c>
      <c r="J10" s="453">
        <v>72.400000000000006</v>
      </c>
      <c r="K10" s="452">
        <v>71.400000000000006</v>
      </c>
      <c r="L10" s="452">
        <v>63</v>
      </c>
      <c r="M10" s="452">
        <v>51.6</v>
      </c>
      <c r="N10" s="452">
        <v>41</v>
      </c>
      <c r="O10" s="452">
        <v>32.799999999999997</v>
      </c>
      <c r="P10" s="452">
        <v>51.5</v>
      </c>
      <c r="Q10" s="454">
        <v>1</v>
      </c>
      <c r="R10" s="455">
        <f t="shared" si="0"/>
        <v>51.524999999999999</v>
      </c>
    </row>
    <row r="11" spans="1:18" ht="13.5" customHeight="1" x14ac:dyDescent="0.2">
      <c r="A11" s="449" t="s">
        <v>1401</v>
      </c>
      <c r="B11" s="450" t="s">
        <v>1392</v>
      </c>
      <c r="C11" s="451" t="s">
        <v>1393</v>
      </c>
      <c r="D11" s="452">
        <v>33.299999999999997</v>
      </c>
      <c r="E11" s="452">
        <v>36.299999999999997</v>
      </c>
      <c r="F11" s="452">
        <v>43.8</v>
      </c>
      <c r="G11" s="452">
        <v>52.4</v>
      </c>
      <c r="H11" s="452">
        <v>61.6</v>
      </c>
      <c r="I11" s="452">
        <v>69.7</v>
      </c>
      <c r="J11" s="453">
        <v>73.2</v>
      </c>
      <c r="K11" s="452">
        <v>72.2</v>
      </c>
      <c r="L11" s="452">
        <v>64.400000000000006</v>
      </c>
      <c r="M11" s="452">
        <v>53.1</v>
      </c>
      <c r="N11" s="452">
        <v>42.9</v>
      </c>
      <c r="O11" s="452">
        <v>35</v>
      </c>
      <c r="P11" s="452">
        <v>53.2</v>
      </c>
      <c r="Q11" s="454">
        <v>1</v>
      </c>
      <c r="R11" s="455">
        <f t="shared" si="0"/>
        <v>53.158333333333331</v>
      </c>
    </row>
    <row r="12" spans="1:18" ht="13.5" customHeight="1" x14ac:dyDescent="0.2">
      <c r="A12" s="449" t="s">
        <v>1402</v>
      </c>
      <c r="B12" s="450" t="s">
        <v>1392</v>
      </c>
      <c r="C12" s="451" t="s">
        <v>1393</v>
      </c>
      <c r="D12" s="452">
        <v>40.700000000000003</v>
      </c>
      <c r="E12" s="452">
        <v>41.4</v>
      </c>
      <c r="F12" s="452">
        <v>41.1</v>
      </c>
      <c r="G12" s="452">
        <v>42.4</v>
      </c>
      <c r="H12" s="452">
        <v>46</v>
      </c>
      <c r="I12" s="452">
        <v>48.4</v>
      </c>
      <c r="J12" s="453">
        <v>51.4</v>
      </c>
      <c r="K12" s="452">
        <v>51.4</v>
      </c>
      <c r="L12" s="452">
        <v>48.3</v>
      </c>
      <c r="M12" s="452">
        <v>45.1</v>
      </c>
      <c r="N12" s="452">
        <v>42.5</v>
      </c>
      <c r="O12" s="452">
        <v>40.200000000000003</v>
      </c>
      <c r="P12" s="452">
        <v>44.9</v>
      </c>
      <c r="Q12" s="454">
        <v>1</v>
      </c>
      <c r="R12" s="455">
        <f t="shared" si="0"/>
        <v>44.908333333333331</v>
      </c>
    </row>
    <row r="13" spans="1:18" ht="13.5" customHeight="1" x14ac:dyDescent="0.2">
      <c r="A13" s="449" t="s">
        <v>1403</v>
      </c>
      <c r="B13" s="450" t="s">
        <v>1392</v>
      </c>
      <c r="C13" s="451" t="s">
        <v>1393</v>
      </c>
      <c r="D13" s="452">
        <v>40.299999999999997</v>
      </c>
      <c r="E13" s="452">
        <v>43.7</v>
      </c>
      <c r="F13" s="452">
        <v>46.9</v>
      </c>
      <c r="G13" s="452">
        <v>49.8</v>
      </c>
      <c r="H13" s="452">
        <v>57.8</v>
      </c>
      <c r="I13" s="452">
        <v>64.2</v>
      </c>
      <c r="J13" s="453">
        <v>70.7</v>
      </c>
      <c r="K13" s="452">
        <v>69.3</v>
      </c>
      <c r="L13" s="452">
        <v>64.5</v>
      </c>
      <c r="M13" s="452">
        <v>55.3</v>
      </c>
      <c r="N13" s="452">
        <v>45.3</v>
      </c>
      <c r="O13" s="452">
        <v>39.700000000000003</v>
      </c>
      <c r="P13" s="452">
        <v>54</v>
      </c>
      <c r="Q13" s="454">
        <v>1</v>
      </c>
      <c r="R13" s="455">
        <f t="shared" si="0"/>
        <v>53.958333333333336</v>
      </c>
    </row>
    <row r="14" spans="1:18" ht="13.5" customHeight="1" x14ac:dyDescent="0.2">
      <c r="A14" s="449" t="s">
        <v>1404</v>
      </c>
      <c r="B14" s="450" t="s">
        <v>1392</v>
      </c>
      <c r="C14" s="451" t="s">
        <v>1393</v>
      </c>
      <c r="D14" s="452">
        <v>24</v>
      </c>
      <c r="E14" s="452">
        <v>27.4</v>
      </c>
      <c r="F14" s="452">
        <v>32.1</v>
      </c>
      <c r="G14" s="452">
        <v>36.799999999999997</v>
      </c>
      <c r="H14" s="452">
        <v>45.1</v>
      </c>
      <c r="I14" s="452">
        <v>51.9</v>
      </c>
      <c r="J14" s="453">
        <v>57.7</v>
      </c>
      <c r="K14" s="452">
        <v>54.8</v>
      </c>
      <c r="L14" s="452">
        <v>47.6</v>
      </c>
      <c r="M14" s="452">
        <v>38.5</v>
      </c>
      <c r="N14" s="452">
        <v>28.3</v>
      </c>
      <c r="O14" s="452">
        <v>22.9</v>
      </c>
      <c r="P14" s="452">
        <v>38.9</v>
      </c>
      <c r="Q14" s="454">
        <v>1</v>
      </c>
      <c r="R14" s="455">
        <f t="shared" si="0"/>
        <v>38.925000000000004</v>
      </c>
    </row>
    <row r="15" spans="1:18" ht="13.5" customHeight="1" x14ac:dyDescent="0.2">
      <c r="A15" s="449" t="s">
        <v>1405</v>
      </c>
      <c r="B15" s="450" t="s">
        <v>1392</v>
      </c>
      <c r="C15" s="451" t="s">
        <v>1393</v>
      </c>
      <c r="D15" s="452">
        <v>37.5</v>
      </c>
      <c r="E15" s="452">
        <v>41.2</v>
      </c>
      <c r="F15" s="452">
        <v>46.2</v>
      </c>
      <c r="G15" s="452">
        <v>51.3</v>
      </c>
      <c r="H15" s="452">
        <v>60.6</v>
      </c>
      <c r="I15" s="452">
        <v>68</v>
      </c>
      <c r="J15" s="453">
        <v>74.7</v>
      </c>
      <c r="K15" s="452">
        <v>73.599999999999994</v>
      </c>
      <c r="L15" s="452">
        <v>66.5</v>
      </c>
      <c r="M15" s="452">
        <v>55.3</v>
      </c>
      <c r="N15" s="452">
        <v>43.2</v>
      </c>
      <c r="O15" s="452">
        <v>36.1</v>
      </c>
      <c r="P15" s="452">
        <v>54.5</v>
      </c>
      <c r="Q15" s="454">
        <v>1</v>
      </c>
      <c r="R15" s="455">
        <f t="shared" si="0"/>
        <v>54.516666666666659</v>
      </c>
    </row>
    <row r="16" spans="1:18" ht="13.5" customHeight="1" x14ac:dyDescent="0.2">
      <c r="A16" s="449" t="s">
        <v>1406</v>
      </c>
      <c r="B16" s="450" t="s">
        <v>1392</v>
      </c>
      <c r="C16" s="451" t="s">
        <v>1393</v>
      </c>
      <c r="D16" s="452">
        <v>39.9</v>
      </c>
      <c r="E16" s="452">
        <v>43.1</v>
      </c>
      <c r="F16" s="453">
        <v>46.5</v>
      </c>
      <c r="G16" s="453">
        <v>49.6</v>
      </c>
      <c r="H16" s="452">
        <v>56.9</v>
      </c>
      <c r="I16" s="453">
        <v>62.4</v>
      </c>
      <c r="J16" s="452">
        <v>68.3</v>
      </c>
      <c r="K16" s="452">
        <v>66.7</v>
      </c>
      <c r="L16" s="452">
        <v>62.2</v>
      </c>
      <c r="M16" s="452">
        <v>53.7</v>
      </c>
      <c r="N16" s="452">
        <v>44.6</v>
      </c>
      <c r="O16" s="452">
        <v>39.4</v>
      </c>
      <c r="P16" s="452">
        <v>52.8</v>
      </c>
      <c r="Q16" s="454">
        <v>1</v>
      </c>
      <c r="R16" s="455">
        <f t="shared" si="0"/>
        <v>52.774999999999999</v>
      </c>
    </row>
    <row r="17" spans="1:18" ht="13.5" customHeight="1" x14ac:dyDescent="0.2">
      <c r="A17" s="449" t="s">
        <v>1407</v>
      </c>
      <c r="B17" s="450" t="s">
        <v>1392</v>
      </c>
      <c r="C17" s="451" t="s">
        <v>1393</v>
      </c>
      <c r="D17" s="452">
        <v>47.6</v>
      </c>
      <c r="E17" s="452">
        <v>49</v>
      </c>
      <c r="F17" s="453">
        <v>51.5</v>
      </c>
      <c r="G17" s="453">
        <v>53.6</v>
      </c>
      <c r="H17" s="452">
        <v>58.2</v>
      </c>
      <c r="I17" s="453">
        <v>61.4</v>
      </c>
      <c r="J17" s="452">
        <v>64.7</v>
      </c>
      <c r="K17" s="452">
        <v>65.3</v>
      </c>
      <c r="L17" s="452">
        <v>63.5</v>
      </c>
      <c r="M17" s="452">
        <v>58.8</v>
      </c>
      <c r="N17" s="452">
        <v>51.8</v>
      </c>
      <c r="O17" s="452">
        <v>46.8</v>
      </c>
      <c r="P17" s="452">
        <v>56</v>
      </c>
      <c r="Q17" s="454">
        <v>1</v>
      </c>
      <c r="R17" s="455">
        <f t="shared" si="0"/>
        <v>56.016666666666652</v>
      </c>
    </row>
    <row r="18" spans="1:18" ht="13.5" customHeight="1" x14ac:dyDescent="0.2">
      <c r="A18" s="449" t="s">
        <v>1408</v>
      </c>
      <c r="B18" s="450" t="s">
        <v>1392</v>
      </c>
      <c r="C18" s="451" t="s">
        <v>1393</v>
      </c>
      <c r="D18" s="452">
        <v>50</v>
      </c>
      <c r="E18" s="452">
        <v>50.9</v>
      </c>
      <c r="F18" s="453">
        <v>52.4</v>
      </c>
      <c r="G18" s="453">
        <v>54.1</v>
      </c>
      <c r="H18" s="452">
        <v>57.8</v>
      </c>
      <c r="I18" s="453">
        <v>61</v>
      </c>
      <c r="J18" s="452">
        <v>64</v>
      </c>
      <c r="K18" s="452">
        <v>64.599999999999994</v>
      </c>
      <c r="L18" s="452">
        <v>63.4</v>
      </c>
      <c r="M18" s="452">
        <v>59.6</v>
      </c>
      <c r="N18" s="452">
        <v>54</v>
      </c>
      <c r="O18" s="452">
        <v>49.7</v>
      </c>
      <c r="P18" s="452">
        <v>56.8</v>
      </c>
      <c r="Q18" s="454">
        <v>1</v>
      </c>
      <c r="R18" s="455">
        <f t="shared" si="0"/>
        <v>56.791666666666664</v>
      </c>
    </row>
    <row r="19" spans="1:18" ht="13.5" customHeight="1" x14ac:dyDescent="0.2">
      <c r="A19" s="449" t="s">
        <v>1409</v>
      </c>
      <c r="B19" s="450" t="s">
        <v>1392</v>
      </c>
      <c r="C19" s="451" t="s">
        <v>1393</v>
      </c>
      <c r="D19" s="452">
        <v>38.200000000000003</v>
      </c>
      <c r="E19" s="452">
        <v>40.6</v>
      </c>
      <c r="F19" s="453">
        <v>43.7</v>
      </c>
      <c r="G19" s="453">
        <v>46.6</v>
      </c>
      <c r="H19" s="452">
        <v>55</v>
      </c>
      <c r="I19" s="453">
        <v>62</v>
      </c>
      <c r="J19" s="452">
        <v>67</v>
      </c>
      <c r="K19" s="452">
        <v>63.8</v>
      </c>
      <c r="L19" s="452">
        <v>58.7</v>
      </c>
      <c r="M19" s="452">
        <v>50.4</v>
      </c>
      <c r="N19" s="452">
        <v>41.8</v>
      </c>
      <c r="O19" s="452">
        <v>37.6</v>
      </c>
      <c r="P19" s="452">
        <v>50.4</v>
      </c>
      <c r="Q19" s="454">
        <v>1</v>
      </c>
      <c r="R19" s="455">
        <f t="shared" si="0"/>
        <v>50.449999999999996</v>
      </c>
    </row>
    <row r="20" spans="1:18" ht="13.5" customHeight="1" x14ac:dyDescent="0.2">
      <c r="A20" s="449" t="s">
        <v>1410</v>
      </c>
      <c r="B20" s="450" t="s">
        <v>1392</v>
      </c>
      <c r="C20" s="451" t="s">
        <v>1393</v>
      </c>
      <c r="D20" s="452">
        <v>40</v>
      </c>
      <c r="E20" s="452">
        <v>42.7</v>
      </c>
      <c r="F20" s="453">
        <v>44.7</v>
      </c>
      <c r="G20" s="453">
        <v>46.8</v>
      </c>
      <c r="H20" s="452">
        <v>52.1</v>
      </c>
      <c r="I20" s="453">
        <v>56.5</v>
      </c>
      <c r="J20" s="452">
        <v>59.1</v>
      </c>
      <c r="K20" s="452">
        <v>58.9</v>
      </c>
      <c r="L20" s="452">
        <v>56.4</v>
      </c>
      <c r="M20" s="452">
        <v>50.7</v>
      </c>
      <c r="N20" s="452">
        <v>43.3</v>
      </c>
      <c r="O20" s="452">
        <v>39.5</v>
      </c>
      <c r="P20" s="452">
        <v>49.2</v>
      </c>
      <c r="Q20" s="454">
        <v>1</v>
      </c>
      <c r="R20" s="455">
        <f t="shared" si="0"/>
        <v>49.224999999999994</v>
      </c>
    </row>
    <row r="21" spans="1:18" ht="13.5" customHeight="1" x14ac:dyDescent="0.2">
      <c r="A21" s="449" t="s">
        <v>1411</v>
      </c>
      <c r="B21" s="450" t="s">
        <v>1392</v>
      </c>
      <c r="C21" s="451" t="s">
        <v>1393</v>
      </c>
      <c r="D21" s="452">
        <v>50.1</v>
      </c>
      <c r="E21" s="452">
        <v>51.6</v>
      </c>
      <c r="F21" s="453">
        <v>53.9</v>
      </c>
      <c r="G21" s="453">
        <v>56.2</v>
      </c>
      <c r="H21" s="452">
        <v>59.8</v>
      </c>
      <c r="I21" s="453">
        <v>62.3</v>
      </c>
      <c r="J21" s="452">
        <v>65.400000000000006</v>
      </c>
      <c r="K21" s="452">
        <v>66.900000000000006</v>
      </c>
      <c r="L21" s="452">
        <v>65.400000000000006</v>
      </c>
      <c r="M21" s="452">
        <v>61</v>
      </c>
      <c r="N21" s="452">
        <v>54.4</v>
      </c>
      <c r="O21" s="452">
        <v>49.5</v>
      </c>
      <c r="P21" s="452">
        <v>58</v>
      </c>
      <c r="Q21" s="454">
        <v>1</v>
      </c>
      <c r="R21" s="455">
        <f t="shared" si="0"/>
        <v>58.041666666666664</v>
      </c>
    </row>
    <row r="22" spans="1:18" ht="13.5" customHeight="1" x14ac:dyDescent="0.2">
      <c r="A22" s="449" t="s">
        <v>1412</v>
      </c>
      <c r="B22" s="450" t="s">
        <v>1392</v>
      </c>
      <c r="C22" s="451" t="s">
        <v>1393</v>
      </c>
      <c r="D22" s="452">
        <v>45.2</v>
      </c>
      <c r="E22" s="452">
        <v>47.2</v>
      </c>
      <c r="F22" s="453">
        <v>48.3</v>
      </c>
      <c r="G22" s="453">
        <v>49.4</v>
      </c>
      <c r="H22" s="452">
        <v>52.2</v>
      </c>
      <c r="I22" s="453">
        <v>54</v>
      </c>
      <c r="J22" s="452">
        <v>55.8</v>
      </c>
      <c r="K22" s="452">
        <v>56.6</v>
      </c>
      <c r="L22" s="452">
        <v>56.2</v>
      </c>
      <c r="M22" s="452">
        <v>53.9</v>
      </c>
      <c r="N22" s="452">
        <v>49.4</v>
      </c>
      <c r="O22" s="452">
        <v>45.6</v>
      </c>
      <c r="P22" s="452">
        <v>51.1</v>
      </c>
      <c r="Q22" s="454">
        <v>1</v>
      </c>
      <c r="R22" s="455">
        <f t="shared" si="0"/>
        <v>51.150000000000006</v>
      </c>
    </row>
    <row r="23" spans="1:18" ht="13.5" customHeight="1" x14ac:dyDescent="0.2">
      <c r="A23" s="449" t="s">
        <v>1413</v>
      </c>
      <c r="B23" s="450" t="s">
        <v>1392</v>
      </c>
      <c r="C23" s="451" t="s">
        <v>1393</v>
      </c>
      <c r="D23" s="452">
        <v>41.9</v>
      </c>
      <c r="E23" s="452">
        <v>44.6</v>
      </c>
      <c r="F23" s="452">
        <v>46.8</v>
      </c>
      <c r="G23" s="452">
        <v>48.2</v>
      </c>
      <c r="H23" s="452">
        <v>52.1</v>
      </c>
      <c r="I23" s="452">
        <v>54.8</v>
      </c>
      <c r="J23" s="452">
        <v>57.9</v>
      </c>
      <c r="K23" s="452">
        <v>58</v>
      </c>
      <c r="L23" s="452">
        <v>56.3</v>
      </c>
      <c r="M23" s="452">
        <v>51.7</v>
      </c>
      <c r="N23" s="452">
        <v>45.4</v>
      </c>
      <c r="O23" s="452">
        <v>41.1</v>
      </c>
      <c r="P23" s="452">
        <v>49.9</v>
      </c>
      <c r="Q23" s="454">
        <v>1</v>
      </c>
      <c r="R23" s="455">
        <f t="shared" si="0"/>
        <v>49.9</v>
      </c>
    </row>
    <row r="24" spans="1:18" ht="13.5" customHeight="1" x14ac:dyDescent="0.2">
      <c r="A24" s="449" t="s">
        <v>1414</v>
      </c>
      <c r="B24" s="450" t="s">
        <v>1392</v>
      </c>
      <c r="C24" s="451" t="s">
        <v>1393</v>
      </c>
      <c r="D24" s="452">
        <v>41.1</v>
      </c>
      <c r="E24" s="452">
        <v>43</v>
      </c>
      <c r="F24" s="452">
        <v>44.2</v>
      </c>
      <c r="G24" s="452">
        <v>44.6</v>
      </c>
      <c r="H24" s="452">
        <v>48.2</v>
      </c>
      <c r="I24" s="452">
        <v>50.9</v>
      </c>
      <c r="J24" s="452">
        <v>54</v>
      </c>
      <c r="K24" s="452">
        <v>54.3</v>
      </c>
      <c r="L24" s="452">
        <v>53</v>
      </c>
      <c r="M24" s="452">
        <v>49.3</v>
      </c>
      <c r="N24" s="452">
        <v>44</v>
      </c>
      <c r="O24" s="452">
        <v>40.200000000000003</v>
      </c>
      <c r="P24" s="452">
        <v>47.2</v>
      </c>
      <c r="Q24" s="454">
        <v>1</v>
      </c>
      <c r="R24" s="455">
        <f t="shared" si="0"/>
        <v>47.233333333333341</v>
      </c>
    </row>
    <row r="25" spans="1:18" ht="13.5" customHeight="1" x14ac:dyDescent="0.2">
      <c r="A25" s="449" t="s">
        <v>1415</v>
      </c>
      <c r="B25" s="450" t="s">
        <v>1392</v>
      </c>
      <c r="C25" s="451" t="s">
        <v>1393</v>
      </c>
      <c r="D25" s="452">
        <v>39.5</v>
      </c>
      <c r="E25" s="452">
        <v>42.2</v>
      </c>
      <c r="F25" s="452">
        <v>44.3</v>
      </c>
      <c r="G25" s="452">
        <v>47</v>
      </c>
      <c r="H25" s="452">
        <v>52.8</v>
      </c>
      <c r="I25" s="452">
        <v>57.6</v>
      </c>
      <c r="J25" s="452">
        <v>60.9</v>
      </c>
      <c r="K25" s="452">
        <v>60.4</v>
      </c>
      <c r="L25" s="452">
        <v>57.5</v>
      </c>
      <c r="M25" s="452">
        <v>50.9</v>
      </c>
      <c r="N25" s="452">
        <v>43.1</v>
      </c>
      <c r="O25" s="452">
        <v>38.9</v>
      </c>
      <c r="P25" s="452">
        <v>49.6</v>
      </c>
      <c r="Q25" s="454">
        <v>1</v>
      </c>
      <c r="R25" s="455">
        <f t="shared" si="0"/>
        <v>49.591666666666669</v>
      </c>
    </row>
    <row r="26" spans="1:18" ht="13.5" customHeight="1" x14ac:dyDescent="0.2">
      <c r="A26" s="449" t="s">
        <v>1416</v>
      </c>
      <c r="B26" s="450" t="s">
        <v>1392</v>
      </c>
      <c r="C26" s="451" t="s">
        <v>1393</v>
      </c>
      <c r="D26" s="452">
        <v>0.5</v>
      </c>
      <c r="E26" s="452">
        <v>7.4</v>
      </c>
      <c r="F26" s="452">
        <v>18</v>
      </c>
      <c r="G26" s="452">
        <v>25.4</v>
      </c>
      <c r="H26" s="452">
        <v>34.799999999999997</v>
      </c>
      <c r="I26" s="452">
        <v>41.4</v>
      </c>
      <c r="J26" s="452">
        <v>47.7</v>
      </c>
      <c r="K26" s="452">
        <v>46.7</v>
      </c>
      <c r="L26" s="452">
        <v>37.4</v>
      </c>
      <c r="M26" s="452">
        <v>25.4</v>
      </c>
      <c r="N26" s="452">
        <v>12.7</v>
      </c>
      <c r="O26" s="452">
        <v>2</v>
      </c>
      <c r="P26" s="452">
        <v>24.9</v>
      </c>
      <c r="Q26" s="454">
        <v>1</v>
      </c>
      <c r="R26" s="455">
        <f t="shared" si="0"/>
        <v>24.949999999999992</v>
      </c>
    </row>
    <row r="27" spans="1:18" ht="13.5" customHeight="1" x14ac:dyDescent="0.2">
      <c r="A27" s="449" t="s">
        <v>1417</v>
      </c>
      <c r="B27" s="450" t="s">
        <v>1392</v>
      </c>
      <c r="C27" s="451" t="s">
        <v>1393</v>
      </c>
      <c r="D27" s="452">
        <v>18.8</v>
      </c>
      <c r="E27" s="452">
        <v>20.9</v>
      </c>
      <c r="F27" s="452">
        <v>27.1</v>
      </c>
      <c r="G27" s="452">
        <v>34.1</v>
      </c>
      <c r="H27" s="452">
        <v>43.8</v>
      </c>
      <c r="I27" s="452">
        <v>52.2</v>
      </c>
      <c r="J27" s="452">
        <v>57.8</v>
      </c>
      <c r="K27" s="452">
        <v>56.4</v>
      </c>
      <c r="L27" s="452">
        <v>47.9</v>
      </c>
      <c r="M27" s="452">
        <v>36.799999999999997</v>
      </c>
      <c r="N27" s="452">
        <v>26</v>
      </c>
      <c r="O27" s="452">
        <v>19.399999999999999</v>
      </c>
      <c r="P27" s="452">
        <v>36.799999999999997</v>
      </c>
      <c r="Q27" s="454">
        <v>1</v>
      </c>
      <c r="R27" s="455">
        <f t="shared" si="0"/>
        <v>36.766666666666659</v>
      </c>
    </row>
    <row r="28" spans="1:18" ht="13.5" customHeight="1" x14ac:dyDescent="0.2">
      <c r="A28" s="449" t="s">
        <v>1418</v>
      </c>
      <c r="B28" s="450" t="s">
        <v>1392</v>
      </c>
      <c r="C28" s="451" t="s">
        <v>1393</v>
      </c>
      <c r="D28" s="452">
        <v>19.2</v>
      </c>
      <c r="E28" s="452">
        <v>21.7</v>
      </c>
      <c r="F28" s="452">
        <v>28.2</v>
      </c>
      <c r="G28" s="452">
        <v>34.799999999999997</v>
      </c>
      <c r="H28" s="452">
        <v>44.7</v>
      </c>
      <c r="I28" s="452">
        <v>53.2</v>
      </c>
      <c r="J28" s="452">
        <v>60.4</v>
      </c>
      <c r="K28" s="452">
        <v>58.7</v>
      </c>
      <c r="L28" s="452">
        <v>49.6</v>
      </c>
      <c r="M28" s="452">
        <v>37.700000000000003</v>
      </c>
      <c r="N28" s="452">
        <v>26.7</v>
      </c>
      <c r="O28" s="452">
        <v>19.600000000000001</v>
      </c>
      <c r="P28" s="452">
        <v>37.9</v>
      </c>
      <c r="Q28" s="454">
        <v>1</v>
      </c>
      <c r="R28" s="455">
        <f t="shared" si="0"/>
        <v>37.875</v>
      </c>
    </row>
    <row r="29" spans="1:18" ht="13.5" customHeight="1" x14ac:dyDescent="0.2">
      <c r="A29" s="449" t="s">
        <v>1419</v>
      </c>
      <c r="B29" s="450" t="s">
        <v>1392</v>
      </c>
      <c r="C29" s="451" t="s">
        <v>1393</v>
      </c>
      <c r="D29" s="452">
        <v>19.3</v>
      </c>
      <c r="E29" s="452">
        <v>25.9</v>
      </c>
      <c r="F29" s="452">
        <v>32.700000000000003</v>
      </c>
      <c r="G29" s="453">
        <v>39.5</v>
      </c>
      <c r="H29" s="452">
        <v>48.8</v>
      </c>
      <c r="I29" s="453">
        <v>57.9</v>
      </c>
      <c r="J29" s="452">
        <v>65.2</v>
      </c>
      <c r="K29" s="452">
        <v>62.8</v>
      </c>
      <c r="L29" s="452">
        <v>53.4</v>
      </c>
      <c r="M29" s="452">
        <v>41.3</v>
      </c>
      <c r="N29" s="452">
        <v>28.8</v>
      </c>
      <c r="O29" s="452">
        <v>19.899999999999999</v>
      </c>
      <c r="P29" s="452">
        <v>41.3</v>
      </c>
      <c r="Q29" s="454">
        <v>1</v>
      </c>
      <c r="R29" s="455">
        <f t="shared" si="0"/>
        <v>41.291666666666664</v>
      </c>
    </row>
    <row r="30" spans="1:18" ht="13.5" customHeight="1" x14ac:dyDescent="0.2">
      <c r="A30" s="449" t="s">
        <v>1420</v>
      </c>
      <c r="B30" s="450" t="s">
        <v>1392</v>
      </c>
      <c r="C30" s="451" t="s">
        <v>1393</v>
      </c>
      <c r="D30" s="452">
        <v>12.4</v>
      </c>
      <c r="E30" s="452">
        <v>15.2</v>
      </c>
      <c r="F30" s="452">
        <v>22</v>
      </c>
      <c r="G30" s="453">
        <v>29.2</v>
      </c>
      <c r="H30" s="452">
        <v>39.4</v>
      </c>
      <c r="I30" s="453">
        <v>49.3</v>
      </c>
      <c r="J30" s="452">
        <v>54.8</v>
      </c>
      <c r="K30" s="452">
        <v>53.9</v>
      </c>
      <c r="L30" s="452">
        <v>43.7</v>
      </c>
      <c r="M30" s="452">
        <v>31.6</v>
      </c>
      <c r="N30" s="452">
        <v>19.899999999999999</v>
      </c>
      <c r="O30" s="452">
        <v>12.7</v>
      </c>
      <c r="P30" s="452">
        <v>32</v>
      </c>
      <c r="Q30" s="454">
        <v>1</v>
      </c>
      <c r="R30" s="455">
        <f t="shared" si="0"/>
        <v>32.008333333333333</v>
      </c>
    </row>
    <row r="31" spans="1:18" ht="13.5" customHeight="1" x14ac:dyDescent="0.2">
      <c r="A31" s="449" t="s">
        <v>1421</v>
      </c>
      <c r="B31" s="450" t="s">
        <v>1392</v>
      </c>
      <c r="C31" s="451" t="s">
        <v>1393</v>
      </c>
      <c r="D31" s="452">
        <v>15.3</v>
      </c>
      <c r="E31" s="452">
        <v>18.5</v>
      </c>
      <c r="F31" s="452">
        <v>26.5</v>
      </c>
      <c r="G31" s="453">
        <v>34.799999999999997</v>
      </c>
      <c r="H31" s="452">
        <v>45.2</v>
      </c>
      <c r="I31" s="453">
        <v>53.6</v>
      </c>
      <c r="J31" s="452">
        <v>59.6</v>
      </c>
      <c r="K31" s="452">
        <v>58.3</v>
      </c>
      <c r="L31" s="452">
        <v>48.3</v>
      </c>
      <c r="M31" s="452">
        <v>35.1</v>
      </c>
      <c r="N31" s="452">
        <v>23.4</v>
      </c>
      <c r="O31" s="452">
        <v>15.9</v>
      </c>
      <c r="P31" s="452">
        <v>36.200000000000003</v>
      </c>
      <c r="Q31" s="454">
        <v>1</v>
      </c>
      <c r="R31" s="455">
        <f t="shared" si="0"/>
        <v>36.208333333333336</v>
      </c>
    </row>
    <row r="32" spans="1:18" ht="13.5" customHeight="1" x14ac:dyDescent="0.2">
      <c r="A32" s="449" t="s">
        <v>1422</v>
      </c>
      <c r="B32" s="450" t="s">
        <v>1392</v>
      </c>
      <c r="C32" s="451" t="s">
        <v>1393</v>
      </c>
      <c r="D32" s="452">
        <v>24.4</v>
      </c>
      <c r="E32" s="452">
        <v>25.9</v>
      </c>
      <c r="F32" s="452">
        <v>32.1</v>
      </c>
      <c r="G32" s="453">
        <v>41.8</v>
      </c>
      <c r="H32" s="452">
        <v>51.1</v>
      </c>
      <c r="I32" s="453">
        <v>61.4</v>
      </c>
      <c r="J32" s="452">
        <v>67</v>
      </c>
      <c r="K32" s="452">
        <v>66.599999999999994</v>
      </c>
      <c r="L32" s="452">
        <v>59.2</v>
      </c>
      <c r="M32" s="452">
        <v>47.4</v>
      </c>
      <c r="N32" s="452">
        <v>38.9</v>
      </c>
      <c r="O32" s="452">
        <v>29.5</v>
      </c>
      <c r="P32" s="452">
        <v>45.4</v>
      </c>
      <c r="Q32" s="454">
        <v>1</v>
      </c>
      <c r="R32" s="455">
        <f t="shared" si="0"/>
        <v>45.44166666666667</v>
      </c>
    </row>
    <row r="33" spans="1:18" ht="13.5" customHeight="1" x14ac:dyDescent="0.2">
      <c r="A33" s="449" t="s">
        <v>1423</v>
      </c>
      <c r="B33" s="450" t="s">
        <v>1392</v>
      </c>
      <c r="C33" s="451" t="s">
        <v>1393</v>
      </c>
      <c r="D33" s="452">
        <v>19.399999999999999</v>
      </c>
      <c r="E33" s="452">
        <v>21.4</v>
      </c>
      <c r="F33" s="452">
        <v>28.8</v>
      </c>
      <c r="G33" s="453">
        <v>39.200000000000003</v>
      </c>
      <c r="H33" s="452">
        <v>48.3</v>
      </c>
      <c r="I33" s="453">
        <v>58.4</v>
      </c>
      <c r="J33" s="452">
        <v>63.3</v>
      </c>
      <c r="K33" s="452">
        <v>61.9</v>
      </c>
      <c r="L33" s="452">
        <v>53.9</v>
      </c>
      <c r="M33" s="452">
        <v>42.2</v>
      </c>
      <c r="N33" s="452">
        <v>34.1</v>
      </c>
      <c r="O33" s="452">
        <v>24.6</v>
      </c>
      <c r="P33" s="452">
        <v>41.3</v>
      </c>
      <c r="Q33" s="454">
        <v>1</v>
      </c>
      <c r="R33" s="455">
        <f t="shared" si="0"/>
        <v>41.291666666666664</v>
      </c>
    </row>
    <row r="34" spans="1:18" ht="13.5" customHeight="1" x14ac:dyDescent="0.2">
      <c r="A34" s="449" t="s">
        <v>1424</v>
      </c>
      <c r="B34" s="450" t="s">
        <v>1392</v>
      </c>
      <c r="C34" s="451" t="s">
        <v>1393</v>
      </c>
      <c r="D34" s="452">
        <v>26.3</v>
      </c>
      <c r="E34" s="452">
        <v>27.2</v>
      </c>
      <c r="F34" s="452">
        <v>34.299999999999997</v>
      </c>
      <c r="G34" s="453">
        <v>43.8</v>
      </c>
      <c r="H34" s="452">
        <v>53</v>
      </c>
      <c r="I34" s="453">
        <v>63.2</v>
      </c>
      <c r="J34" s="452">
        <v>67.900000000000006</v>
      </c>
      <c r="K34" s="452">
        <v>66.900000000000006</v>
      </c>
      <c r="L34" s="452">
        <v>58.9</v>
      </c>
      <c r="M34" s="452">
        <v>46.8</v>
      </c>
      <c r="N34" s="452">
        <v>38.4</v>
      </c>
      <c r="O34" s="452">
        <v>30.1</v>
      </c>
      <c r="P34" s="452">
        <v>46.4</v>
      </c>
      <c r="Q34" s="454">
        <v>1</v>
      </c>
      <c r="R34" s="455">
        <f t="shared" si="0"/>
        <v>46.400000000000006</v>
      </c>
    </row>
    <row r="35" spans="1:18" ht="13.5" customHeight="1" x14ac:dyDescent="0.2">
      <c r="A35" s="449" t="s">
        <v>1425</v>
      </c>
      <c r="B35" s="450" t="s">
        <v>1392</v>
      </c>
      <c r="C35" s="451" t="s">
        <v>1393</v>
      </c>
      <c r="D35" s="452">
        <v>49</v>
      </c>
      <c r="E35" s="452">
        <v>50.6</v>
      </c>
      <c r="F35" s="452">
        <v>55</v>
      </c>
      <c r="G35" s="453">
        <v>59.8</v>
      </c>
      <c r="H35" s="452">
        <v>66.400000000000006</v>
      </c>
      <c r="I35" s="453">
        <v>72.099999999999994</v>
      </c>
      <c r="J35" s="452">
        <v>73.7</v>
      </c>
      <c r="K35" s="452">
        <v>74</v>
      </c>
      <c r="L35" s="452">
        <v>73.2</v>
      </c>
      <c r="M35" s="452">
        <v>66.900000000000006</v>
      </c>
      <c r="N35" s="452">
        <v>57.7</v>
      </c>
      <c r="O35" s="452">
        <v>52.3</v>
      </c>
      <c r="P35" s="452">
        <v>62.5</v>
      </c>
      <c r="Q35" s="454">
        <v>1</v>
      </c>
      <c r="R35" s="455">
        <f t="shared" si="0"/>
        <v>62.55833333333333</v>
      </c>
    </row>
    <row r="36" spans="1:18" ht="13.5" customHeight="1" x14ac:dyDescent="0.2">
      <c r="A36" s="449" t="s">
        <v>1426</v>
      </c>
      <c r="B36" s="450" t="s">
        <v>1392</v>
      </c>
      <c r="C36" s="451" t="s">
        <v>1393</v>
      </c>
      <c r="D36" s="452">
        <v>54.4</v>
      </c>
      <c r="E36" s="452">
        <v>56.1</v>
      </c>
      <c r="F36" s="452">
        <v>59.8</v>
      </c>
      <c r="G36" s="452">
        <v>64</v>
      </c>
      <c r="H36" s="452">
        <v>69.3</v>
      </c>
      <c r="I36" s="452">
        <v>73.8</v>
      </c>
      <c r="J36" s="452">
        <v>75</v>
      </c>
      <c r="K36" s="452">
        <v>75.400000000000006</v>
      </c>
      <c r="L36" s="452">
        <v>74.7</v>
      </c>
      <c r="M36" s="452">
        <v>69.400000000000006</v>
      </c>
      <c r="N36" s="452">
        <v>61.8</v>
      </c>
      <c r="O36" s="452">
        <v>56.7</v>
      </c>
      <c r="P36" s="452">
        <v>65.900000000000006</v>
      </c>
      <c r="Q36" s="454">
        <v>1</v>
      </c>
      <c r="R36" s="455">
        <f t="shared" si="0"/>
        <v>65.866666666666674</v>
      </c>
    </row>
    <row r="37" spans="1:18" ht="13.5" customHeight="1" x14ac:dyDescent="0.2">
      <c r="A37" s="449" t="s">
        <v>1427</v>
      </c>
      <c r="B37" s="450" t="s">
        <v>1392</v>
      </c>
      <c r="C37" s="451" t="s">
        <v>1393</v>
      </c>
      <c r="D37" s="452">
        <v>43.4</v>
      </c>
      <c r="E37" s="452">
        <v>45.5</v>
      </c>
      <c r="F37" s="452">
        <v>50.2</v>
      </c>
      <c r="G37" s="452">
        <v>55.6</v>
      </c>
      <c r="H37" s="452">
        <v>63.2</v>
      </c>
      <c r="I37" s="452">
        <v>69.8</v>
      </c>
      <c r="J37" s="452">
        <v>72.099999999999994</v>
      </c>
      <c r="K37" s="452">
        <v>72.099999999999994</v>
      </c>
      <c r="L37" s="452">
        <v>69.400000000000006</v>
      </c>
      <c r="M37" s="452">
        <v>61.1</v>
      </c>
      <c r="N37" s="452">
        <v>51.4</v>
      </c>
      <c r="O37" s="452">
        <v>45.5</v>
      </c>
      <c r="P37" s="452">
        <v>58.3</v>
      </c>
      <c r="Q37" s="454">
        <v>1</v>
      </c>
      <c r="R37" s="455">
        <f t="shared" si="0"/>
        <v>58.275000000000006</v>
      </c>
    </row>
    <row r="38" spans="1:18" ht="13.5" customHeight="1" x14ac:dyDescent="0.2">
      <c r="A38" s="449" t="s">
        <v>1428</v>
      </c>
      <c r="B38" s="450" t="s">
        <v>1392</v>
      </c>
      <c r="C38" s="451" t="s">
        <v>1393</v>
      </c>
      <c r="D38" s="452">
        <v>42.9</v>
      </c>
      <c r="E38" s="452">
        <v>45.1</v>
      </c>
      <c r="F38" s="452">
        <v>50.1</v>
      </c>
      <c r="G38" s="452">
        <v>55.5</v>
      </c>
      <c r="H38" s="452">
        <v>63.7</v>
      </c>
      <c r="I38" s="452">
        <v>70.5</v>
      </c>
      <c r="J38" s="452">
        <v>72.900000000000006</v>
      </c>
      <c r="K38" s="452">
        <v>73.099999999999994</v>
      </c>
      <c r="L38" s="452">
        <v>70.099999999999994</v>
      </c>
      <c r="M38" s="452">
        <v>61</v>
      </c>
      <c r="N38" s="452">
        <v>50.8</v>
      </c>
      <c r="O38" s="452">
        <v>44.4</v>
      </c>
      <c r="P38" s="452">
        <v>58.3</v>
      </c>
      <c r="Q38" s="454">
        <v>1</v>
      </c>
      <c r="R38" s="455">
        <f t="shared" si="0"/>
        <v>58.341666666666669</v>
      </c>
    </row>
    <row r="39" spans="1:18" ht="13.5" customHeight="1" x14ac:dyDescent="0.2">
      <c r="A39" s="449" t="s">
        <v>1429</v>
      </c>
      <c r="B39" s="450" t="s">
        <v>1392</v>
      </c>
      <c r="C39" s="451" t="s">
        <v>1393</v>
      </c>
      <c r="D39" s="452">
        <v>64.900000000000006</v>
      </c>
      <c r="E39" s="452">
        <v>66.2</v>
      </c>
      <c r="F39" s="452">
        <v>68.7</v>
      </c>
      <c r="G39" s="452">
        <v>72.2</v>
      </c>
      <c r="H39" s="452">
        <v>76.2</v>
      </c>
      <c r="I39" s="452">
        <v>79.400000000000006</v>
      </c>
      <c r="J39" s="452">
        <v>80.599999999999994</v>
      </c>
      <c r="K39" s="452">
        <v>80.5</v>
      </c>
      <c r="L39" s="452">
        <v>79.2</v>
      </c>
      <c r="M39" s="452">
        <v>76.5</v>
      </c>
      <c r="N39" s="452">
        <v>71.8</v>
      </c>
      <c r="O39" s="452">
        <v>67.099999999999994</v>
      </c>
      <c r="P39" s="452">
        <v>73.599999999999994</v>
      </c>
      <c r="Q39" s="454">
        <v>1</v>
      </c>
      <c r="R39" s="455">
        <f t="shared" si="0"/>
        <v>73.608333333333334</v>
      </c>
    </row>
    <row r="40" spans="1:18" ht="13.5" customHeight="1" x14ac:dyDescent="0.2">
      <c r="A40" s="449" t="s">
        <v>1430</v>
      </c>
      <c r="B40" s="450" t="s">
        <v>1392</v>
      </c>
      <c r="C40" s="451" t="s">
        <v>1393</v>
      </c>
      <c r="D40" s="452">
        <v>61.2</v>
      </c>
      <c r="E40" s="452">
        <v>62.6</v>
      </c>
      <c r="F40" s="452">
        <v>65.8</v>
      </c>
      <c r="G40" s="452">
        <v>69.400000000000006</v>
      </c>
      <c r="H40" s="452">
        <v>73.900000000000006</v>
      </c>
      <c r="I40" s="452">
        <v>76.599999999999994</v>
      </c>
      <c r="J40" s="452">
        <v>78.099999999999994</v>
      </c>
      <c r="K40" s="452">
        <v>78.2</v>
      </c>
      <c r="L40" s="452">
        <v>77.3</v>
      </c>
      <c r="M40" s="452">
        <v>74.3</v>
      </c>
      <c r="N40" s="452">
        <v>68.400000000000006</v>
      </c>
      <c r="O40" s="452">
        <v>63.6</v>
      </c>
      <c r="P40" s="452">
        <v>70.8</v>
      </c>
      <c r="Q40" s="454">
        <v>1</v>
      </c>
      <c r="R40" s="455">
        <f t="shared" si="0"/>
        <v>70.783333333333331</v>
      </c>
    </row>
    <row r="41" spans="1:18" ht="13.5" customHeight="1" x14ac:dyDescent="0.2">
      <c r="A41" s="449" t="s">
        <v>1431</v>
      </c>
      <c r="B41" s="450" t="s">
        <v>1392</v>
      </c>
      <c r="C41" s="451" t="s">
        <v>1393</v>
      </c>
      <c r="D41" s="452">
        <v>50.5</v>
      </c>
      <c r="E41" s="452">
        <v>52.5</v>
      </c>
      <c r="F41" s="452">
        <v>56.5</v>
      </c>
      <c r="G41" s="452">
        <v>61</v>
      </c>
      <c r="H41" s="452">
        <v>67.3</v>
      </c>
      <c r="I41" s="452">
        <v>72.400000000000006</v>
      </c>
      <c r="J41" s="452">
        <v>74</v>
      </c>
      <c r="K41" s="452">
        <v>74.400000000000006</v>
      </c>
      <c r="L41" s="452">
        <v>73.2</v>
      </c>
      <c r="M41" s="452">
        <v>66.8</v>
      </c>
      <c r="N41" s="452">
        <v>58.7</v>
      </c>
      <c r="O41" s="452">
        <v>52.9</v>
      </c>
      <c r="P41" s="452">
        <v>63.4</v>
      </c>
      <c r="Q41" s="454">
        <v>1</v>
      </c>
      <c r="R41" s="455">
        <f t="shared" si="0"/>
        <v>63.35</v>
      </c>
    </row>
    <row r="42" spans="1:18" ht="13.5" customHeight="1" x14ac:dyDescent="0.2">
      <c r="A42" s="449" t="s">
        <v>1432</v>
      </c>
      <c r="B42" s="450" t="s">
        <v>1392</v>
      </c>
      <c r="C42" s="451" t="s">
        <v>1393</v>
      </c>
      <c r="D42" s="452">
        <v>43.5</v>
      </c>
      <c r="E42" s="452">
        <v>46</v>
      </c>
      <c r="F42" s="452">
        <v>52</v>
      </c>
      <c r="G42" s="452">
        <v>58.6</v>
      </c>
      <c r="H42" s="452">
        <v>67</v>
      </c>
      <c r="I42" s="452">
        <v>73.3</v>
      </c>
      <c r="J42" s="452">
        <v>75.2</v>
      </c>
      <c r="K42" s="452">
        <v>74.8</v>
      </c>
      <c r="L42" s="452">
        <v>71.099999999999994</v>
      </c>
      <c r="M42" s="452">
        <v>61.1</v>
      </c>
      <c r="N42" s="452">
        <v>51</v>
      </c>
      <c r="O42" s="452">
        <v>44.6</v>
      </c>
      <c r="P42" s="452">
        <v>59.9</v>
      </c>
      <c r="Q42" s="454">
        <v>1</v>
      </c>
      <c r="R42" s="455">
        <f t="shared" si="0"/>
        <v>59.85</v>
      </c>
    </row>
    <row r="43" spans="1:18" ht="13.5" customHeight="1" x14ac:dyDescent="0.2">
      <c r="A43" s="449" t="s">
        <v>1433</v>
      </c>
      <c r="B43" s="450" t="s">
        <v>1392</v>
      </c>
      <c r="C43" s="451" t="s">
        <v>1393</v>
      </c>
      <c r="D43" s="452">
        <v>40.5</v>
      </c>
      <c r="E43" s="452">
        <v>42.4</v>
      </c>
      <c r="F43" s="452">
        <v>47.9</v>
      </c>
      <c r="G43" s="452">
        <v>53.7</v>
      </c>
      <c r="H43" s="452">
        <v>62.8</v>
      </c>
      <c r="I43" s="453">
        <v>70.3</v>
      </c>
      <c r="J43" s="452">
        <v>72.8</v>
      </c>
      <c r="K43" s="452">
        <v>72.8</v>
      </c>
      <c r="L43" s="452">
        <v>69.099999999999994</v>
      </c>
      <c r="M43" s="452">
        <v>58.2</v>
      </c>
      <c r="N43" s="452">
        <v>47.6</v>
      </c>
      <c r="O43" s="452">
        <v>41.5</v>
      </c>
      <c r="P43" s="452">
        <v>56.6</v>
      </c>
      <c r="Q43" s="454">
        <v>1</v>
      </c>
      <c r="R43" s="455">
        <f t="shared" si="0"/>
        <v>56.633333333333347</v>
      </c>
    </row>
    <row r="44" spans="1:18" ht="13.5" customHeight="1" x14ac:dyDescent="0.2">
      <c r="A44" s="449" t="s">
        <v>1434</v>
      </c>
      <c r="B44" s="450" t="s">
        <v>1392</v>
      </c>
      <c r="C44" s="451" t="s">
        <v>1393</v>
      </c>
      <c r="D44" s="452">
        <v>52.3</v>
      </c>
      <c r="E44" s="452">
        <v>54.1</v>
      </c>
      <c r="F44" s="452">
        <v>58.5</v>
      </c>
      <c r="G44" s="452">
        <v>63.5</v>
      </c>
      <c r="H44" s="452">
        <v>70.2</v>
      </c>
      <c r="I44" s="453">
        <v>74.8</v>
      </c>
      <c r="J44" s="452">
        <v>76.2</v>
      </c>
      <c r="K44" s="452">
        <v>76.2</v>
      </c>
      <c r="L44" s="452">
        <v>74.599999999999994</v>
      </c>
      <c r="M44" s="452">
        <v>68.2</v>
      </c>
      <c r="N44" s="452">
        <v>59.9</v>
      </c>
      <c r="O44" s="452">
        <v>54.3</v>
      </c>
      <c r="P44" s="452">
        <v>65.2</v>
      </c>
      <c r="Q44" s="454">
        <v>1</v>
      </c>
      <c r="R44" s="455">
        <f t="shared" si="0"/>
        <v>65.233333333333334</v>
      </c>
    </row>
    <row r="45" spans="1:18" ht="13.5" customHeight="1" x14ac:dyDescent="0.2">
      <c r="A45" s="449" t="s">
        <v>1435</v>
      </c>
      <c r="B45" s="450" t="s">
        <v>1392</v>
      </c>
      <c r="C45" s="451" t="s">
        <v>1393</v>
      </c>
      <c r="D45" s="452">
        <v>52.7</v>
      </c>
      <c r="E45" s="452">
        <v>54.2</v>
      </c>
      <c r="F45" s="452">
        <v>58.2</v>
      </c>
      <c r="G45" s="452">
        <v>62.3</v>
      </c>
      <c r="H45" s="452">
        <v>68.5</v>
      </c>
      <c r="I45" s="453">
        <v>72.599999999999994</v>
      </c>
      <c r="J45" s="452">
        <v>73.900000000000006</v>
      </c>
      <c r="K45" s="452">
        <v>73.900000000000006</v>
      </c>
      <c r="L45" s="452">
        <v>73.900000000000006</v>
      </c>
      <c r="M45" s="452">
        <v>69.599999999999994</v>
      </c>
      <c r="N45" s="452">
        <v>62</v>
      </c>
      <c r="O45" s="452">
        <v>56.4</v>
      </c>
      <c r="P45" s="452">
        <v>64.900000000000006</v>
      </c>
      <c r="Q45" s="454">
        <v>1</v>
      </c>
      <c r="R45" s="455">
        <f t="shared" si="0"/>
        <v>64.849999999999994</v>
      </c>
    </row>
    <row r="46" spans="1:18" ht="13.5" customHeight="1" x14ac:dyDescent="0.2">
      <c r="A46" s="449" t="s">
        <v>1436</v>
      </c>
      <c r="B46" s="450" t="s">
        <v>1392</v>
      </c>
      <c r="C46" s="451" t="s">
        <v>1393</v>
      </c>
      <c r="D46" s="452">
        <v>58.1</v>
      </c>
      <c r="E46" s="452">
        <v>59.4</v>
      </c>
      <c r="F46" s="452">
        <v>63.1</v>
      </c>
      <c r="G46" s="452">
        <v>67.099999999999994</v>
      </c>
      <c r="H46" s="452">
        <v>72</v>
      </c>
      <c r="I46" s="453">
        <v>75.099999999999994</v>
      </c>
      <c r="J46" s="452">
        <v>76.400000000000006</v>
      </c>
      <c r="K46" s="452">
        <v>76.599999999999994</v>
      </c>
      <c r="L46" s="452">
        <v>76</v>
      </c>
      <c r="M46" s="452">
        <v>72.599999999999994</v>
      </c>
      <c r="N46" s="452">
        <v>65.8</v>
      </c>
      <c r="O46" s="452">
        <v>60.6</v>
      </c>
      <c r="P46" s="452">
        <v>68.599999999999994</v>
      </c>
      <c r="Q46" s="454">
        <v>1</v>
      </c>
      <c r="R46" s="455">
        <f t="shared" si="0"/>
        <v>68.566666666666663</v>
      </c>
    </row>
    <row r="47" spans="1:18" ht="13.5" customHeight="1" x14ac:dyDescent="0.2">
      <c r="A47" s="449" t="s">
        <v>1437</v>
      </c>
      <c r="B47" s="450" t="s">
        <v>1392</v>
      </c>
      <c r="C47" s="451" t="s">
        <v>1393</v>
      </c>
      <c r="D47" s="452">
        <v>34.4</v>
      </c>
      <c r="E47" s="452">
        <v>36.799999999999997</v>
      </c>
      <c r="F47" s="452">
        <v>43.1</v>
      </c>
      <c r="G47" s="452">
        <v>50.1</v>
      </c>
      <c r="H47" s="452">
        <v>58.9</v>
      </c>
      <c r="I47" s="453">
        <v>66.7</v>
      </c>
      <c r="J47" s="452">
        <v>70.2</v>
      </c>
      <c r="K47" s="452">
        <v>69.599999999999994</v>
      </c>
      <c r="L47" s="452">
        <v>63.3</v>
      </c>
      <c r="M47" s="452">
        <v>52</v>
      </c>
      <c r="N47" s="452">
        <v>42.4</v>
      </c>
      <c r="O47" s="452">
        <v>35.5</v>
      </c>
      <c r="P47" s="452">
        <v>51.9</v>
      </c>
      <c r="Q47" s="454">
        <v>1</v>
      </c>
      <c r="R47" s="455">
        <f t="shared" si="0"/>
        <v>51.916666666666657</v>
      </c>
    </row>
    <row r="48" spans="1:18" ht="13.5" customHeight="1" x14ac:dyDescent="0.2">
      <c r="A48" s="449" t="s">
        <v>1438</v>
      </c>
      <c r="B48" s="450" t="s">
        <v>1392</v>
      </c>
      <c r="C48" s="451" t="s">
        <v>1393</v>
      </c>
      <c r="D48" s="452">
        <v>35.5</v>
      </c>
      <c r="E48" s="452">
        <v>38.200000000000003</v>
      </c>
      <c r="F48" s="452">
        <v>44.8</v>
      </c>
      <c r="G48" s="452">
        <v>52.3</v>
      </c>
      <c r="H48" s="452">
        <v>61.2</v>
      </c>
      <c r="I48" s="453">
        <v>68.5</v>
      </c>
      <c r="J48" s="452">
        <v>71.7</v>
      </c>
      <c r="K48" s="452">
        <v>71.3</v>
      </c>
      <c r="L48" s="452">
        <v>65.400000000000006</v>
      </c>
      <c r="M48" s="452">
        <v>54.4</v>
      </c>
      <c r="N48" s="452">
        <v>44.2</v>
      </c>
      <c r="O48" s="452">
        <v>37.1</v>
      </c>
      <c r="P48" s="452">
        <v>53.7</v>
      </c>
      <c r="Q48" s="454">
        <v>1</v>
      </c>
      <c r="R48" s="455">
        <f t="shared" si="0"/>
        <v>53.716666666666669</v>
      </c>
    </row>
    <row r="49" spans="1:18" ht="13.5" customHeight="1" x14ac:dyDescent="0.2">
      <c r="A49" s="449" t="s">
        <v>1439</v>
      </c>
      <c r="B49" s="450" t="s">
        <v>1392</v>
      </c>
      <c r="C49" s="451" t="s">
        <v>1393</v>
      </c>
      <c r="D49" s="452">
        <v>34.700000000000003</v>
      </c>
      <c r="E49" s="452">
        <v>36.700000000000003</v>
      </c>
      <c r="F49" s="452">
        <v>43</v>
      </c>
      <c r="G49" s="452">
        <v>49.6</v>
      </c>
      <c r="H49" s="452">
        <v>58.6</v>
      </c>
      <c r="I49" s="452">
        <v>67.2</v>
      </c>
      <c r="J49" s="452">
        <v>70.5</v>
      </c>
      <c r="K49" s="452">
        <v>70</v>
      </c>
      <c r="L49" s="452">
        <v>63.7</v>
      </c>
      <c r="M49" s="452">
        <v>51.9</v>
      </c>
      <c r="N49" s="452">
        <v>41.8</v>
      </c>
      <c r="O49" s="452">
        <v>35.299999999999997</v>
      </c>
      <c r="P49" s="452">
        <v>51.9</v>
      </c>
      <c r="Q49" s="454">
        <v>1</v>
      </c>
      <c r="R49" s="455">
        <f t="shared" si="0"/>
        <v>51.916666666666657</v>
      </c>
    </row>
    <row r="50" spans="1:18" ht="13.5" customHeight="1" x14ac:dyDescent="0.2">
      <c r="A50" s="449" t="s">
        <v>1440</v>
      </c>
      <c r="B50" s="450" t="s">
        <v>1392</v>
      </c>
      <c r="C50" s="451" t="s">
        <v>1393</v>
      </c>
      <c r="D50" s="452">
        <v>38</v>
      </c>
      <c r="E50" s="452">
        <v>40.4</v>
      </c>
      <c r="F50" s="452">
        <v>46.6</v>
      </c>
      <c r="G50" s="452">
        <v>53.5</v>
      </c>
      <c r="H50" s="452">
        <v>62.9</v>
      </c>
      <c r="I50" s="452">
        <v>70.099999999999994</v>
      </c>
      <c r="J50" s="452">
        <v>73.2</v>
      </c>
      <c r="K50" s="452">
        <v>72.7</v>
      </c>
      <c r="L50" s="452">
        <v>67.3</v>
      </c>
      <c r="M50" s="452">
        <v>56.2</v>
      </c>
      <c r="N50" s="452">
        <v>45.9</v>
      </c>
      <c r="O50" s="452">
        <v>39.1</v>
      </c>
      <c r="P50" s="452">
        <v>55.5</v>
      </c>
      <c r="Q50" s="454">
        <v>1</v>
      </c>
      <c r="R50" s="455">
        <f t="shared" si="0"/>
        <v>55.491666666666667</v>
      </c>
    </row>
    <row r="51" spans="1:18" ht="13.5" customHeight="1" x14ac:dyDescent="0.2">
      <c r="A51" s="449" t="s">
        <v>1441</v>
      </c>
      <c r="B51" s="450" t="s">
        <v>1392</v>
      </c>
      <c r="C51" s="451" t="s">
        <v>1393</v>
      </c>
      <c r="D51" s="452">
        <v>36.299999999999997</v>
      </c>
      <c r="E51" s="452">
        <v>38.6</v>
      </c>
      <c r="F51" s="452">
        <v>44.8</v>
      </c>
      <c r="G51" s="452">
        <v>51</v>
      </c>
      <c r="H51" s="452">
        <v>60.1</v>
      </c>
      <c r="I51" s="452">
        <v>68.3</v>
      </c>
      <c r="J51" s="452">
        <v>71.599999999999994</v>
      </c>
      <c r="K51" s="452">
        <v>70.8</v>
      </c>
      <c r="L51" s="452">
        <v>64.7</v>
      </c>
      <c r="M51" s="452">
        <v>53</v>
      </c>
      <c r="N51" s="452">
        <v>43</v>
      </c>
      <c r="O51" s="452">
        <v>36.799999999999997</v>
      </c>
      <c r="P51" s="452">
        <v>53.2</v>
      </c>
      <c r="Q51" s="454">
        <v>1</v>
      </c>
      <c r="R51" s="455">
        <f t="shared" si="0"/>
        <v>53.249999999999993</v>
      </c>
    </row>
    <row r="52" spans="1:18" ht="13.5" customHeight="1" x14ac:dyDescent="0.2">
      <c r="A52" s="449" t="s">
        <v>1442</v>
      </c>
      <c r="B52" s="450" t="s">
        <v>1392</v>
      </c>
      <c r="C52" s="451" t="s">
        <v>1393</v>
      </c>
      <c r="D52" s="452">
        <v>40</v>
      </c>
      <c r="E52" s="452">
        <v>42</v>
      </c>
      <c r="F52" s="452">
        <v>48.3</v>
      </c>
      <c r="G52" s="452">
        <v>54.5</v>
      </c>
      <c r="H52" s="452">
        <v>62.9</v>
      </c>
      <c r="I52" s="452">
        <v>70.400000000000006</v>
      </c>
      <c r="J52" s="452">
        <v>73.3</v>
      </c>
      <c r="K52" s="452">
        <v>73</v>
      </c>
      <c r="L52" s="452">
        <v>68.599999999999994</v>
      </c>
      <c r="M52" s="452">
        <v>58.1</v>
      </c>
      <c r="N52" s="452">
        <v>47.9</v>
      </c>
      <c r="O52" s="452">
        <v>41.3</v>
      </c>
      <c r="P52" s="452">
        <v>56.7</v>
      </c>
      <c r="Q52" s="454">
        <v>1</v>
      </c>
      <c r="R52" s="455">
        <f t="shared" si="0"/>
        <v>56.691666666666663</v>
      </c>
    </row>
    <row r="53" spans="1:18" ht="13.5" customHeight="1" x14ac:dyDescent="0.2">
      <c r="A53" s="449" t="s">
        <v>1443</v>
      </c>
      <c r="B53" s="450" t="s">
        <v>1392</v>
      </c>
      <c r="C53" s="451" t="s">
        <v>1393</v>
      </c>
      <c r="D53" s="452">
        <v>64.099999999999994</v>
      </c>
      <c r="E53" s="452">
        <v>64</v>
      </c>
      <c r="F53" s="452">
        <v>65.099999999999994</v>
      </c>
      <c r="G53" s="452">
        <v>65.900000000000006</v>
      </c>
      <c r="H53" s="452">
        <v>67.2</v>
      </c>
      <c r="I53" s="452">
        <v>68.5</v>
      </c>
      <c r="J53" s="452">
        <v>69.5</v>
      </c>
      <c r="K53" s="452">
        <v>70</v>
      </c>
      <c r="L53" s="452">
        <v>69.400000000000006</v>
      </c>
      <c r="M53" s="452">
        <v>68.8</v>
      </c>
      <c r="N53" s="452">
        <v>67.5</v>
      </c>
      <c r="O53" s="452">
        <v>65.599999999999994</v>
      </c>
      <c r="P53" s="452">
        <v>67.099999999999994</v>
      </c>
      <c r="Q53" s="454">
        <v>1</v>
      </c>
      <c r="R53" s="455">
        <f t="shared" si="0"/>
        <v>67.133333333333326</v>
      </c>
    </row>
    <row r="54" spans="1:18" ht="13.5" customHeight="1" x14ac:dyDescent="0.2">
      <c r="A54" s="449" t="s">
        <v>1444</v>
      </c>
      <c r="B54" s="450" t="s">
        <v>1392</v>
      </c>
      <c r="C54" s="451" t="s">
        <v>1393</v>
      </c>
      <c r="D54" s="452">
        <v>67.099999999999994</v>
      </c>
      <c r="E54" s="452">
        <v>67.3</v>
      </c>
      <c r="F54" s="452">
        <v>68.5</v>
      </c>
      <c r="G54" s="452">
        <v>70.3</v>
      </c>
      <c r="H54" s="452">
        <v>71.8</v>
      </c>
      <c r="I54" s="452">
        <v>74.3</v>
      </c>
      <c r="J54" s="452">
        <v>75.3</v>
      </c>
      <c r="K54" s="452">
        <v>76</v>
      </c>
      <c r="L54" s="452">
        <v>75.099999999999994</v>
      </c>
      <c r="M54" s="452">
        <v>74.2</v>
      </c>
      <c r="N54" s="452">
        <v>72.099999999999994</v>
      </c>
      <c r="O54" s="452">
        <v>69.5</v>
      </c>
      <c r="P54" s="452">
        <v>71.8</v>
      </c>
      <c r="Q54" s="454">
        <v>1</v>
      </c>
      <c r="R54" s="455">
        <f t="shared" si="0"/>
        <v>71.791666666666671</v>
      </c>
    </row>
    <row r="55" spans="1:18" ht="13.5" customHeight="1" x14ac:dyDescent="0.2">
      <c r="A55" s="449" t="s">
        <v>1445</v>
      </c>
      <c r="B55" s="450" t="s">
        <v>1392</v>
      </c>
      <c r="C55" s="451" t="s">
        <v>1393</v>
      </c>
      <c r="D55" s="452">
        <v>64</v>
      </c>
      <c r="E55" s="452">
        <v>63.7</v>
      </c>
      <c r="F55" s="452">
        <v>65</v>
      </c>
      <c r="G55" s="452">
        <v>66.5</v>
      </c>
      <c r="H55" s="452">
        <v>67.7</v>
      </c>
      <c r="I55" s="452">
        <v>70.3</v>
      </c>
      <c r="J55" s="452">
        <v>71.8</v>
      </c>
      <c r="K55" s="452">
        <v>72.3</v>
      </c>
      <c r="L55" s="452">
        <v>71.2</v>
      </c>
      <c r="M55" s="452">
        <v>70.2</v>
      </c>
      <c r="N55" s="452">
        <v>68.400000000000006</v>
      </c>
      <c r="O55" s="452">
        <v>65.900000000000006</v>
      </c>
      <c r="P55" s="452">
        <v>68.099999999999994</v>
      </c>
      <c r="Q55" s="454">
        <v>1</v>
      </c>
      <c r="R55" s="455">
        <f t="shared" si="0"/>
        <v>68.083333333333329</v>
      </c>
    </row>
    <row r="56" spans="1:18" ht="13.5" customHeight="1" x14ac:dyDescent="0.2">
      <c r="A56" s="449" t="s">
        <v>1446</v>
      </c>
      <c r="B56" s="450" t="s">
        <v>1392</v>
      </c>
      <c r="C56" s="451" t="s">
        <v>1393</v>
      </c>
      <c r="D56" s="452">
        <v>66</v>
      </c>
      <c r="E56" s="452">
        <v>66.3</v>
      </c>
      <c r="F56" s="452">
        <v>67.400000000000006</v>
      </c>
      <c r="G56" s="452">
        <v>69.3</v>
      </c>
      <c r="H56" s="452">
        <v>71</v>
      </c>
      <c r="I56" s="452">
        <v>73.7</v>
      </c>
      <c r="J56" s="452">
        <v>74.599999999999994</v>
      </c>
      <c r="K56" s="452">
        <v>75.2</v>
      </c>
      <c r="L56" s="452">
        <v>74.7</v>
      </c>
      <c r="M56" s="452">
        <v>73.7</v>
      </c>
      <c r="N56" s="452">
        <v>71.3</v>
      </c>
      <c r="O56" s="452">
        <v>68.7</v>
      </c>
      <c r="P56" s="452">
        <v>71</v>
      </c>
      <c r="Q56" s="454">
        <v>1</v>
      </c>
      <c r="R56" s="455">
        <f t="shared" si="0"/>
        <v>70.991666666666674</v>
      </c>
    </row>
    <row r="57" spans="1:18" ht="13.5" customHeight="1" x14ac:dyDescent="0.2">
      <c r="A57" s="449" t="s">
        <v>1447</v>
      </c>
      <c r="B57" s="450" t="s">
        <v>1392</v>
      </c>
      <c r="C57" s="451" t="s">
        <v>1393</v>
      </c>
      <c r="D57" s="452">
        <v>26.2</v>
      </c>
      <c r="E57" s="452">
        <v>29</v>
      </c>
      <c r="F57" s="452">
        <v>34.5</v>
      </c>
      <c r="G57" s="452">
        <v>39.299999999999997</v>
      </c>
      <c r="H57" s="452">
        <v>47.2</v>
      </c>
      <c r="I57" s="452">
        <v>53.9</v>
      </c>
      <c r="J57" s="452">
        <v>61.5</v>
      </c>
      <c r="K57" s="452">
        <v>60.5</v>
      </c>
      <c r="L57" s="452">
        <v>52.2</v>
      </c>
      <c r="M57" s="452">
        <v>41.3</v>
      </c>
      <c r="N57" s="452">
        <v>31.9</v>
      </c>
      <c r="O57" s="452">
        <v>26.2</v>
      </c>
      <c r="P57" s="452">
        <v>42</v>
      </c>
      <c r="Q57" s="454">
        <v>1</v>
      </c>
      <c r="R57" s="455">
        <f t="shared" si="0"/>
        <v>41.975000000000001</v>
      </c>
    </row>
    <row r="58" spans="1:18" ht="13.5" customHeight="1" x14ac:dyDescent="0.2">
      <c r="A58" s="449" t="s">
        <v>1448</v>
      </c>
      <c r="B58" s="450" t="s">
        <v>1392</v>
      </c>
      <c r="C58" s="451" t="s">
        <v>1393</v>
      </c>
      <c r="D58" s="452">
        <v>30.7</v>
      </c>
      <c r="E58" s="452">
        <v>32.4</v>
      </c>
      <c r="F58" s="452">
        <v>36.4</v>
      </c>
      <c r="G58" s="452">
        <v>41.2</v>
      </c>
      <c r="H58" s="452">
        <v>48.1</v>
      </c>
      <c r="I58" s="452">
        <v>54.1</v>
      </c>
      <c r="J58" s="452">
        <v>61.3</v>
      </c>
      <c r="K58" s="452">
        <v>60.3</v>
      </c>
      <c r="L58" s="452">
        <v>52.4</v>
      </c>
      <c r="M58" s="452">
        <v>42</v>
      </c>
      <c r="N58" s="452">
        <v>34.700000000000003</v>
      </c>
      <c r="O58" s="452">
        <v>29.9</v>
      </c>
      <c r="P58" s="452">
        <v>43.6</v>
      </c>
      <c r="Q58" s="454">
        <v>1</v>
      </c>
      <c r="R58" s="455">
        <f t="shared" si="0"/>
        <v>43.625</v>
      </c>
    </row>
    <row r="59" spans="1:18" ht="13.5" customHeight="1" x14ac:dyDescent="0.2">
      <c r="A59" s="449" t="s">
        <v>1449</v>
      </c>
      <c r="B59" s="450" t="s">
        <v>1392</v>
      </c>
      <c r="C59" s="451" t="s">
        <v>1393</v>
      </c>
      <c r="D59" s="452">
        <v>18</v>
      </c>
      <c r="E59" s="452">
        <v>20.7</v>
      </c>
      <c r="F59" s="452">
        <v>27.9</v>
      </c>
      <c r="G59" s="452">
        <v>33.5</v>
      </c>
      <c r="H59" s="452">
        <v>40.799999999999997</v>
      </c>
      <c r="I59" s="452">
        <v>47</v>
      </c>
      <c r="J59" s="452">
        <v>53.2</v>
      </c>
      <c r="K59" s="452">
        <v>51.5</v>
      </c>
      <c r="L59" s="452">
        <v>42.9</v>
      </c>
      <c r="M59" s="452">
        <v>33.799999999999997</v>
      </c>
      <c r="N59" s="452">
        <v>24.4</v>
      </c>
      <c r="O59" s="452">
        <v>18.7</v>
      </c>
      <c r="P59" s="452">
        <v>34.4</v>
      </c>
      <c r="Q59" s="454">
        <v>1</v>
      </c>
      <c r="R59" s="455">
        <f t="shared" si="0"/>
        <v>34.36666666666666</v>
      </c>
    </row>
    <row r="60" spans="1:18" ht="13.5" customHeight="1" x14ac:dyDescent="0.2">
      <c r="A60" s="449" t="s">
        <v>1450</v>
      </c>
      <c r="B60" s="450" t="s">
        <v>1392</v>
      </c>
      <c r="C60" s="451" t="s">
        <v>1393</v>
      </c>
      <c r="D60" s="452">
        <v>17.7</v>
      </c>
      <c r="E60" s="452">
        <v>21.4</v>
      </c>
      <c r="F60" s="452">
        <v>29.8</v>
      </c>
      <c r="G60" s="452">
        <v>39.799999999999997</v>
      </c>
      <c r="H60" s="452">
        <v>49.3</v>
      </c>
      <c r="I60" s="452">
        <v>59.3</v>
      </c>
      <c r="J60" s="452">
        <v>64.900000000000006</v>
      </c>
      <c r="K60" s="452">
        <v>64</v>
      </c>
      <c r="L60" s="452">
        <v>55.3</v>
      </c>
      <c r="M60" s="452">
        <v>44.2</v>
      </c>
      <c r="N60" s="452">
        <v>33.299999999999997</v>
      </c>
      <c r="O60" s="452">
        <v>22.3</v>
      </c>
      <c r="P60" s="452">
        <v>41.8</v>
      </c>
      <c r="Q60" s="454">
        <v>1</v>
      </c>
      <c r="R60" s="455">
        <f t="shared" si="0"/>
        <v>41.775000000000006</v>
      </c>
    </row>
    <row r="61" spans="1:18" ht="13.5" customHeight="1" x14ac:dyDescent="0.2">
      <c r="A61" s="449" t="s">
        <v>1451</v>
      </c>
      <c r="B61" s="450" t="s">
        <v>1392</v>
      </c>
      <c r="C61" s="451" t="s">
        <v>1393</v>
      </c>
      <c r="D61" s="452">
        <v>15.3</v>
      </c>
      <c r="E61" s="452">
        <v>20.2</v>
      </c>
      <c r="F61" s="452">
        <v>29.9</v>
      </c>
      <c r="G61" s="452">
        <v>40.9</v>
      </c>
      <c r="H61" s="452">
        <v>51.2</v>
      </c>
      <c r="I61" s="452">
        <v>61</v>
      </c>
      <c r="J61" s="452">
        <v>65.099999999999994</v>
      </c>
      <c r="K61" s="452">
        <v>63.5</v>
      </c>
      <c r="L61" s="452">
        <v>54.2</v>
      </c>
      <c r="M61" s="452">
        <v>43.2</v>
      </c>
      <c r="N61" s="452">
        <v>31.9</v>
      </c>
      <c r="O61" s="452">
        <v>20.3</v>
      </c>
      <c r="P61" s="452">
        <v>41.4</v>
      </c>
      <c r="Q61" s="454">
        <v>1</v>
      </c>
      <c r="R61" s="455">
        <f t="shared" si="0"/>
        <v>41.391666666666666</v>
      </c>
    </row>
    <row r="62" spans="1:18" ht="13.5" customHeight="1" x14ac:dyDescent="0.2">
      <c r="A62" s="449" t="s">
        <v>1452</v>
      </c>
      <c r="B62" s="450" t="s">
        <v>1392</v>
      </c>
      <c r="C62" s="451" t="s">
        <v>1393</v>
      </c>
      <c r="D62" s="452">
        <v>17.8</v>
      </c>
      <c r="E62" s="452">
        <v>22.2</v>
      </c>
      <c r="F62" s="452">
        <v>31.4</v>
      </c>
      <c r="G62" s="452">
        <v>42.4</v>
      </c>
      <c r="H62" s="456">
        <v>52.4</v>
      </c>
      <c r="I62" s="452">
        <v>62</v>
      </c>
      <c r="J62" s="452">
        <v>65.8</v>
      </c>
      <c r="K62" s="452">
        <v>64.599999999999994</v>
      </c>
      <c r="L62" s="452">
        <v>55.7</v>
      </c>
      <c r="M62" s="452">
        <v>44.3</v>
      </c>
      <c r="N62" s="452">
        <v>33.299999999999997</v>
      </c>
      <c r="O62" s="452">
        <v>22.5</v>
      </c>
      <c r="P62" s="452">
        <v>42.9</v>
      </c>
      <c r="Q62" s="454">
        <v>1</v>
      </c>
      <c r="R62" s="455">
        <f t="shared" si="0"/>
        <v>42.866666666666674</v>
      </c>
    </row>
    <row r="63" spans="1:18" ht="13.5" customHeight="1" x14ac:dyDescent="0.2">
      <c r="A63" s="449" t="s">
        <v>1453</v>
      </c>
      <c r="B63" s="450" t="s">
        <v>1392</v>
      </c>
      <c r="C63" s="451" t="s">
        <v>1393</v>
      </c>
      <c r="D63" s="452">
        <v>14.1</v>
      </c>
      <c r="E63" s="452">
        <v>18.5</v>
      </c>
      <c r="F63" s="452">
        <v>27.7</v>
      </c>
      <c r="G63" s="452">
        <v>38.6</v>
      </c>
      <c r="H63" s="456">
        <v>48.9</v>
      </c>
      <c r="I63" s="452">
        <v>59.1</v>
      </c>
      <c r="J63" s="452">
        <v>62.8</v>
      </c>
      <c r="K63" s="452">
        <v>61.6</v>
      </c>
      <c r="L63" s="452">
        <v>52.6</v>
      </c>
      <c r="M63" s="452">
        <v>41.4</v>
      </c>
      <c r="N63" s="452">
        <v>30.6</v>
      </c>
      <c r="O63" s="452">
        <v>18.899999999999999</v>
      </c>
      <c r="P63" s="452">
        <v>39.6</v>
      </c>
      <c r="Q63" s="454">
        <v>1</v>
      </c>
      <c r="R63" s="455">
        <f t="shared" si="0"/>
        <v>39.56666666666667</v>
      </c>
    </row>
    <row r="64" spans="1:18" ht="13.5" customHeight="1" x14ac:dyDescent="0.2">
      <c r="A64" s="449" t="s">
        <v>1454</v>
      </c>
      <c r="B64" s="450" t="s">
        <v>1392</v>
      </c>
      <c r="C64" s="451" t="s">
        <v>1393</v>
      </c>
      <c r="D64" s="452">
        <v>19.899999999999999</v>
      </c>
      <c r="E64" s="452">
        <v>24.2</v>
      </c>
      <c r="F64" s="452">
        <v>32.9</v>
      </c>
      <c r="G64" s="452">
        <v>43.4</v>
      </c>
      <c r="H64" s="456">
        <v>53.8</v>
      </c>
      <c r="I64" s="452">
        <v>62.7</v>
      </c>
      <c r="J64" s="452">
        <v>65.599999999999994</v>
      </c>
      <c r="K64" s="452">
        <v>64.5</v>
      </c>
      <c r="L64" s="452">
        <v>55</v>
      </c>
      <c r="M64" s="452">
        <v>44.6</v>
      </c>
      <c r="N64" s="452">
        <v>34.6</v>
      </c>
      <c r="O64" s="452">
        <v>24.4</v>
      </c>
      <c r="P64" s="452">
        <v>43.8</v>
      </c>
      <c r="Q64" s="454">
        <v>1</v>
      </c>
      <c r="R64" s="455">
        <f t="shared" si="0"/>
        <v>43.800000000000004</v>
      </c>
    </row>
    <row r="65" spans="1:18" ht="13.5" customHeight="1" x14ac:dyDescent="0.2">
      <c r="A65" s="449" t="s">
        <v>1455</v>
      </c>
      <c r="B65" s="450" t="s">
        <v>1392</v>
      </c>
      <c r="C65" s="451" t="s">
        <v>1393</v>
      </c>
      <c r="D65" s="452">
        <v>25.9</v>
      </c>
      <c r="E65" s="452">
        <v>28.6</v>
      </c>
      <c r="F65" s="452">
        <v>36.299999999999997</v>
      </c>
      <c r="G65" s="452">
        <v>46.3</v>
      </c>
      <c r="H65" s="456">
        <v>56.2</v>
      </c>
      <c r="I65" s="452">
        <v>65.2</v>
      </c>
      <c r="J65" s="452">
        <v>68.599999999999994</v>
      </c>
      <c r="K65" s="452">
        <v>66.8</v>
      </c>
      <c r="L65" s="452">
        <v>58.1</v>
      </c>
      <c r="M65" s="452">
        <v>47.1</v>
      </c>
      <c r="N65" s="452">
        <v>37.4</v>
      </c>
      <c r="O65" s="452">
        <v>28.8</v>
      </c>
      <c r="P65" s="452">
        <v>47.1</v>
      </c>
      <c r="Q65" s="454">
        <v>1</v>
      </c>
      <c r="R65" s="455">
        <f t="shared" si="0"/>
        <v>47.108333333333341</v>
      </c>
    </row>
    <row r="66" spans="1:18" ht="13.5" customHeight="1" x14ac:dyDescent="0.2">
      <c r="A66" s="449" t="s">
        <v>1456</v>
      </c>
      <c r="B66" s="450" t="s">
        <v>1392</v>
      </c>
      <c r="C66" s="451" t="s">
        <v>1393</v>
      </c>
      <c r="D66" s="452">
        <v>18.600000000000001</v>
      </c>
      <c r="E66" s="452">
        <v>21.5</v>
      </c>
      <c r="F66" s="452">
        <v>29.6</v>
      </c>
      <c r="G66" s="452">
        <v>40</v>
      </c>
      <c r="H66" s="456">
        <v>50</v>
      </c>
      <c r="I66" s="452">
        <v>60.4</v>
      </c>
      <c r="J66" s="452">
        <v>63.2</v>
      </c>
      <c r="K66" s="452">
        <v>61.6</v>
      </c>
      <c r="L66" s="452">
        <v>53.1</v>
      </c>
      <c r="M66" s="452">
        <v>42.9</v>
      </c>
      <c r="N66" s="452">
        <v>33.5</v>
      </c>
      <c r="O66" s="452">
        <v>23.5</v>
      </c>
      <c r="P66" s="452">
        <v>41.5</v>
      </c>
      <c r="Q66" s="454">
        <v>1</v>
      </c>
      <c r="R66" s="455">
        <f t="shared" si="0"/>
        <v>41.491666666666667</v>
      </c>
    </row>
    <row r="67" spans="1:18" ht="13.5" customHeight="1" x14ac:dyDescent="0.2">
      <c r="A67" s="449" t="s">
        <v>1457</v>
      </c>
      <c r="B67" s="450" t="s">
        <v>1392</v>
      </c>
      <c r="C67" s="451" t="s">
        <v>1393</v>
      </c>
      <c r="D67" s="452">
        <v>21.5</v>
      </c>
      <c r="E67" s="452">
        <v>24.7</v>
      </c>
      <c r="F67" s="452">
        <v>33.299999999999997</v>
      </c>
      <c r="G67" s="452">
        <v>43.8</v>
      </c>
      <c r="H67" s="456">
        <v>53.5</v>
      </c>
      <c r="I67" s="452">
        <v>63.1</v>
      </c>
      <c r="J67" s="452">
        <v>66.2</v>
      </c>
      <c r="K67" s="452">
        <v>65.5</v>
      </c>
      <c r="L67" s="452">
        <v>57.2</v>
      </c>
      <c r="M67" s="452">
        <v>45.7</v>
      </c>
      <c r="N67" s="452">
        <v>35.700000000000003</v>
      </c>
      <c r="O67" s="452">
        <v>25.9</v>
      </c>
      <c r="P67" s="452">
        <v>44.7</v>
      </c>
      <c r="Q67" s="454">
        <v>1</v>
      </c>
      <c r="R67" s="455">
        <f t="shared" si="0"/>
        <v>44.675000000000004</v>
      </c>
    </row>
    <row r="68" spans="1:18" ht="13.5" customHeight="1" x14ac:dyDescent="0.2">
      <c r="A68" s="449" t="s">
        <v>1458</v>
      </c>
      <c r="B68" s="450" t="s">
        <v>1392</v>
      </c>
      <c r="C68" s="451" t="s">
        <v>1393</v>
      </c>
      <c r="D68" s="452">
        <v>18.600000000000001</v>
      </c>
      <c r="E68" s="452">
        <v>21.4</v>
      </c>
      <c r="F68" s="452">
        <v>28.9</v>
      </c>
      <c r="G68" s="452">
        <v>39.200000000000003</v>
      </c>
      <c r="H68" s="456">
        <v>49.2</v>
      </c>
      <c r="I68" s="452">
        <v>59.4</v>
      </c>
      <c r="J68" s="452">
        <v>63.3</v>
      </c>
      <c r="K68" s="452">
        <v>62.2</v>
      </c>
      <c r="L68" s="452">
        <v>54</v>
      </c>
      <c r="M68" s="452">
        <v>43.4</v>
      </c>
      <c r="N68" s="452">
        <v>33.5</v>
      </c>
      <c r="O68" s="452">
        <v>23.6</v>
      </c>
      <c r="P68" s="452">
        <v>41.4</v>
      </c>
      <c r="Q68" s="454">
        <v>1</v>
      </c>
      <c r="R68" s="455">
        <f t="shared" ref="R68:R131" si="1">AVERAGE(D68:O68)</f>
        <v>41.391666666666666</v>
      </c>
    </row>
    <row r="69" spans="1:18" ht="13.5" customHeight="1" x14ac:dyDescent="0.2">
      <c r="A69" s="449" t="s">
        <v>1459</v>
      </c>
      <c r="B69" s="450" t="s">
        <v>1392</v>
      </c>
      <c r="C69" s="451" t="s">
        <v>1393</v>
      </c>
      <c r="D69" s="452">
        <v>14.1</v>
      </c>
      <c r="E69" s="452">
        <v>19.3</v>
      </c>
      <c r="F69" s="456">
        <v>29.6</v>
      </c>
      <c r="G69" s="456">
        <v>41.3</v>
      </c>
      <c r="H69" s="456">
        <v>52.4</v>
      </c>
      <c r="I69" s="452">
        <v>62.4</v>
      </c>
      <c r="J69" s="452">
        <v>66.599999999999994</v>
      </c>
      <c r="K69" s="452">
        <v>64.900000000000006</v>
      </c>
      <c r="L69" s="452">
        <v>55.1</v>
      </c>
      <c r="M69" s="452">
        <v>43.6</v>
      </c>
      <c r="N69" s="452">
        <v>30.9</v>
      </c>
      <c r="O69" s="452">
        <v>19.3</v>
      </c>
      <c r="P69" s="452">
        <v>41.6</v>
      </c>
      <c r="Q69" s="454">
        <v>1</v>
      </c>
      <c r="R69" s="455">
        <f t="shared" si="1"/>
        <v>41.625000000000007</v>
      </c>
    </row>
    <row r="70" spans="1:18" ht="13.5" customHeight="1" x14ac:dyDescent="0.2">
      <c r="A70" s="449" t="s">
        <v>1460</v>
      </c>
      <c r="B70" s="450" t="s">
        <v>1392</v>
      </c>
      <c r="C70" s="451" t="s">
        <v>1393</v>
      </c>
      <c r="D70" s="452">
        <v>11.8</v>
      </c>
      <c r="E70" s="452">
        <v>16.7</v>
      </c>
      <c r="F70" s="456">
        <v>27</v>
      </c>
      <c r="G70" s="456">
        <v>38.4</v>
      </c>
      <c r="H70" s="456">
        <v>49</v>
      </c>
      <c r="I70" s="452">
        <v>58.9</v>
      </c>
      <c r="J70" s="452">
        <v>62.3</v>
      </c>
      <c r="K70" s="452">
        <v>60.9</v>
      </c>
      <c r="L70" s="452">
        <v>52.1</v>
      </c>
      <c r="M70" s="452">
        <v>40.700000000000003</v>
      </c>
      <c r="N70" s="452">
        <v>29.2</v>
      </c>
      <c r="O70" s="452">
        <v>17</v>
      </c>
      <c r="P70" s="452">
        <v>38.700000000000003</v>
      </c>
      <c r="Q70" s="454">
        <v>1</v>
      </c>
      <c r="R70" s="455">
        <f t="shared" si="1"/>
        <v>38.666666666666664</v>
      </c>
    </row>
    <row r="71" spans="1:18" ht="13.5" customHeight="1" x14ac:dyDescent="0.2">
      <c r="A71" s="449" t="s">
        <v>1461</v>
      </c>
      <c r="B71" s="450" t="s">
        <v>1392</v>
      </c>
      <c r="C71" s="451" t="s">
        <v>1393</v>
      </c>
      <c r="D71" s="452">
        <v>7.8</v>
      </c>
      <c r="E71" s="452">
        <v>12.9</v>
      </c>
      <c r="F71" s="456">
        <v>24.1</v>
      </c>
      <c r="G71" s="456">
        <v>35.700000000000003</v>
      </c>
      <c r="H71" s="456">
        <v>47.4</v>
      </c>
      <c r="I71" s="452">
        <v>57.7</v>
      </c>
      <c r="J71" s="452">
        <v>61</v>
      </c>
      <c r="K71" s="452">
        <v>58.6</v>
      </c>
      <c r="L71" s="452">
        <v>48.9</v>
      </c>
      <c r="M71" s="452">
        <v>37.700000000000003</v>
      </c>
      <c r="N71" s="452">
        <v>25.5</v>
      </c>
      <c r="O71" s="452">
        <v>13.5</v>
      </c>
      <c r="P71" s="452">
        <v>35.9</v>
      </c>
      <c r="Q71" s="454">
        <v>1</v>
      </c>
      <c r="R71" s="455">
        <f t="shared" si="1"/>
        <v>35.9</v>
      </c>
    </row>
    <row r="72" spans="1:18" ht="13.5" customHeight="1" x14ac:dyDescent="0.2">
      <c r="A72" s="449" t="s">
        <v>1462</v>
      </c>
      <c r="B72" s="450" t="s">
        <v>1392</v>
      </c>
      <c r="C72" s="451" t="s">
        <v>1393</v>
      </c>
      <c r="D72" s="452">
        <v>11</v>
      </c>
      <c r="E72" s="452">
        <v>16.5</v>
      </c>
      <c r="F72" s="456">
        <v>26.3</v>
      </c>
      <c r="G72" s="456">
        <v>37.9</v>
      </c>
      <c r="H72" s="456">
        <v>49.7</v>
      </c>
      <c r="I72" s="452">
        <v>59.7</v>
      </c>
      <c r="J72" s="452">
        <v>63.9</v>
      </c>
      <c r="K72" s="452">
        <v>61.6</v>
      </c>
      <c r="L72" s="452">
        <v>51.2</v>
      </c>
      <c r="M72" s="452">
        <v>39.200000000000003</v>
      </c>
      <c r="N72" s="452">
        <v>26.2</v>
      </c>
      <c r="O72" s="452">
        <v>15.3</v>
      </c>
      <c r="P72" s="452">
        <v>38.200000000000003</v>
      </c>
      <c r="Q72" s="454">
        <v>1</v>
      </c>
      <c r="R72" s="455">
        <f t="shared" si="1"/>
        <v>38.208333333333329</v>
      </c>
    </row>
    <row r="73" spans="1:18" ht="13.5" customHeight="1" x14ac:dyDescent="0.2">
      <c r="A73" s="449" t="s">
        <v>1463</v>
      </c>
      <c r="B73" s="450" t="s">
        <v>1392</v>
      </c>
      <c r="C73" s="451" t="s">
        <v>1393</v>
      </c>
      <c r="D73" s="452">
        <v>9.6999999999999993</v>
      </c>
      <c r="E73" s="452">
        <v>15.3</v>
      </c>
      <c r="F73" s="456">
        <v>26.2</v>
      </c>
      <c r="G73" s="456">
        <v>37.700000000000003</v>
      </c>
      <c r="H73" s="456">
        <v>49.4</v>
      </c>
      <c r="I73" s="452">
        <v>59.7</v>
      </c>
      <c r="J73" s="452">
        <v>62.8</v>
      </c>
      <c r="K73" s="452">
        <v>60.4</v>
      </c>
      <c r="L73" s="452">
        <v>51</v>
      </c>
      <c r="M73" s="452">
        <v>39.6</v>
      </c>
      <c r="N73" s="452">
        <v>27.4</v>
      </c>
      <c r="O73" s="452">
        <v>15.3</v>
      </c>
      <c r="P73" s="452">
        <v>37.9</v>
      </c>
      <c r="Q73" s="454">
        <v>1</v>
      </c>
      <c r="R73" s="455">
        <f t="shared" si="1"/>
        <v>37.875</v>
      </c>
    </row>
    <row r="74" spans="1:18" ht="13.5" customHeight="1" x14ac:dyDescent="0.2">
      <c r="A74" s="449" t="s">
        <v>1464</v>
      </c>
      <c r="B74" s="450" t="s">
        <v>1392</v>
      </c>
      <c r="C74" s="451" t="s">
        <v>1393</v>
      </c>
      <c r="D74" s="452">
        <v>19.3</v>
      </c>
      <c r="E74" s="452">
        <v>23.3</v>
      </c>
      <c r="F74" s="456">
        <v>31.9</v>
      </c>
      <c r="G74" s="456">
        <v>42</v>
      </c>
      <c r="H74" s="456">
        <v>52.8</v>
      </c>
      <c r="I74" s="452">
        <v>62.7</v>
      </c>
      <c r="J74" s="452">
        <v>68</v>
      </c>
      <c r="K74" s="452">
        <v>66.099999999999994</v>
      </c>
      <c r="L74" s="452">
        <v>56.5</v>
      </c>
      <c r="M74" s="452">
        <v>44.6</v>
      </c>
      <c r="N74" s="452">
        <v>32</v>
      </c>
      <c r="O74" s="452">
        <v>22.1</v>
      </c>
      <c r="P74" s="452">
        <v>43.4</v>
      </c>
      <c r="Q74" s="454">
        <v>1</v>
      </c>
      <c r="R74" s="455">
        <f t="shared" si="1"/>
        <v>43.44166666666667</v>
      </c>
    </row>
    <row r="75" spans="1:18" ht="13.5" customHeight="1" x14ac:dyDescent="0.2">
      <c r="A75" s="449" t="s">
        <v>1465</v>
      </c>
      <c r="B75" s="450" t="s">
        <v>1392</v>
      </c>
      <c r="C75" s="451" t="s">
        <v>1393</v>
      </c>
      <c r="D75" s="452">
        <v>20.8</v>
      </c>
      <c r="E75" s="452">
        <v>24.4</v>
      </c>
      <c r="F75" s="456">
        <v>31.6</v>
      </c>
      <c r="G75" s="456">
        <v>40.9</v>
      </c>
      <c r="H75" s="456">
        <v>52.1</v>
      </c>
      <c r="I75" s="452">
        <v>61.4</v>
      </c>
      <c r="J75" s="452">
        <v>66.7</v>
      </c>
      <c r="K75" s="452">
        <v>65.400000000000006</v>
      </c>
      <c r="L75" s="452">
        <v>56.1</v>
      </c>
      <c r="M75" s="452">
        <v>43.7</v>
      </c>
      <c r="N75" s="452">
        <v>30.7</v>
      </c>
      <c r="O75" s="452">
        <v>22.6</v>
      </c>
      <c r="P75" s="452">
        <v>43</v>
      </c>
      <c r="Q75" s="454">
        <v>1</v>
      </c>
      <c r="R75" s="455">
        <f t="shared" si="1"/>
        <v>43.033333333333339</v>
      </c>
    </row>
    <row r="76" spans="1:18" ht="13.5" customHeight="1" x14ac:dyDescent="0.2">
      <c r="A76" s="449" t="s">
        <v>1466</v>
      </c>
      <c r="B76" s="450" t="s">
        <v>1392</v>
      </c>
      <c r="C76" s="451" t="s">
        <v>1393</v>
      </c>
      <c r="D76" s="452">
        <v>17.7</v>
      </c>
      <c r="E76" s="452">
        <v>20.399999999999999</v>
      </c>
      <c r="F76" s="452">
        <v>27.1</v>
      </c>
      <c r="G76" s="452">
        <v>35.299999999999997</v>
      </c>
      <c r="H76" s="452">
        <v>46.3</v>
      </c>
      <c r="I76" s="452">
        <v>56.3</v>
      </c>
      <c r="J76" s="452">
        <v>62</v>
      </c>
      <c r="K76" s="452">
        <v>60.5</v>
      </c>
      <c r="L76" s="452">
        <v>50.6</v>
      </c>
      <c r="M76" s="452">
        <v>38.1</v>
      </c>
      <c r="N76" s="452">
        <v>26.5</v>
      </c>
      <c r="O76" s="452">
        <v>18.8</v>
      </c>
      <c r="P76" s="452">
        <v>38.299999999999997</v>
      </c>
      <c r="Q76" s="454">
        <v>1</v>
      </c>
      <c r="R76" s="455">
        <f t="shared" si="1"/>
        <v>38.300000000000004</v>
      </c>
    </row>
    <row r="77" spans="1:18" ht="13.5" customHeight="1" x14ac:dyDescent="0.2">
      <c r="A77" s="449" t="s">
        <v>1467</v>
      </c>
      <c r="B77" s="450" t="s">
        <v>1392</v>
      </c>
      <c r="C77" s="451" t="s">
        <v>1393</v>
      </c>
      <c r="D77" s="452">
        <v>18.8</v>
      </c>
      <c r="E77" s="452">
        <v>22.8</v>
      </c>
      <c r="F77" s="452">
        <v>31.4</v>
      </c>
      <c r="G77" s="452">
        <v>40.9</v>
      </c>
      <c r="H77" s="452">
        <v>52.3</v>
      </c>
      <c r="I77" s="452">
        <v>62.4</v>
      </c>
      <c r="J77" s="452">
        <v>67.599999999999994</v>
      </c>
      <c r="K77" s="452">
        <v>66.3</v>
      </c>
      <c r="L77" s="452">
        <v>56.5</v>
      </c>
      <c r="M77" s="452">
        <v>43.7</v>
      </c>
      <c r="N77" s="452">
        <v>30.5</v>
      </c>
      <c r="O77" s="452">
        <v>21.3</v>
      </c>
      <c r="P77" s="452">
        <v>42.9</v>
      </c>
      <c r="Q77" s="454">
        <v>1</v>
      </c>
      <c r="R77" s="455">
        <f t="shared" si="1"/>
        <v>42.875</v>
      </c>
    </row>
    <row r="78" spans="1:18" ht="13.5" customHeight="1" x14ac:dyDescent="0.2">
      <c r="A78" s="449" t="s">
        <v>1468</v>
      </c>
      <c r="B78" s="450" t="s">
        <v>1392</v>
      </c>
      <c r="C78" s="451" t="s">
        <v>1393</v>
      </c>
      <c r="D78" s="452">
        <v>20.3</v>
      </c>
      <c r="E78" s="452">
        <v>25.1</v>
      </c>
      <c r="F78" s="452">
        <v>33.700000000000003</v>
      </c>
      <c r="G78" s="452">
        <v>44.3</v>
      </c>
      <c r="H78" s="452">
        <v>55</v>
      </c>
      <c r="I78" s="452">
        <v>64.599999999999994</v>
      </c>
      <c r="J78" s="452">
        <v>69.3</v>
      </c>
      <c r="K78" s="452">
        <v>67.400000000000006</v>
      </c>
      <c r="L78" s="452">
        <v>57</v>
      </c>
      <c r="M78" s="452">
        <v>45.8</v>
      </c>
      <c r="N78" s="452">
        <v>33.799999999999997</v>
      </c>
      <c r="O78" s="452">
        <v>24</v>
      </c>
      <c r="P78" s="452">
        <v>45</v>
      </c>
      <c r="Q78" s="454">
        <v>1</v>
      </c>
      <c r="R78" s="455">
        <f t="shared" si="1"/>
        <v>45.025000000000006</v>
      </c>
    </row>
    <row r="79" spans="1:18" ht="13.5" customHeight="1" x14ac:dyDescent="0.2">
      <c r="A79" s="449" t="s">
        <v>1469</v>
      </c>
      <c r="B79" s="450" t="s">
        <v>1392</v>
      </c>
      <c r="C79" s="451" t="s">
        <v>1393</v>
      </c>
      <c r="D79" s="452">
        <v>23.1</v>
      </c>
      <c r="E79" s="452">
        <v>27.4</v>
      </c>
      <c r="F79" s="452">
        <v>35.700000000000003</v>
      </c>
      <c r="G79" s="452">
        <v>45.2</v>
      </c>
      <c r="H79" s="452">
        <v>56.2</v>
      </c>
      <c r="I79" s="452">
        <v>65.5</v>
      </c>
      <c r="J79" s="452">
        <v>70.3</v>
      </c>
      <c r="K79" s="452">
        <v>69.3</v>
      </c>
      <c r="L79" s="452">
        <v>60</v>
      </c>
      <c r="M79" s="452">
        <v>47.7</v>
      </c>
      <c r="N79" s="452">
        <v>35.5</v>
      </c>
      <c r="O79" s="452">
        <v>25.8</v>
      </c>
      <c r="P79" s="452">
        <v>46.8</v>
      </c>
      <c r="Q79" s="454">
        <v>1</v>
      </c>
      <c r="R79" s="455">
        <f t="shared" si="1"/>
        <v>46.808333333333337</v>
      </c>
    </row>
    <row r="80" spans="1:18" ht="13.5" customHeight="1" x14ac:dyDescent="0.2">
      <c r="A80" s="449" t="s">
        <v>1470</v>
      </c>
      <c r="B80" s="450" t="s">
        <v>1392</v>
      </c>
      <c r="C80" s="451" t="s">
        <v>1393</v>
      </c>
      <c r="D80" s="452">
        <v>23.8</v>
      </c>
      <c r="E80" s="452">
        <v>26.2</v>
      </c>
      <c r="F80" s="452">
        <v>34.1</v>
      </c>
      <c r="G80" s="452">
        <v>44.3</v>
      </c>
      <c r="H80" s="452">
        <v>53.7</v>
      </c>
      <c r="I80" s="452">
        <v>62.5</v>
      </c>
      <c r="J80" s="452">
        <v>66.099999999999994</v>
      </c>
      <c r="K80" s="452">
        <v>65.400000000000006</v>
      </c>
      <c r="L80" s="452">
        <v>57.4</v>
      </c>
      <c r="M80" s="452">
        <v>45.9</v>
      </c>
      <c r="N80" s="452">
        <v>36.200000000000003</v>
      </c>
      <c r="O80" s="452">
        <v>27.4</v>
      </c>
      <c r="P80" s="452">
        <v>45.2</v>
      </c>
      <c r="Q80" s="454">
        <v>1</v>
      </c>
      <c r="R80" s="455">
        <f t="shared" si="1"/>
        <v>45.249999999999993</v>
      </c>
    </row>
    <row r="81" spans="1:18" ht="13.5" customHeight="1" x14ac:dyDescent="0.2">
      <c r="A81" s="449" t="s">
        <v>1471</v>
      </c>
      <c r="B81" s="450" t="s">
        <v>1392</v>
      </c>
      <c r="C81" s="451" t="s">
        <v>1393</v>
      </c>
      <c r="D81" s="452">
        <v>27.9</v>
      </c>
      <c r="E81" s="452">
        <v>30.5</v>
      </c>
      <c r="F81" s="452">
        <v>37.799999999999997</v>
      </c>
      <c r="G81" s="452">
        <v>47.7</v>
      </c>
      <c r="H81" s="452">
        <v>55.4</v>
      </c>
      <c r="I81" s="452">
        <v>63.1</v>
      </c>
      <c r="J81" s="452">
        <v>66.599999999999994</v>
      </c>
      <c r="K81" s="452">
        <v>65.7</v>
      </c>
      <c r="L81" s="452">
        <v>58.9</v>
      </c>
      <c r="M81" s="452">
        <v>48.7</v>
      </c>
      <c r="N81" s="452">
        <v>39.6</v>
      </c>
      <c r="O81" s="452">
        <v>31.4</v>
      </c>
      <c r="P81" s="452">
        <v>47.8</v>
      </c>
      <c r="Q81" s="454">
        <v>1</v>
      </c>
      <c r="R81" s="455">
        <f t="shared" si="1"/>
        <v>47.774999999999999</v>
      </c>
    </row>
    <row r="82" spans="1:18" ht="13.5" customHeight="1" x14ac:dyDescent="0.2">
      <c r="A82" s="449" t="s">
        <v>1472</v>
      </c>
      <c r="B82" s="450" t="s">
        <v>1392</v>
      </c>
      <c r="C82" s="451" t="s">
        <v>1393</v>
      </c>
      <c r="D82" s="452">
        <v>25.9</v>
      </c>
      <c r="E82" s="452">
        <v>28.5</v>
      </c>
      <c r="F82" s="453">
        <v>35.9</v>
      </c>
      <c r="G82" s="453">
        <v>45.6</v>
      </c>
      <c r="H82" s="452">
        <v>55</v>
      </c>
      <c r="I82" s="453">
        <v>63.4</v>
      </c>
      <c r="J82" s="452">
        <v>66.900000000000006</v>
      </c>
      <c r="K82" s="452">
        <v>65.8</v>
      </c>
      <c r="L82" s="452">
        <v>58.3</v>
      </c>
      <c r="M82" s="452">
        <v>47.1</v>
      </c>
      <c r="N82" s="452">
        <v>37.4</v>
      </c>
      <c r="O82" s="452">
        <v>28.9</v>
      </c>
      <c r="P82" s="452">
        <v>46.5</v>
      </c>
      <c r="Q82" s="454">
        <v>1</v>
      </c>
      <c r="R82" s="455">
        <f t="shared" si="1"/>
        <v>46.558333333333337</v>
      </c>
    </row>
    <row r="83" spans="1:18" ht="13.5" customHeight="1" x14ac:dyDescent="0.2">
      <c r="A83" s="449" t="s">
        <v>1473</v>
      </c>
      <c r="B83" s="450" t="s">
        <v>1392</v>
      </c>
      <c r="C83" s="451" t="s">
        <v>1393</v>
      </c>
      <c r="D83" s="452">
        <v>27.7</v>
      </c>
      <c r="E83" s="452">
        <v>30.5</v>
      </c>
      <c r="F83" s="453">
        <v>38.200000000000003</v>
      </c>
      <c r="G83" s="453">
        <v>48.2</v>
      </c>
      <c r="H83" s="452">
        <v>57.8</v>
      </c>
      <c r="I83" s="453">
        <v>66.8</v>
      </c>
      <c r="J83" s="452">
        <v>70.3</v>
      </c>
      <c r="K83" s="452">
        <v>69.400000000000006</v>
      </c>
      <c r="L83" s="452">
        <v>61.2</v>
      </c>
      <c r="M83" s="452">
        <v>49.7</v>
      </c>
      <c r="N83" s="452">
        <v>39.700000000000003</v>
      </c>
      <c r="O83" s="452">
        <v>30.9</v>
      </c>
      <c r="P83" s="452">
        <v>49.2</v>
      </c>
      <c r="Q83" s="454">
        <v>1</v>
      </c>
      <c r="R83" s="455">
        <f t="shared" si="1"/>
        <v>49.20000000000001</v>
      </c>
    </row>
    <row r="84" spans="1:18" ht="13.5" customHeight="1" x14ac:dyDescent="0.2">
      <c r="A84" s="449" t="s">
        <v>1474</v>
      </c>
      <c r="B84" s="450" t="s">
        <v>1392</v>
      </c>
      <c r="C84" s="451" t="s">
        <v>1393</v>
      </c>
      <c r="D84" s="452">
        <v>27.4</v>
      </c>
      <c r="E84" s="452">
        <v>30.6</v>
      </c>
      <c r="F84" s="453">
        <v>38.299999999999997</v>
      </c>
      <c r="G84" s="453">
        <v>47.8</v>
      </c>
      <c r="H84" s="452">
        <v>57.2</v>
      </c>
      <c r="I84" s="453">
        <v>65.7</v>
      </c>
      <c r="J84" s="452">
        <v>69.099999999999994</v>
      </c>
      <c r="K84" s="452">
        <v>66.8</v>
      </c>
      <c r="L84" s="452">
        <v>58.2</v>
      </c>
      <c r="M84" s="452">
        <v>47.5</v>
      </c>
      <c r="N84" s="452">
        <v>38.200000000000003</v>
      </c>
      <c r="O84" s="452">
        <v>30</v>
      </c>
      <c r="P84" s="452">
        <v>48.1</v>
      </c>
      <c r="Q84" s="454">
        <v>1</v>
      </c>
      <c r="R84" s="455">
        <f t="shared" si="1"/>
        <v>48.06666666666667</v>
      </c>
    </row>
    <row r="85" spans="1:18" ht="13.5" customHeight="1" x14ac:dyDescent="0.2">
      <c r="A85" s="449" t="s">
        <v>1475</v>
      </c>
      <c r="B85" s="450" t="s">
        <v>1392</v>
      </c>
      <c r="C85" s="451" t="s">
        <v>1393</v>
      </c>
      <c r="D85" s="452">
        <v>42.2</v>
      </c>
      <c r="E85" s="452">
        <v>44.5</v>
      </c>
      <c r="F85" s="453">
        <v>50.5</v>
      </c>
      <c r="G85" s="453">
        <v>56.9</v>
      </c>
      <c r="H85" s="452">
        <v>65.5</v>
      </c>
      <c r="I85" s="453">
        <v>71.400000000000006</v>
      </c>
      <c r="J85" s="452">
        <v>73.900000000000006</v>
      </c>
      <c r="K85" s="452">
        <v>73.2</v>
      </c>
      <c r="L85" s="452">
        <v>68.599999999999994</v>
      </c>
      <c r="M85" s="452">
        <v>58.1</v>
      </c>
      <c r="N85" s="452">
        <v>48.2</v>
      </c>
      <c r="O85" s="452">
        <v>42.8</v>
      </c>
      <c r="P85" s="452">
        <v>58</v>
      </c>
      <c r="Q85" s="454">
        <v>1</v>
      </c>
      <c r="R85" s="455">
        <f t="shared" si="1"/>
        <v>57.983333333333327</v>
      </c>
    </row>
    <row r="86" spans="1:18" ht="13.5" customHeight="1" x14ac:dyDescent="0.2">
      <c r="A86" s="449" t="s">
        <v>1476</v>
      </c>
      <c r="B86" s="450" t="s">
        <v>1392</v>
      </c>
      <c r="C86" s="451" t="s">
        <v>1393</v>
      </c>
      <c r="D86" s="452">
        <v>43.4</v>
      </c>
      <c r="E86" s="452">
        <v>46.1</v>
      </c>
      <c r="F86" s="453">
        <v>52.1</v>
      </c>
      <c r="G86" s="453">
        <v>59</v>
      </c>
      <c r="H86" s="452">
        <v>67.5</v>
      </c>
      <c r="I86" s="453">
        <v>73.400000000000006</v>
      </c>
      <c r="J86" s="452">
        <v>75.400000000000006</v>
      </c>
      <c r="K86" s="452">
        <v>74.599999999999994</v>
      </c>
      <c r="L86" s="452">
        <v>69.900000000000006</v>
      </c>
      <c r="M86" s="452">
        <v>60.3</v>
      </c>
      <c r="N86" s="452">
        <v>50.5</v>
      </c>
      <c r="O86" s="452">
        <v>44.6</v>
      </c>
      <c r="P86" s="452">
        <v>59.7</v>
      </c>
      <c r="Q86" s="454">
        <v>1</v>
      </c>
      <c r="R86" s="455">
        <f t="shared" si="1"/>
        <v>59.733333333333327</v>
      </c>
    </row>
    <row r="87" spans="1:18" ht="13.5" customHeight="1" x14ac:dyDescent="0.2">
      <c r="A87" s="449" t="s">
        <v>1477</v>
      </c>
      <c r="B87" s="450" t="s">
        <v>1392</v>
      </c>
      <c r="C87" s="451" t="s">
        <v>1393</v>
      </c>
      <c r="D87" s="452">
        <v>45.7</v>
      </c>
      <c r="E87" s="452">
        <v>48.1</v>
      </c>
      <c r="F87" s="453">
        <v>53.8</v>
      </c>
      <c r="G87" s="453">
        <v>60.5</v>
      </c>
      <c r="H87" s="452">
        <v>68.599999999999994</v>
      </c>
      <c r="I87" s="453">
        <v>73.900000000000006</v>
      </c>
      <c r="J87" s="452">
        <v>75.7</v>
      </c>
      <c r="K87" s="452">
        <v>75.599999999999994</v>
      </c>
      <c r="L87" s="452">
        <v>72.7</v>
      </c>
      <c r="M87" s="452">
        <v>63.4</v>
      </c>
      <c r="N87" s="452">
        <v>52.9</v>
      </c>
      <c r="O87" s="452">
        <v>46.9</v>
      </c>
      <c r="P87" s="452">
        <v>61.5</v>
      </c>
      <c r="Q87" s="454">
        <v>1</v>
      </c>
      <c r="R87" s="455">
        <f t="shared" si="1"/>
        <v>61.483333333333327</v>
      </c>
    </row>
    <row r="88" spans="1:18" ht="13.5" customHeight="1" x14ac:dyDescent="0.2">
      <c r="A88" s="449" t="s">
        <v>1478</v>
      </c>
      <c r="B88" s="450" t="s">
        <v>1392</v>
      </c>
      <c r="C88" s="451" t="s">
        <v>1393</v>
      </c>
      <c r="D88" s="452">
        <v>38.200000000000003</v>
      </c>
      <c r="E88" s="452">
        <v>41.3</v>
      </c>
      <c r="F88" s="453">
        <v>47.8</v>
      </c>
      <c r="G88" s="453">
        <v>54.9</v>
      </c>
      <c r="H88" s="452">
        <v>64.3</v>
      </c>
      <c r="I88" s="453">
        <v>70.900000000000006</v>
      </c>
      <c r="J88" s="452">
        <v>74</v>
      </c>
      <c r="K88" s="452">
        <v>73.400000000000006</v>
      </c>
      <c r="L88" s="452">
        <v>67.2</v>
      </c>
      <c r="M88" s="452">
        <v>56.1</v>
      </c>
      <c r="N88" s="452">
        <v>46</v>
      </c>
      <c r="O88" s="452">
        <v>39.200000000000003</v>
      </c>
      <c r="P88" s="452">
        <v>56.1</v>
      </c>
      <c r="Q88" s="454">
        <v>1</v>
      </c>
      <c r="R88" s="455">
        <f t="shared" si="1"/>
        <v>56.108333333333341</v>
      </c>
    </row>
    <row r="89" spans="1:18" ht="13.5" customHeight="1" x14ac:dyDescent="0.2">
      <c r="A89" s="449" t="s">
        <v>1479</v>
      </c>
      <c r="B89" s="450" t="s">
        <v>1392</v>
      </c>
      <c r="C89" s="451" t="s">
        <v>1393</v>
      </c>
      <c r="D89" s="452">
        <v>8.5</v>
      </c>
      <c r="E89" s="452">
        <v>11.1</v>
      </c>
      <c r="F89" s="452">
        <v>21.7</v>
      </c>
      <c r="G89" s="452">
        <v>32.9</v>
      </c>
      <c r="H89" s="452">
        <v>43.3</v>
      </c>
      <c r="I89" s="452">
        <v>53.3</v>
      </c>
      <c r="J89" s="452">
        <v>58.8</v>
      </c>
      <c r="K89" s="452">
        <v>57.1</v>
      </c>
      <c r="L89" s="452">
        <v>48.7</v>
      </c>
      <c r="M89" s="452">
        <v>37.799999999999997</v>
      </c>
      <c r="N89" s="452">
        <v>29.5</v>
      </c>
      <c r="O89" s="452">
        <v>17.3</v>
      </c>
      <c r="P89" s="452">
        <v>35</v>
      </c>
      <c r="Q89" s="454">
        <v>1</v>
      </c>
      <c r="R89" s="455">
        <f t="shared" si="1"/>
        <v>35</v>
      </c>
    </row>
    <row r="90" spans="1:18" ht="13.5" customHeight="1" x14ac:dyDescent="0.2">
      <c r="A90" s="449" t="s">
        <v>1480</v>
      </c>
      <c r="B90" s="450" t="s">
        <v>1392</v>
      </c>
      <c r="C90" s="451" t="s">
        <v>1393</v>
      </c>
      <c r="D90" s="452">
        <v>1.7</v>
      </c>
      <c r="E90" s="452">
        <v>4.4000000000000004</v>
      </c>
      <c r="F90" s="452">
        <v>15.9</v>
      </c>
      <c r="G90" s="452">
        <v>29.6</v>
      </c>
      <c r="H90" s="452">
        <v>40.9</v>
      </c>
      <c r="I90" s="452">
        <v>50.6</v>
      </c>
      <c r="J90" s="452">
        <v>55.9</v>
      </c>
      <c r="K90" s="452">
        <v>53.4</v>
      </c>
      <c r="L90" s="452">
        <v>45.3</v>
      </c>
      <c r="M90" s="452">
        <v>35.200000000000003</v>
      </c>
      <c r="N90" s="452">
        <v>25.5</v>
      </c>
      <c r="O90" s="452">
        <v>12.1</v>
      </c>
      <c r="P90" s="452">
        <v>30.9</v>
      </c>
      <c r="Q90" s="454">
        <v>1</v>
      </c>
      <c r="R90" s="455">
        <f t="shared" si="1"/>
        <v>30.875</v>
      </c>
    </row>
    <row r="91" spans="1:18" ht="13.5" customHeight="1" x14ac:dyDescent="0.2">
      <c r="A91" s="449" t="s">
        <v>1481</v>
      </c>
      <c r="B91" s="450" t="s">
        <v>1392</v>
      </c>
      <c r="C91" s="451" t="s">
        <v>1393</v>
      </c>
      <c r="D91" s="452">
        <v>14.9</v>
      </c>
      <c r="E91" s="452">
        <v>17.100000000000001</v>
      </c>
      <c r="F91" s="452">
        <v>25.8</v>
      </c>
      <c r="G91" s="452">
        <v>35.299999999999997</v>
      </c>
      <c r="H91" s="452">
        <v>44.8</v>
      </c>
      <c r="I91" s="452">
        <v>54.8</v>
      </c>
      <c r="J91" s="452">
        <v>60.2</v>
      </c>
      <c r="K91" s="452">
        <v>59.2</v>
      </c>
      <c r="L91" s="452">
        <v>51.5</v>
      </c>
      <c r="M91" s="452">
        <v>40</v>
      </c>
      <c r="N91" s="452">
        <v>31.9</v>
      </c>
      <c r="O91" s="452">
        <v>21.9</v>
      </c>
      <c r="P91" s="452">
        <v>38.1</v>
      </c>
      <c r="Q91" s="454">
        <v>1</v>
      </c>
      <c r="R91" s="455">
        <f t="shared" si="1"/>
        <v>38.11666666666666</v>
      </c>
    </row>
    <row r="92" spans="1:18" ht="13.5" customHeight="1" x14ac:dyDescent="0.2">
      <c r="A92" s="449" t="s">
        <v>1482</v>
      </c>
      <c r="B92" s="450" t="s">
        <v>1392</v>
      </c>
      <c r="C92" s="451" t="s">
        <v>1393</v>
      </c>
      <c r="D92" s="452">
        <v>26.6</v>
      </c>
      <c r="E92" s="452">
        <v>27.4</v>
      </c>
      <c r="F92" s="452">
        <v>34.799999999999997</v>
      </c>
      <c r="G92" s="452">
        <v>44.3</v>
      </c>
      <c r="H92" s="452">
        <v>53.2</v>
      </c>
      <c r="I92" s="452">
        <v>63.1</v>
      </c>
      <c r="J92" s="452">
        <v>68</v>
      </c>
      <c r="K92" s="452">
        <v>66.599999999999994</v>
      </c>
      <c r="L92" s="452">
        <v>59.1</v>
      </c>
      <c r="M92" s="452">
        <v>46.6</v>
      </c>
      <c r="N92" s="452">
        <v>37.700000000000003</v>
      </c>
      <c r="O92" s="452">
        <v>29.6</v>
      </c>
      <c r="P92" s="452">
        <v>46.4</v>
      </c>
      <c r="Q92" s="454">
        <v>1</v>
      </c>
      <c r="R92" s="455">
        <f t="shared" si="1"/>
        <v>46.416666666666679</v>
      </c>
    </row>
    <row r="93" spans="1:18" ht="13.5" customHeight="1" x14ac:dyDescent="0.2">
      <c r="A93" s="449" t="s">
        <v>1483</v>
      </c>
      <c r="B93" s="450" t="s">
        <v>1392</v>
      </c>
      <c r="C93" s="451" t="s">
        <v>1393</v>
      </c>
      <c r="D93" s="452">
        <v>23.1</v>
      </c>
      <c r="E93" s="452">
        <v>25</v>
      </c>
      <c r="F93" s="452">
        <v>31.7</v>
      </c>
      <c r="G93" s="452">
        <v>41.2</v>
      </c>
      <c r="H93" s="452">
        <v>50.4</v>
      </c>
      <c r="I93" s="452">
        <v>60.3</v>
      </c>
      <c r="J93" s="452">
        <v>66</v>
      </c>
      <c r="K93" s="452">
        <v>65.2</v>
      </c>
      <c r="L93" s="452">
        <v>58.2</v>
      </c>
      <c r="M93" s="452">
        <v>47.2</v>
      </c>
      <c r="N93" s="452">
        <v>38.6</v>
      </c>
      <c r="O93" s="452">
        <v>29.1</v>
      </c>
      <c r="P93" s="452">
        <v>44.7</v>
      </c>
      <c r="Q93" s="454">
        <v>1</v>
      </c>
      <c r="R93" s="455">
        <f t="shared" si="1"/>
        <v>44.666666666666664</v>
      </c>
    </row>
    <row r="94" spans="1:18" ht="13.5" customHeight="1" x14ac:dyDescent="0.2">
      <c r="A94" s="449" t="s">
        <v>1484</v>
      </c>
      <c r="B94" s="450" t="s">
        <v>1392</v>
      </c>
      <c r="C94" s="451" t="s">
        <v>1393</v>
      </c>
      <c r="D94" s="452">
        <v>17.7</v>
      </c>
      <c r="E94" s="452">
        <v>19.600000000000001</v>
      </c>
      <c r="F94" s="452">
        <v>26.9</v>
      </c>
      <c r="G94" s="452">
        <v>37.5</v>
      </c>
      <c r="H94" s="452">
        <v>47.2</v>
      </c>
      <c r="I94" s="452">
        <v>56.9</v>
      </c>
      <c r="J94" s="452">
        <v>62</v>
      </c>
      <c r="K94" s="452">
        <v>61.1</v>
      </c>
      <c r="L94" s="452">
        <v>53.7</v>
      </c>
      <c r="M94" s="452">
        <v>42.4</v>
      </c>
      <c r="N94" s="452">
        <v>33.799999999999997</v>
      </c>
      <c r="O94" s="452">
        <v>23.8</v>
      </c>
      <c r="P94" s="452">
        <v>40.200000000000003</v>
      </c>
      <c r="Q94" s="454">
        <v>1</v>
      </c>
      <c r="R94" s="455">
        <f t="shared" si="1"/>
        <v>40.216666666666661</v>
      </c>
    </row>
    <row r="95" spans="1:18" ht="13.5" customHeight="1" x14ac:dyDescent="0.2">
      <c r="A95" s="449" t="s">
        <v>1485</v>
      </c>
      <c r="B95" s="450" t="s">
        <v>1392</v>
      </c>
      <c r="C95" s="451" t="s">
        <v>1393</v>
      </c>
      <c r="D95" s="452">
        <v>12.7</v>
      </c>
      <c r="E95" s="452">
        <v>12.1</v>
      </c>
      <c r="F95" s="452">
        <v>19.8</v>
      </c>
      <c r="G95" s="452">
        <v>31.5</v>
      </c>
      <c r="H95" s="456">
        <v>41.4</v>
      </c>
      <c r="I95" s="452">
        <v>51.3</v>
      </c>
      <c r="J95" s="452">
        <v>56.1</v>
      </c>
      <c r="K95" s="452">
        <v>54.7</v>
      </c>
      <c r="L95" s="452">
        <v>47.4</v>
      </c>
      <c r="M95" s="452">
        <v>37.700000000000003</v>
      </c>
      <c r="N95" s="452">
        <v>29.3</v>
      </c>
      <c r="O95" s="452">
        <v>19.399999999999999</v>
      </c>
      <c r="P95" s="452">
        <v>34.4</v>
      </c>
      <c r="Q95" s="454">
        <v>1</v>
      </c>
      <c r="R95" s="455">
        <f t="shared" si="1"/>
        <v>34.449999999999996</v>
      </c>
    </row>
    <row r="96" spans="1:18" ht="13.5" customHeight="1" x14ac:dyDescent="0.2">
      <c r="A96" s="449" t="s">
        <v>1486</v>
      </c>
      <c r="B96" s="450" t="s">
        <v>1392</v>
      </c>
      <c r="C96" s="451" t="s">
        <v>1393</v>
      </c>
      <c r="D96" s="452">
        <v>19.600000000000001</v>
      </c>
      <c r="E96" s="452">
        <v>21.6</v>
      </c>
      <c r="F96" s="452">
        <v>28.8</v>
      </c>
      <c r="G96" s="452">
        <v>39.9</v>
      </c>
      <c r="H96" s="456">
        <v>49.9</v>
      </c>
      <c r="I96" s="452">
        <v>60.5</v>
      </c>
      <c r="J96" s="452">
        <v>64.099999999999994</v>
      </c>
      <c r="K96" s="452">
        <v>63.4</v>
      </c>
      <c r="L96" s="452">
        <v>55.2</v>
      </c>
      <c r="M96" s="452">
        <v>44</v>
      </c>
      <c r="N96" s="452">
        <v>34.6</v>
      </c>
      <c r="O96" s="452">
        <v>24.9</v>
      </c>
      <c r="P96" s="452">
        <v>42.2</v>
      </c>
      <c r="Q96" s="454">
        <v>1</v>
      </c>
      <c r="R96" s="455">
        <f t="shared" si="1"/>
        <v>42.208333333333329</v>
      </c>
    </row>
    <row r="97" spans="1:18" ht="13.5" customHeight="1" x14ac:dyDescent="0.2">
      <c r="A97" s="449" t="s">
        <v>1487</v>
      </c>
      <c r="B97" s="450" t="s">
        <v>1392</v>
      </c>
      <c r="C97" s="451" t="s">
        <v>1393</v>
      </c>
      <c r="D97" s="452">
        <v>20.9</v>
      </c>
      <c r="E97" s="452">
        <v>22.5</v>
      </c>
      <c r="F97" s="452">
        <v>29.3</v>
      </c>
      <c r="G97" s="452">
        <v>40.1</v>
      </c>
      <c r="H97" s="456">
        <v>50.3</v>
      </c>
      <c r="I97" s="452">
        <v>61.1</v>
      </c>
      <c r="J97" s="452">
        <v>65.5</v>
      </c>
      <c r="K97" s="452">
        <v>64.599999999999994</v>
      </c>
      <c r="L97" s="452">
        <v>56.6</v>
      </c>
      <c r="M97" s="452">
        <v>45.4</v>
      </c>
      <c r="N97" s="452">
        <v>35.799999999999997</v>
      </c>
      <c r="O97" s="452">
        <v>26.1</v>
      </c>
      <c r="P97" s="452">
        <v>43.2</v>
      </c>
      <c r="Q97" s="454">
        <v>1</v>
      </c>
      <c r="R97" s="455">
        <f t="shared" si="1"/>
        <v>43.183333333333337</v>
      </c>
    </row>
    <row r="98" spans="1:18" ht="13.5" customHeight="1" x14ac:dyDescent="0.2">
      <c r="A98" s="449" t="s">
        <v>1488</v>
      </c>
      <c r="B98" s="450" t="s">
        <v>1392</v>
      </c>
      <c r="C98" s="451" t="s">
        <v>1393</v>
      </c>
      <c r="D98" s="452">
        <v>16.7</v>
      </c>
      <c r="E98" s="452">
        <v>18.2</v>
      </c>
      <c r="F98" s="452">
        <v>25.7</v>
      </c>
      <c r="G98" s="452">
        <v>36.6</v>
      </c>
      <c r="H98" s="456">
        <v>46.6</v>
      </c>
      <c r="I98" s="452">
        <v>56.9</v>
      </c>
      <c r="J98" s="452">
        <v>60</v>
      </c>
      <c r="K98" s="452">
        <v>59.1</v>
      </c>
      <c r="L98" s="452">
        <v>50.8</v>
      </c>
      <c r="M98" s="452">
        <v>40.799999999999997</v>
      </c>
      <c r="N98" s="452">
        <v>32</v>
      </c>
      <c r="O98" s="452">
        <v>22.3</v>
      </c>
      <c r="P98" s="452">
        <v>38.799999999999997</v>
      </c>
      <c r="Q98" s="454">
        <v>1</v>
      </c>
      <c r="R98" s="455">
        <f t="shared" si="1"/>
        <v>38.808333333333337</v>
      </c>
    </row>
    <row r="99" spans="1:18" ht="13.5" customHeight="1" x14ac:dyDescent="0.2">
      <c r="A99" s="449" t="s">
        <v>1489</v>
      </c>
      <c r="B99" s="450" t="s">
        <v>1392</v>
      </c>
      <c r="C99" s="451" t="s">
        <v>1393</v>
      </c>
      <c r="D99" s="452">
        <v>18.2</v>
      </c>
      <c r="E99" s="452">
        <v>19.7</v>
      </c>
      <c r="F99" s="452">
        <v>26.7</v>
      </c>
      <c r="G99" s="452">
        <v>37.5</v>
      </c>
      <c r="H99" s="456">
        <v>47.8</v>
      </c>
      <c r="I99" s="452">
        <v>58</v>
      </c>
      <c r="J99" s="452">
        <v>61.7</v>
      </c>
      <c r="K99" s="452">
        <v>60.8</v>
      </c>
      <c r="L99" s="452">
        <v>52.4</v>
      </c>
      <c r="M99" s="452">
        <v>41.8</v>
      </c>
      <c r="N99" s="452">
        <v>32.6</v>
      </c>
      <c r="O99" s="452">
        <v>23.7</v>
      </c>
      <c r="P99" s="452">
        <v>40.1</v>
      </c>
      <c r="Q99" s="454">
        <v>1</v>
      </c>
      <c r="R99" s="455">
        <f t="shared" si="1"/>
        <v>40.074999999999996</v>
      </c>
    </row>
    <row r="100" spans="1:18" ht="13.5" customHeight="1" x14ac:dyDescent="0.2">
      <c r="A100" s="449" t="s">
        <v>1490</v>
      </c>
      <c r="B100" s="450" t="s">
        <v>1392</v>
      </c>
      <c r="C100" s="451" t="s">
        <v>1393</v>
      </c>
      <c r="D100" s="452">
        <v>12.3</v>
      </c>
      <c r="E100" s="452">
        <v>12.3</v>
      </c>
      <c r="F100" s="452">
        <v>20.3</v>
      </c>
      <c r="G100" s="452">
        <v>32.1</v>
      </c>
      <c r="H100" s="456">
        <v>42.9</v>
      </c>
      <c r="I100" s="452">
        <v>52.2</v>
      </c>
      <c r="J100" s="452">
        <v>55.7</v>
      </c>
      <c r="K100" s="452">
        <v>54.2</v>
      </c>
      <c r="L100" s="452">
        <v>46.6</v>
      </c>
      <c r="M100" s="452">
        <v>37.700000000000003</v>
      </c>
      <c r="N100" s="452">
        <v>29</v>
      </c>
      <c r="O100" s="452">
        <v>19.2</v>
      </c>
      <c r="P100" s="452">
        <v>34.5</v>
      </c>
      <c r="Q100" s="454">
        <v>1</v>
      </c>
      <c r="R100" s="455">
        <f t="shared" si="1"/>
        <v>34.541666666666664</v>
      </c>
    </row>
    <row r="101" spans="1:18" ht="13.5" customHeight="1" x14ac:dyDescent="0.2">
      <c r="A101" s="449" t="s">
        <v>1491</v>
      </c>
      <c r="B101" s="450" t="s">
        <v>1392</v>
      </c>
      <c r="C101" s="451" t="s">
        <v>1393</v>
      </c>
      <c r="D101" s="452">
        <v>16.5</v>
      </c>
      <c r="E101" s="452">
        <v>17.899999999999999</v>
      </c>
      <c r="F101" s="452">
        <v>25.4</v>
      </c>
      <c r="G101" s="452">
        <v>36.200000000000003</v>
      </c>
      <c r="H101" s="456">
        <v>46.2</v>
      </c>
      <c r="I101" s="452">
        <v>56.4</v>
      </c>
      <c r="J101" s="452">
        <v>59.5</v>
      </c>
      <c r="K101" s="452">
        <v>58.7</v>
      </c>
      <c r="L101" s="452">
        <v>50.3</v>
      </c>
      <c r="M101" s="452">
        <v>40.4</v>
      </c>
      <c r="N101" s="452">
        <v>31.7</v>
      </c>
      <c r="O101" s="452">
        <v>22.1</v>
      </c>
      <c r="P101" s="452">
        <v>38.4</v>
      </c>
      <c r="Q101" s="454">
        <v>1</v>
      </c>
      <c r="R101" s="455">
        <f t="shared" si="1"/>
        <v>38.44166666666667</v>
      </c>
    </row>
    <row r="102" spans="1:18" ht="13.5" customHeight="1" x14ac:dyDescent="0.2">
      <c r="A102" s="449" t="s">
        <v>1492</v>
      </c>
      <c r="B102" s="450" t="s">
        <v>1392</v>
      </c>
      <c r="C102" s="451" t="s">
        <v>1393</v>
      </c>
      <c r="D102" s="452">
        <v>20.2</v>
      </c>
      <c r="E102" s="452">
        <v>20.8</v>
      </c>
      <c r="F102" s="452">
        <v>26.7</v>
      </c>
      <c r="G102" s="452">
        <v>37</v>
      </c>
      <c r="H102" s="452">
        <v>46.7</v>
      </c>
      <c r="I102" s="452">
        <v>56.7</v>
      </c>
      <c r="J102" s="452">
        <v>61.3</v>
      </c>
      <c r="K102" s="452">
        <v>60.8</v>
      </c>
      <c r="L102" s="452">
        <v>52.4</v>
      </c>
      <c r="M102" s="452">
        <v>42.6</v>
      </c>
      <c r="N102" s="452">
        <v>33.700000000000003</v>
      </c>
      <c r="O102" s="452">
        <v>25.2</v>
      </c>
      <c r="P102" s="452">
        <v>40.299999999999997</v>
      </c>
      <c r="Q102" s="454">
        <v>1</v>
      </c>
      <c r="R102" s="455">
        <f t="shared" si="1"/>
        <v>40.341666666666669</v>
      </c>
    </row>
    <row r="103" spans="1:18" ht="13.5" customHeight="1" x14ac:dyDescent="0.2">
      <c r="A103" s="449" t="s">
        <v>1493</v>
      </c>
      <c r="B103" s="450" t="s">
        <v>1392</v>
      </c>
      <c r="C103" s="451" t="s">
        <v>1393</v>
      </c>
      <c r="D103" s="452">
        <v>8.1</v>
      </c>
      <c r="E103" s="452">
        <v>9.5</v>
      </c>
      <c r="F103" s="452">
        <v>18.2</v>
      </c>
      <c r="G103" s="452">
        <v>30.9</v>
      </c>
      <c r="H103" s="452">
        <v>40.9</v>
      </c>
      <c r="I103" s="452">
        <v>49.8</v>
      </c>
      <c r="J103" s="452">
        <v>54.8</v>
      </c>
      <c r="K103" s="452">
        <v>55</v>
      </c>
      <c r="L103" s="452">
        <v>48.4</v>
      </c>
      <c r="M103" s="452">
        <v>38.299999999999997</v>
      </c>
      <c r="N103" s="452">
        <v>28.5</v>
      </c>
      <c r="O103" s="452">
        <v>17</v>
      </c>
      <c r="P103" s="452">
        <v>33.299999999999997</v>
      </c>
      <c r="Q103" s="454">
        <v>1</v>
      </c>
      <c r="R103" s="455">
        <f t="shared" si="1"/>
        <v>33.283333333333331</v>
      </c>
    </row>
    <row r="104" spans="1:18" ht="13.5" customHeight="1" x14ac:dyDescent="0.2">
      <c r="A104" s="449" t="s">
        <v>1494</v>
      </c>
      <c r="B104" s="450" t="s">
        <v>1392</v>
      </c>
      <c r="C104" s="451" t="s">
        <v>1393</v>
      </c>
      <c r="D104" s="452">
        <v>17</v>
      </c>
      <c r="E104" s="452">
        <v>16.5</v>
      </c>
      <c r="F104" s="452">
        <v>23.3</v>
      </c>
      <c r="G104" s="452">
        <v>33.299999999999997</v>
      </c>
      <c r="H104" s="452">
        <v>43.2</v>
      </c>
      <c r="I104" s="452">
        <v>54.2</v>
      </c>
      <c r="J104" s="452">
        <v>58.7</v>
      </c>
      <c r="K104" s="452">
        <v>58.2</v>
      </c>
      <c r="L104" s="452">
        <v>51</v>
      </c>
      <c r="M104" s="452">
        <v>40.9</v>
      </c>
      <c r="N104" s="452">
        <v>31.7</v>
      </c>
      <c r="O104" s="452">
        <v>22.8</v>
      </c>
      <c r="P104" s="452">
        <v>37.6</v>
      </c>
      <c r="Q104" s="454">
        <v>1</v>
      </c>
      <c r="R104" s="455">
        <f t="shared" si="1"/>
        <v>37.566666666666663</v>
      </c>
    </row>
    <row r="105" spans="1:18" ht="13.5" customHeight="1" x14ac:dyDescent="0.2">
      <c r="A105" s="449" t="s">
        <v>1495</v>
      </c>
      <c r="B105" s="450" t="s">
        <v>1392</v>
      </c>
      <c r="C105" s="451" t="s">
        <v>1393</v>
      </c>
      <c r="D105" s="452">
        <v>2.6</v>
      </c>
      <c r="E105" s="452">
        <v>7.1</v>
      </c>
      <c r="F105" s="452">
        <v>18.2</v>
      </c>
      <c r="G105" s="452">
        <v>30.7</v>
      </c>
      <c r="H105" s="452">
        <v>41.4</v>
      </c>
      <c r="I105" s="452">
        <v>50.6</v>
      </c>
      <c r="J105" s="452">
        <v>55.9</v>
      </c>
      <c r="K105" s="452">
        <v>55.4</v>
      </c>
      <c r="L105" s="452">
        <v>47.2</v>
      </c>
      <c r="M105" s="452">
        <v>35.700000000000003</v>
      </c>
      <c r="N105" s="452">
        <v>23</v>
      </c>
      <c r="O105" s="452">
        <v>9.4</v>
      </c>
      <c r="P105" s="452">
        <v>31.4</v>
      </c>
      <c r="Q105" s="454">
        <v>1</v>
      </c>
      <c r="R105" s="455">
        <f t="shared" si="1"/>
        <v>31.433333333333326</v>
      </c>
    </row>
    <row r="106" spans="1:18" ht="13.5" customHeight="1" x14ac:dyDescent="0.2">
      <c r="A106" s="449" t="s">
        <v>1496</v>
      </c>
      <c r="B106" s="450" t="s">
        <v>1392</v>
      </c>
      <c r="C106" s="451" t="s">
        <v>1393</v>
      </c>
      <c r="D106" s="452">
        <v>-4.5</v>
      </c>
      <c r="E106" s="452">
        <v>0.3</v>
      </c>
      <c r="F106" s="452">
        <v>13.7</v>
      </c>
      <c r="G106" s="452">
        <v>28.4</v>
      </c>
      <c r="H106" s="452">
        <v>39.799999999999997</v>
      </c>
      <c r="I106" s="452">
        <v>50</v>
      </c>
      <c r="J106" s="452">
        <v>53.4</v>
      </c>
      <c r="K106" s="452">
        <v>51.8</v>
      </c>
      <c r="L106" s="452">
        <v>43.2</v>
      </c>
      <c r="M106" s="452">
        <v>32.5</v>
      </c>
      <c r="N106" s="452">
        <v>19.399999999999999</v>
      </c>
      <c r="O106" s="452">
        <v>3.7</v>
      </c>
      <c r="P106" s="452">
        <v>27.6</v>
      </c>
      <c r="Q106" s="454">
        <v>1</v>
      </c>
      <c r="R106" s="455">
        <f t="shared" si="1"/>
        <v>27.641666666666662</v>
      </c>
    </row>
    <row r="107" spans="1:18" ht="13.5" customHeight="1" x14ac:dyDescent="0.2">
      <c r="A107" s="449" t="s">
        <v>1497</v>
      </c>
      <c r="B107" s="450" t="s">
        <v>1392</v>
      </c>
      <c r="C107" s="451" t="s">
        <v>1393</v>
      </c>
      <c r="D107" s="452">
        <v>8.3000000000000007</v>
      </c>
      <c r="E107" s="452">
        <v>13.6</v>
      </c>
      <c r="F107" s="452">
        <v>24.6</v>
      </c>
      <c r="G107" s="452">
        <v>37.9</v>
      </c>
      <c r="H107" s="452">
        <v>49.6</v>
      </c>
      <c r="I107" s="452">
        <v>59.7</v>
      </c>
      <c r="J107" s="452">
        <v>64.5</v>
      </c>
      <c r="K107" s="452">
        <v>62.5</v>
      </c>
      <c r="L107" s="452">
        <v>53.3</v>
      </c>
      <c r="M107" s="452">
        <v>40.9</v>
      </c>
      <c r="N107" s="452">
        <v>27.5</v>
      </c>
      <c r="O107" s="452">
        <v>14.4</v>
      </c>
      <c r="P107" s="452">
        <v>38.1</v>
      </c>
      <c r="Q107" s="454">
        <v>1</v>
      </c>
      <c r="R107" s="455">
        <f t="shared" si="1"/>
        <v>38.066666666666663</v>
      </c>
    </row>
    <row r="108" spans="1:18" ht="13.5" customHeight="1" x14ac:dyDescent="0.2">
      <c r="A108" s="449" t="s">
        <v>1498</v>
      </c>
      <c r="B108" s="450" t="s">
        <v>1392</v>
      </c>
      <c r="C108" s="451" t="s">
        <v>1393</v>
      </c>
      <c r="D108" s="452">
        <v>7.3</v>
      </c>
      <c r="E108" s="452">
        <v>12.2</v>
      </c>
      <c r="F108" s="452">
        <v>23.6</v>
      </c>
      <c r="G108" s="452">
        <v>36</v>
      </c>
      <c r="H108" s="452">
        <v>47.4</v>
      </c>
      <c r="I108" s="452">
        <v>57.5</v>
      </c>
      <c r="J108" s="452">
        <v>60.7</v>
      </c>
      <c r="K108" s="452">
        <v>58.8</v>
      </c>
      <c r="L108" s="452">
        <v>50.1</v>
      </c>
      <c r="M108" s="452">
        <v>38.6</v>
      </c>
      <c r="N108" s="452">
        <v>26.2</v>
      </c>
      <c r="O108" s="452">
        <v>13.3</v>
      </c>
      <c r="P108" s="452">
        <v>36</v>
      </c>
      <c r="Q108" s="454">
        <v>1</v>
      </c>
      <c r="R108" s="455">
        <f t="shared" si="1"/>
        <v>35.975000000000001</v>
      </c>
    </row>
    <row r="109" spans="1:18" ht="13.5" customHeight="1" x14ac:dyDescent="0.2">
      <c r="A109" s="449" t="s">
        <v>1499</v>
      </c>
      <c r="B109" s="450" t="s">
        <v>1392</v>
      </c>
      <c r="C109" s="451" t="s">
        <v>1393</v>
      </c>
      <c r="D109" s="452">
        <v>2.8</v>
      </c>
      <c r="E109" s="452">
        <v>7.8</v>
      </c>
      <c r="F109" s="452">
        <v>20.100000000000001</v>
      </c>
      <c r="G109" s="452">
        <v>33.1</v>
      </c>
      <c r="H109" s="452">
        <v>44.5</v>
      </c>
      <c r="I109" s="452">
        <v>54.8</v>
      </c>
      <c r="J109" s="452">
        <v>58.6</v>
      </c>
      <c r="K109" s="452">
        <v>56.5</v>
      </c>
      <c r="L109" s="452">
        <v>47.6</v>
      </c>
      <c r="M109" s="452">
        <v>35.9</v>
      </c>
      <c r="N109" s="452">
        <v>23.1</v>
      </c>
      <c r="O109" s="452">
        <v>9.6</v>
      </c>
      <c r="P109" s="452">
        <v>32.9</v>
      </c>
      <c r="Q109" s="454">
        <v>1</v>
      </c>
      <c r="R109" s="455">
        <f t="shared" si="1"/>
        <v>32.866666666666674</v>
      </c>
    </row>
    <row r="110" spans="1:18" ht="13.5" customHeight="1" x14ac:dyDescent="0.2">
      <c r="A110" s="449" t="s">
        <v>1500</v>
      </c>
      <c r="B110" s="450" t="s">
        <v>1392</v>
      </c>
      <c r="C110" s="451" t="s">
        <v>1393</v>
      </c>
      <c r="D110" s="452">
        <v>37</v>
      </c>
      <c r="E110" s="452">
        <v>39.299999999999997</v>
      </c>
      <c r="F110" s="452">
        <v>45.9</v>
      </c>
      <c r="G110" s="452">
        <v>53.3</v>
      </c>
      <c r="H110" s="452">
        <v>62.5</v>
      </c>
      <c r="I110" s="452">
        <v>69.2</v>
      </c>
      <c r="J110" s="452">
        <v>72.099999999999994</v>
      </c>
      <c r="K110" s="452">
        <v>71.400000000000006</v>
      </c>
      <c r="L110" s="452">
        <v>65.5</v>
      </c>
      <c r="M110" s="452">
        <v>53.9</v>
      </c>
      <c r="N110" s="452">
        <v>43.9</v>
      </c>
      <c r="O110" s="452">
        <v>37.9</v>
      </c>
      <c r="P110" s="452">
        <v>54.3</v>
      </c>
      <c r="Q110" s="454">
        <v>1</v>
      </c>
      <c r="R110" s="455">
        <f t="shared" si="1"/>
        <v>54.324999999999989</v>
      </c>
    </row>
    <row r="111" spans="1:18" ht="13.5" customHeight="1" x14ac:dyDescent="0.2">
      <c r="A111" s="449" t="s">
        <v>1501</v>
      </c>
      <c r="B111" s="450" t="s">
        <v>1392</v>
      </c>
      <c r="C111" s="451" t="s">
        <v>1393</v>
      </c>
      <c r="D111" s="452">
        <v>35.799999999999997</v>
      </c>
      <c r="E111" s="452">
        <v>38.1</v>
      </c>
      <c r="F111" s="452">
        <v>44.5</v>
      </c>
      <c r="G111" s="452">
        <v>51.5</v>
      </c>
      <c r="H111" s="452">
        <v>60.8</v>
      </c>
      <c r="I111" s="452">
        <v>67.8</v>
      </c>
      <c r="J111" s="452">
        <v>70.8</v>
      </c>
      <c r="K111" s="452">
        <v>70.2</v>
      </c>
      <c r="L111" s="452">
        <v>64.2</v>
      </c>
      <c r="M111" s="452">
        <v>52.5</v>
      </c>
      <c r="N111" s="452">
        <v>42.5</v>
      </c>
      <c r="O111" s="452">
        <v>36.9</v>
      </c>
      <c r="P111" s="452">
        <v>53</v>
      </c>
      <c r="Q111" s="454">
        <v>1</v>
      </c>
      <c r="R111" s="455">
        <f t="shared" si="1"/>
        <v>52.966666666666669</v>
      </c>
    </row>
    <row r="112" spans="1:18" ht="13.5" customHeight="1" x14ac:dyDescent="0.2">
      <c r="A112" s="449" t="s">
        <v>1502</v>
      </c>
      <c r="B112" s="450" t="s">
        <v>1392</v>
      </c>
      <c r="C112" s="451" t="s">
        <v>1393</v>
      </c>
      <c r="D112" s="452">
        <v>33.200000000000003</v>
      </c>
      <c r="E112" s="452">
        <v>35.9</v>
      </c>
      <c r="F112" s="452">
        <v>43</v>
      </c>
      <c r="G112" s="452">
        <v>51</v>
      </c>
      <c r="H112" s="452">
        <v>60.2</v>
      </c>
      <c r="I112" s="452">
        <v>68.099999999999994</v>
      </c>
      <c r="J112" s="452">
        <v>71.5</v>
      </c>
      <c r="K112" s="452">
        <v>70.599999999999994</v>
      </c>
      <c r="L112" s="452">
        <v>63.4</v>
      </c>
      <c r="M112" s="452">
        <v>51.6</v>
      </c>
      <c r="N112" s="452">
        <v>42</v>
      </c>
      <c r="O112" s="452">
        <v>34.799999999999997</v>
      </c>
      <c r="P112" s="452">
        <v>52.1</v>
      </c>
      <c r="Q112" s="454">
        <v>1</v>
      </c>
      <c r="R112" s="455">
        <f t="shared" si="1"/>
        <v>52.108333333333327</v>
      </c>
    </row>
    <row r="113" spans="1:18" ht="13.5" customHeight="1" x14ac:dyDescent="0.2">
      <c r="A113" s="449" t="s">
        <v>1503</v>
      </c>
      <c r="B113" s="450" t="s">
        <v>1392</v>
      </c>
      <c r="C113" s="451" t="s">
        <v>1393</v>
      </c>
      <c r="D113" s="452">
        <v>21.4</v>
      </c>
      <c r="E113" s="452">
        <v>26</v>
      </c>
      <c r="F113" s="452">
        <v>34.200000000000003</v>
      </c>
      <c r="G113" s="452">
        <v>44.8</v>
      </c>
      <c r="H113" s="452">
        <v>54.6</v>
      </c>
      <c r="I113" s="452">
        <v>63.3</v>
      </c>
      <c r="J113" s="452">
        <v>67.3</v>
      </c>
      <c r="K113" s="452">
        <v>65.900000000000006</v>
      </c>
      <c r="L113" s="452">
        <v>56.7</v>
      </c>
      <c r="M113" s="452">
        <v>46</v>
      </c>
      <c r="N113" s="452">
        <v>35.4</v>
      </c>
      <c r="O113" s="452">
        <v>25.3</v>
      </c>
      <c r="P113" s="452">
        <v>45.1</v>
      </c>
      <c r="Q113" s="454">
        <v>1</v>
      </c>
      <c r="R113" s="455">
        <f t="shared" si="1"/>
        <v>45.074999999999996</v>
      </c>
    </row>
    <row r="114" spans="1:18" ht="13.5" customHeight="1" x14ac:dyDescent="0.2">
      <c r="A114" s="449" t="s">
        <v>1504</v>
      </c>
      <c r="B114" s="450" t="s">
        <v>1392</v>
      </c>
      <c r="C114" s="451" t="s">
        <v>1393</v>
      </c>
      <c r="D114" s="452">
        <v>20.399999999999999</v>
      </c>
      <c r="E114" s="452">
        <v>25.2</v>
      </c>
      <c r="F114" s="452">
        <v>33.9</v>
      </c>
      <c r="G114" s="452">
        <v>44.9</v>
      </c>
      <c r="H114" s="452">
        <v>55.1</v>
      </c>
      <c r="I114" s="452">
        <v>64.3</v>
      </c>
      <c r="J114" s="452">
        <v>68.8</v>
      </c>
      <c r="K114" s="452">
        <v>67.5</v>
      </c>
      <c r="L114" s="452">
        <v>57.6</v>
      </c>
      <c r="M114" s="452">
        <v>46.8</v>
      </c>
      <c r="N114" s="452">
        <v>34.9</v>
      </c>
      <c r="O114" s="452">
        <v>24.5</v>
      </c>
      <c r="P114" s="452">
        <v>45.3</v>
      </c>
      <c r="Q114" s="454">
        <v>1</v>
      </c>
      <c r="R114" s="455">
        <f t="shared" si="1"/>
        <v>45.32500000000001</v>
      </c>
    </row>
    <row r="115" spans="1:18" ht="13.5" customHeight="1" x14ac:dyDescent="0.2">
      <c r="A115" s="449" t="s">
        <v>1505</v>
      </c>
      <c r="B115" s="450" t="s">
        <v>1392</v>
      </c>
      <c r="C115" s="451" t="s">
        <v>1393</v>
      </c>
      <c r="D115" s="452">
        <v>24.3</v>
      </c>
      <c r="E115" s="452">
        <v>28.5</v>
      </c>
      <c r="F115" s="452">
        <v>35.799999999999997</v>
      </c>
      <c r="G115" s="452">
        <v>45.6</v>
      </c>
      <c r="H115" s="452">
        <v>55.5</v>
      </c>
      <c r="I115" s="452">
        <v>63.9</v>
      </c>
      <c r="J115" s="452">
        <v>68.3</v>
      </c>
      <c r="K115" s="452">
        <v>67.3</v>
      </c>
      <c r="L115" s="452">
        <v>58.2</v>
      </c>
      <c r="M115" s="452">
        <v>47.3</v>
      </c>
      <c r="N115" s="452">
        <v>36.6</v>
      </c>
      <c r="O115" s="452">
        <v>27.1</v>
      </c>
      <c r="P115" s="452">
        <v>46.5</v>
      </c>
      <c r="Q115" s="454">
        <v>1</v>
      </c>
      <c r="R115" s="455">
        <f t="shared" si="1"/>
        <v>46.533333333333331</v>
      </c>
    </row>
    <row r="116" spans="1:18" ht="13.5" customHeight="1" x14ac:dyDescent="0.2">
      <c r="A116" s="449" t="s">
        <v>1506</v>
      </c>
      <c r="B116" s="450" t="s">
        <v>1392</v>
      </c>
      <c r="C116" s="451" t="s">
        <v>1393</v>
      </c>
      <c r="D116" s="452">
        <v>24.6</v>
      </c>
      <c r="E116" s="452">
        <v>28.7</v>
      </c>
      <c r="F116" s="452">
        <v>37.200000000000003</v>
      </c>
      <c r="G116" s="452">
        <v>47.9</v>
      </c>
      <c r="H116" s="452">
        <v>58.2</v>
      </c>
      <c r="I116" s="452">
        <v>67.2</v>
      </c>
      <c r="J116" s="452">
        <v>71.3</v>
      </c>
      <c r="K116" s="452">
        <v>70</v>
      </c>
      <c r="L116" s="452">
        <v>60.9</v>
      </c>
      <c r="M116" s="452">
        <v>49.6</v>
      </c>
      <c r="N116" s="452">
        <v>38.5</v>
      </c>
      <c r="O116" s="452">
        <v>28.5</v>
      </c>
      <c r="P116" s="452">
        <v>48.5</v>
      </c>
      <c r="Q116" s="454">
        <v>1</v>
      </c>
      <c r="R116" s="455">
        <f t="shared" si="1"/>
        <v>48.550000000000004</v>
      </c>
    </row>
    <row r="117" spans="1:18" ht="13.5" customHeight="1" x14ac:dyDescent="0.2">
      <c r="A117" s="449" t="s">
        <v>1507</v>
      </c>
      <c r="B117" s="450" t="s">
        <v>1392</v>
      </c>
      <c r="C117" s="451" t="s">
        <v>1393</v>
      </c>
      <c r="D117" s="452">
        <v>22.6</v>
      </c>
      <c r="E117" s="452">
        <v>26.7</v>
      </c>
      <c r="F117" s="452">
        <v>34.6</v>
      </c>
      <c r="G117" s="452">
        <v>44.9</v>
      </c>
      <c r="H117" s="452">
        <v>55</v>
      </c>
      <c r="I117" s="452">
        <v>63.9</v>
      </c>
      <c r="J117" s="452">
        <v>67.900000000000006</v>
      </c>
      <c r="K117" s="452">
        <v>66</v>
      </c>
      <c r="L117" s="452">
        <v>56.3</v>
      </c>
      <c r="M117" s="452">
        <v>45.4</v>
      </c>
      <c r="N117" s="452">
        <v>35.4</v>
      </c>
      <c r="O117" s="452">
        <v>26.2</v>
      </c>
      <c r="P117" s="452">
        <v>45.4</v>
      </c>
      <c r="Q117" s="454">
        <v>1</v>
      </c>
      <c r="R117" s="455">
        <f t="shared" si="1"/>
        <v>45.408333333333339</v>
      </c>
    </row>
    <row r="118" spans="1:18" ht="13.5" customHeight="1" x14ac:dyDescent="0.2">
      <c r="A118" s="449" t="s">
        <v>1508</v>
      </c>
      <c r="B118" s="450" t="s">
        <v>1392</v>
      </c>
      <c r="C118" s="451" t="s">
        <v>1393</v>
      </c>
      <c r="D118" s="452">
        <v>18</v>
      </c>
      <c r="E118" s="452">
        <v>21.8</v>
      </c>
      <c r="F118" s="452">
        <v>27.3</v>
      </c>
      <c r="G118" s="452">
        <v>35.200000000000003</v>
      </c>
      <c r="H118" s="452">
        <v>44.2</v>
      </c>
      <c r="I118" s="452">
        <v>52.5</v>
      </c>
      <c r="J118" s="452">
        <v>59.6</v>
      </c>
      <c r="K118" s="452">
        <v>58</v>
      </c>
      <c r="L118" s="452">
        <v>48.8</v>
      </c>
      <c r="M118" s="452">
        <v>37.700000000000003</v>
      </c>
      <c r="N118" s="452">
        <v>27.3</v>
      </c>
      <c r="O118" s="452">
        <v>19.600000000000001</v>
      </c>
      <c r="P118" s="452">
        <v>37.5</v>
      </c>
      <c r="Q118" s="454">
        <v>1</v>
      </c>
      <c r="R118" s="455">
        <f t="shared" si="1"/>
        <v>37.500000000000007</v>
      </c>
    </row>
    <row r="119" spans="1:18" ht="13.5" customHeight="1" x14ac:dyDescent="0.2">
      <c r="A119" s="449" t="s">
        <v>1509</v>
      </c>
      <c r="B119" s="450" t="s">
        <v>1392</v>
      </c>
      <c r="C119" s="451" t="s">
        <v>1393</v>
      </c>
      <c r="D119" s="452">
        <v>3.8</v>
      </c>
      <c r="E119" s="452">
        <v>9.8000000000000007</v>
      </c>
      <c r="F119" s="452">
        <v>20.6</v>
      </c>
      <c r="G119" s="452">
        <v>32.299999999999997</v>
      </c>
      <c r="H119" s="452">
        <v>42.2</v>
      </c>
      <c r="I119" s="452">
        <v>51.5</v>
      </c>
      <c r="J119" s="452">
        <v>57.4</v>
      </c>
      <c r="K119" s="452">
        <v>56.3</v>
      </c>
      <c r="L119" s="452">
        <v>45.6</v>
      </c>
      <c r="M119" s="452">
        <v>32.9</v>
      </c>
      <c r="N119" s="452">
        <v>19.899999999999999</v>
      </c>
      <c r="O119" s="452">
        <v>8.3000000000000007</v>
      </c>
      <c r="P119" s="452">
        <v>31.7</v>
      </c>
      <c r="Q119" s="454">
        <v>1</v>
      </c>
      <c r="R119" s="455">
        <f t="shared" si="1"/>
        <v>31.716666666666665</v>
      </c>
    </row>
    <row r="120" spans="1:18" ht="13.5" customHeight="1" x14ac:dyDescent="0.2">
      <c r="A120" s="449" t="s">
        <v>1510</v>
      </c>
      <c r="B120" s="450" t="s">
        <v>1392</v>
      </c>
      <c r="C120" s="451" t="s">
        <v>1393</v>
      </c>
      <c r="D120" s="452">
        <v>15.9</v>
      </c>
      <c r="E120" s="452">
        <v>18.8</v>
      </c>
      <c r="F120" s="452">
        <v>23.7</v>
      </c>
      <c r="G120" s="452">
        <v>31.6</v>
      </c>
      <c r="H120" s="452">
        <v>39.9</v>
      </c>
      <c r="I120" s="452">
        <v>47</v>
      </c>
      <c r="J120" s="452">
        <v>53</v>
      </c>
      <c r="K120" s="452">
        <v>51.7</v>
      </c>
      <c r="L120" s="452">
        <v>44</v>
      </c>
      <c r="M120" s="452">
        <v>34.200000000000003</v>
      </c>
      <c r="N120" s="452">
        <v>25.2</v>
      </c>
      <c r="O120" s="452">
        <v>17.7</v>
      </c>
      <c r="P120" s="452">
        <v>33.5</v>
      </c>
      <c r="Q120" s="454">
        <v>1</v>
      </c>
      <c r="R120" s="455">
        <f t="shared" si="1"/>
        <v>33.55833333333333</v>
      </c>
    </row>
    <row r="121" spans="1:18" ht="13.5" customHeight="1" x14ac:dyDescent="0.2">
      <c r="A121" s="449" t="s">
        <v>1511</v>
      </c>
      <c r="B121" s="450" t="s">
        <v>1392</v>
      </c>
      <c r="C121" s="451" t="s">
        <v>1393</v>
      </c>
      <c r="D121" s="452">
        <v>6.4</v>
      </c>
      <c r="E121" s="452">
        <v>12</v>
      </c>
      <c r="F121" s="452">
        <v>20.7</v>
      </c>
      <c r="G121" s="452">
        <v>31.4</v>
      </c>
      <c r="H121" s="452">
        <v>40.799999999999997</v>
      </c>
      <c r="I121" s="452">
        <v>48.9</v>
      </c>
      <c r="J121" s="452">
        <v>54.1</v>
      </c>
      <c r="K121" s="452">
        <v>52.5</v>
      </c>
      <c r="L121" s="452">
        <v>42.6</v>
      </c>
      <c r="M121" s="452">
        <v>31.1</v>
      </c>
      <c r="N121" s="452">
        <v>20.399999999999999</v>
      </c>
      <c r="O121" s="452">
        <v>9.9</v>
      </c>
      <c r="P121" s="452">
        <v>30.9</v>
      </c>
      <c r="Q121" s="454">
        <v>1</v>
      </c>
      <c r="R121" s="455">
        <f t="shared" si="1"/>
        <v>30.899999999999995</v>
      </c>
    </row>
    <row r="122" spans="1:18" ht="13.5" customHeight="1" x14ac:dyDescent="0.2">
      <c r="A122" s="449" t="s">
        <v>1512</v>
      </c>
      <c r="B122" s="450" t="s">
        <v>1392</v>
      </c>
      <c r="C122" s="451" t="s">
        <v>1393</v>
      </c>
      <c r="D122" s="452">
        <v>13.5</v>
      </c>
      <c r="E122" s="452">
        <v>18.399999999999999</v>
      </c>
      <c r="F122" s="452">
        <v>24.9</v>
      </c>
      <c r="G122" s="452">
        <v>32.799999999999997</v>
      </c>
      <c r="H122" s="452">
        <v>41.8</v>
      </c>
      <c r="I122" s="452">
        <v>49</v>
      </c>
      <c r="J122" s="452">
        <v>55.3</v>
      </c>
      <c r="K122" s="452">
        <v>53</v>
      </c>
      <c r="L122" s="452">
        <v>44.4</v>
      </c>
      <c r="M122" s="452">
        <v>33.5</v>
      </c>
      <c r="N122" s="452">
        <v>23.1</v>
      </c>
      <c r="O122" s="452">
        <v>14.5</v>
      </c>
      <c r="P122" s="452">
        <v>33.700000000000003</v>
      </c>
      <c r="Q122" s="454">
        <v>1</v>
      </c>
      <c r="R122" s="455">
        <f t="shared" si="1"/>
        <v>33.68333333333333</v>
      </c>
    </row>
    <row r="123" spans="1:18" ht="13.5" customHeight="1" x14ac:dyDescent="0.2">
      <c r="A123" s="449" t="s">
        <v>1513</v>
      </c>
      <c r="B123" s="450" t="s">
        <v>1392</v>
      </c>
      <c r="C123" s="451" t="s">
        <v>1393</v>
      </c>
      <c r="D123" s="452">
        <v>17.2</v>
      </c>
      <c r="E123" s="452">
        <v>20</v>
      </c>
      <c r="F123" s="452">
        <v>25.5</v>
      </c>
      <c r="G123" s="452">
        <v>31.9</v>
      </c>
      <c r="H123" s="452">
        <v>39.4</v>
      </c>
      <c r="I123" s="452">
        <v>45.2</v>
      </c>
      <c r="J123" s="452">
        <v>49.1</v>
      </c>
      <c r="K123" s="452">
        <v>47.2</v>
      </c>
      <c r="L123" s="452">
        <v>39.6</v>
      </c>
      <c r="M123" s="452">
        <v>30.5</v>
      </c>
      <c r="N123" s="452">
        <v>24.8</v>
      </c>
      <c r="O123" s="452">
        <v>18.3</v>
      </c>
      <c r="P123" s="452">
        <v>32.4</v>
      </c>
      <c r="Q123" s="454">
        <v>1</v>
      </c>
      <c r="R123" s="455">
        <f t="shared" si="1"/>
        <v>32.391666666666673</v>
      </c>
    </row>
    <row r="124" spans="1:18" ht="13.5" customHeight="1" x14ac:dyDescent="0.2">
      <c r="A124" s="449" t="s">
        <v>1514</v>
      </c>
      <c r="B124" s="450" t="s">
        <v>1392</v>
      </c>
      <c r="C124" s="451" t="s">
        <v>1393</v>
      </c>
      <c r="D124" s="452">
        <v>19</v>
      </c>
      <c r="E124" s="452">
        <v>22.1</v>
      </c>
      <c r="F124" s="452">
        <v>27.8</v>
      </c>
      <c r="G124" s="452">
        <v>33.200000000000003</v>
      </c>
      <c r="H124" s="452">
        <v>40.5</v>
      </c>
      <c r="I124" s="452">
        <v>47</v>
      </c>
      <c r="J124" s="452">
        <v>52.7</v>
      </c>
      <c r="K124" s="452">
        <v>50.9</v>
      </c>
      <c r="L124" s="452">
        <v>43</v>
      </c>
      <c r="M124" s="452">
        <v>33.4</v>
      </c>
      <c r="N124" s="452">
        <v>25.3</v>
      </c>
      <c r="O124" s="452">
        <v>19</v>
      </c>
      <c r="P124" s="452">
        <v>34.5</v>
      </c>
      <c r="Q124" s="454">
        <v>1</v>
      </c>
      <c r="R124" s="455">
        <f t="shared" si="1"/>
        <v>34.491666666666667</v>
      </c>
    </row>
    <row r="125" spans="1:18" ht="13.5" customHeight="1" x14ac:dyDescent="0.2">
      <c r="A125" s="449" t="s">
        <v>1515</v>
      </c>
      <c r="B125" s="450" t="s">
        <v>1392</v>
      </c>
      <c r="C125" s="451" t="s">
        <v>1393</v>
      </c>
      <c r="D125" s="452">
        <v>14.9</v>
      </c>
      <c r="E125" s="452">
        <v>19.399999999999999</v>
      </c>
      <c r="F125" s="452">
        <v>28</v>
      </c>
      <c r="G125" s="452">
        <v>38.4</v>
      </c>
      <c r="H125" s="452">
        <v>50.2</v>
      </c>
      <c r="I125" s="452">
        <v>60</v>
      </c>
      <c r="J125" s="452">
        <v>65.099999999999994</v>
      </c>
      <c r="K125" s="452">
        <v>63.2</v>
      </c>
      <c r="L125" s="452">
        <v>52.8</v>
      </c>
      <c r="M125" s="452">
        <v>40.4</v>
      </c>
      <c r="N125" s="452">
        <v>27.6</v>
      </c>
      <c r="O125" s="452">
        <v>18.3</v>
      </c>
      <c r="P125" s="452">
        <v>39.9</v>
      </c>
      <c r="Q125" s="454">
        <v>1</v>
      </c>
      <c r="R125" s="455">
        <f t="shared" si="1"/>
        <v>39.858333333333334</v>
      </c>
    </row>
    <row r="126" spans="1:18" ht="13.5" customHeight="1" x14ac:dyDescent="0.2">
      <c r="A126" s="449" t="s">
        <v>1516</v>
      </c>
      <c r="B126" s="450" t="s">
        <v>1392</v>
      </c>
      <c r="C126" s="451" t="s">
        <v>1393</v>
      </c>
      <c r="D126" s="452">
        <v>14.3</v>
      </c>
      <c r="E126" s="452">
        <v>19.3</v>
      </c>
      <c r="F126" s="452">
        <v>28.4</v>
      </c>
      <c r="G126" s="452">
        <v>39.5</v>
      </c>
      <c r="H126" s="452">
        <v>51.1</v>
      </c>
      <c r="I126" s="452">
        <v>61.6</v>
      </c>
      <c r="J126" s="452">
        <v>66.5</v>
      </c>
      <c r="K126" s="452">
        <v>64.2</v>
      </c>
      <c r="L126" s="452">
        <v>53.6</v>
      </c>
      <c r="M126" s="452">
        <v>41.4</v>
      </c>
      <c r="N126" s="452">
        <v>28.4</v>
      </c>
      <c r="O126" s="452">
        <v>18.100000000000001</v>
      </c>
      <c r="P126" s="452">
        <v>40.5</v>
      </c>
      <c r="Q126" s="454">
        <v>1</v>
      </c>
      <c r="R126" s="455">
        <f t="shared" si="1"/>
        <v>40.533333333333331</v>
      </c>
    </row>
    <row r="127" spans="1:18" ht="13.5" customHeight="1" x14ac:dyDescent="0.2">
      <c r="A127" s="449" t="s">
        <v>1517</v>
      </c>
      <c r="B127" s="450" t="s">
        <v>1392</v>
      </c>
      <c r="C127" s="451" t="s">
        <v>1393</v>
      </c>
      <c r="D127" s="452">
        <v>13</v>
      </c>
      <c r="E127" s="452">
        <v>18</v>
      </c>
      <c r="F127" s="452">
        <v>26.9</v>
      </c>
      <c r="G127" s="452">
        <v>38.1</v>
      </c>
      <c r="H127" s="452">
        <v>49.2</v>
      </c>
      <c r="I127" s="452">
        <v>59.4</v>
      </c>
      <c r="J127" s="452">
        <v>64.099999999999994</v>
      </c>
      <c r="K127" s="452">
        <v>62.2</v>
      </c>
      <c r="L127" s="452">
        <v>52</v>
      </c>
      <c r="M127" s="452">
        <v>39.700000000000003</v>
      </c>
      <c r="N127" s="452">
        <v>26.7</v>
      </c>
      <c r="O127" s="452">
        <v>16.8</v>
      </c>
      <c r="P127" s="452">
        <v>38.799999999999997</v>
      </c>
      <c r="Q127" s="454">
        <v>1</v>
      </c>
      <c r="R127" s="455">
        <f t="shared" si="1"/>
        <v>38.841666666666661</v>
      </c>
    </row>
    <row r="128" spans="1:18" ht="13.5" customHeight="1" x14ac:dyDescent="0.2">
      <c r="A128" s="449" t="s">
        <v>1518</v>
      </c>
      <c r="B128" s="450" t="s">
        <v>1392</v>
      </c>
      <c r="C128" s="451" t="s">
        <v>1393</v>
      </c>
      <c r="D128" s="452">
        <v>12.7</v>
      </c>
      <c r="E128" s="452">
        <v>16.5</v>
      </c>
      <c r="F128" s="452">
        <v>24.5</v>
      </c>
      <c r="G128" s="452">
        <v>34.200000000000003</v>
      </c>
      <c r="H128" s="452">
        <v>45.3</v>
      </c>
      <c r="I128" s="452">
        <v>55.5</v>
      </c>
      <c r="J128" s="453">
        <v>61.7</v>
      </c>
      <c r="K128" s="452">
        <v>59.7</v>
      </c>
      <c r="L128" s="452">
        <v>48.3</v>
      </c>
      <c r="M128" s="452">
        <v>35</v>
      </c>
      <c r="N128" s="452">
        <v>22.3</v>
      </c>
      <c r="O128" s="452">
        <v>14.1</v>
      </c>
      <c r="P128" s="452">
        <v>35.799999999999997</v>
      </c>
      <c r="Q128" s="454">
        <v>1</v>
      </c>
      <c r="R128" s="455">
        <f t="shared" si="1"/>
        <v>35.81666666666667</v>
      </c>
    </row>
    <row r="129" spans="1:18" ht="13.5" customHeight="1" x14ac:dyDescent="0.2">
      <c r="A129" s="449" t="s">
        <v>1519</v>
      </c>
      <c r="B129" s="450" t="s">
        <v>1392</v>
      </c>
      <c r="C129" s="451" t="s">
        <v>1393</v>
      </c>
      <c r="D129" s="452">
        <v>14.2</v>
      </c>
      <c r="E129" s="452">
        <v>19.5</v>
      </c>
      <c r="F129" s="452">
        <v>28.8</v>
      </c>
      <c r="G129" s="452">
        <v>40.700000000000003</v>
      </c>
      <c r="H129" s="452">
        <v>52</v>
      </c>
      <c r="I129" s="452">
        <v>62.1</v>
      </c>
      <c r="J129" s="453">
        <v>67</v>
      </c>
      <c r="K129" s="452">
        <v>64.8</v>
      </c>
      <c r="L129" s="452">
        <v>54.6</v>
      </c>
      <c r="M129" s="452">
        <v>42.7</v>
      </c>
      <c r="N129" s="452">
        <v>29.8</v>
      </c>
      <c r="O129" s="452">
        <v>18.899999999999999</v>
      </c>
      <c r="P129" s="452">
        <v>41.3</v>
      </c>
      <c r="Q129" s="454">
        <v>1</v>
      </c>
      <c r="R129" s="455">
        <f t="shared" si="1"/>
        <v>41.258333333333333</v>
      </c>
    </row>
    <row r="130" spans="1:18" ht="13.5" customHeight="1" x14ac:dyDescent="0.2">
      <c r="A130" s="449" t="s">
        <v>1520</v>
      </c>
      <c r="B130" s="450" t="s">
        <v>1392</v>
      </c>
      <c r="C130" s="451" t="s">
        <v>1393</v>
      </c>
      <c r="D130" s="452">
        <v>14.8</v>
      </c>
      <c r="E130" s="452">
        <v>17.7</v>
      </c>
      <c r="F130" s="452">
        <v>24.6</v>
      </c>
      <c r="G130" s="452">
        <v>32.6</v>
      </c>
      <c r="H130" s="452">
        <v>43.5</v>
      </c>
      <c r="I130" s="452">
        <v>52.9</v>
      </c>
      <c r="J130" s="453">
        <v>59.1</v>
      </c>
      <c r="K130" s="452">
        <v>57.1</v>
      </c>
      <c r="L130" s="452">
        <v>46.2</v>
      </c>
      <c r="M130" s="452">
        <v>33.700000000000003</v>
      </c>
      <c r="N130" s="452">
        <v>22.5</v>
      </c>
      <c r="O130" s="452">
        <v>14.9</v>
      </c>
      <c r="P130" s="452">
        <v>35</v>
      </c>
      <c r="Q130" s="454">
        <v>1</v>
      </c>
      <c r="R130" s="455">
        <f t="shared" si="1"/>
        <v>34.966666666666661</v>
      </c>
    </row>
    <row r="131" spans="1:18" ht="13.5" customHeight="1" x14ac:dyDescent="0.2">
      <c r="A131" s="449" t="s">
        <v>1521</v>
      </c>
      <c r="B131" s="450" t="s">
        <v>1392</v>
      </c>
      <c r="C131" s="451" t="s">
        <v>1393</v>
      </c>
      <c r="D131" s="452">
        <v>11.5</v>
      </c>
      <c r="E131" s="452">
        <v>15.7</v>
      </c>
      <c r="F131" s="452">
        <v>23.8</v>
      </c>
      <c r="G131" s="452">
        <v>33.799999999999997</v>
      </c>
      <c r="H131" s="452">
        <v>44.6</v>
      </c>
      <c r="I131" s="452">
        <v>54.7</v>
      </c>
      <c r="J131" s="453">
        <v>60.8</v>
      </c>
      <c r="K131" s="452">
        <v>59.2</v>
      </c>
      <c r="L131" s="452">
        <v>48.3</v>
      </c>
      <c r="M131" s="452">
        <v>34.799999999999997</v>
      </c>
      <c r="N131" s="452">
        <v>22.2</v>
      </c>
      <c r="O131" s="452">
        <v>13.5</v>
      </c>
      <c r="P131" s="452">
        <v>35.200000000000003</v>
      </c>
      <c r="Q131" s="454">
        <v>1</v>
      </c>
      <c r="R131" s="455">
        <f t="shared" si="1"/>
        <v>35.241666666666667</v>
      </c>
    </row>
    <row r="132" spans="1:18" ht="13.5" customHeight="1" x14ac:dyDescent="0.2">
      <c r="A132" s="449" t="s">
        <v>1522</v>
      </c>
      <c r="B132" s="450" t="s">
        <v>1392</v>
      </c>
      <c r="C132" s="451" t="s">
        <v>1393</v>
      </c>
      <c r="D132" s="452">
        <v>13.1</v>
      </c>
      <c r="E132" s="452">
        <v>16.899999999999999</v>
      </c>
      <c r="F132" s="452">
        <v>22.9</v>
      </c>
      <c r="G132" s="452">
        <v>27.7</v>
      </c>
      <c r="H132" s="452">
        <v>34.4</v>
      </c>
      <c r="I132" s="452">
        <v>42</v>
      </c>
      <c r="J132" s="453">
        <v>49.2</v>
      </c>
      <c r="K132" s="452">
        <v>48.1</v>
      </c>
      <c r="L132" s="452">
        <v>38.700000000000003</v>
      </c>
      <c r="M132" s="452">
        <v>28.9</v>
      </c>
      <c r="N132" s="452">
        <v>19.8</v>
      </c>
      <c r="O132" s="452">
        <v>12.6</v>
      </c>
      <c r="P132" s="452">
        <v>29.5</v>
      </c>
      <c r="Q132" s="454">
        <v>1</v>
      </c>
      <c r="R132" s="455">
        <f t="shared" ref="R132:R195" si="2">AVERAGE(D132:O132)</f>
        <v>29.525000000000002</v>
      </c>
    </row>
    <row r="133" spans="1:18" ht="13.5" customHeight="1" x14ac:dyDescent="0.2">
      <c r="A133" s="449" t="s">
        <v>1523</v>
      </c>
      <c r="B133" s="450" t="s">
        <v>1392</v>
      </c>
      <c r="C133" s="451" t="s">
        <v>1393</v>
      </c>
      <c r="D133" s="452">
        <v>39.4</v>
      </c>
      <c r="E133" s="452">
        <v>43.2</v>
      </c>
      <c r="F133" s="452">
        <v>49.2</v>
      </c>
      <c r="G133" s="452">
        <v>55.6</v>
      </c>
      <c r="H133" s="452">
        <v>65.8</v>
      </c>
      <c r="I133" s="452">
        <v>74.3</v>
      </c>
      <c r="J133" s="453">
        <v>81.2</v>
      </c>
      <c r="K133" s="452">
        <v>79.8</v>
      </c>
      <c r="L133" s="452">
        <v>71.400000000000006</v>
      </c>
      <c r="M133" s="452">
        <v>58.7</v>
      </c>
      <c r="N133" s="452">
        <v>46.3</v>
      </c>
      <c r="O133" s="452">
        <v>38.700000000000003</v>
      </c>
      <c r="P133" s="452">
        <v>58.6</v>
      </c>
      <c r="Q133" s="454">
        <v>1</v>
      </c>
      <c r="R133" s="455">
        <f t="shared" si="2"/>
        <v>58.633333333333333</v>
      </c>
    </row>
    <row r="134" spans="1:18" ht="13.5" customHeight="1" x14ac:dyDescent="0.2">
      <c r="A134" s="449" t="s">
        <v>1524</v>
      </c>
      <c r="B134" s="450" t="s">
        <v>1392</v>
      </c>
      <c r="C134" s="451" t="s">
        <v>1393</v>
      </c>
      <c r="D134" s="452">
        <v>20.8</v>
      </c>
      <c r="E134" s="452">
        <v>25.3</v>
      </c>
      <c r="F134" s="452">
        <v>29.2</v>
      </c>
      <c r="G134" s="452">
        <v>35.200000000000003</v>
      </c>
      <c r="H134" s="452">
        <v>44.8</v>
      </c>
      <c r="I134" s="452">
        <v>51.9</v>
      </c>
      <c r="J134" s="453">
        <v>58.3</v>
      </c>
      <c r="K134" s="452">
        <v>54.6</v>
      </c>
      <c r="L134" s="452">
        <v>45.3</v>
      </c>
      <c r="M134" s="452">
        <v>35.200000000000003</v>
      </c>
      <c r="N134" s="452">
        <v>24.4</v>
      </c>
      <c r="O134" s="452">
        <v>19.3</v>
      </c>
      <c r="P134" s="452">
        <v>37</v>
      </c>
      <c r="Q134" s="454">
        <v>1</v>
      </c>
      <c r="R134" s="455">
        <f t="shared" si="2"/>
        <v>37.024999999999999</v>
      </c>
    </row>
    <row r="135" spans="1:18" ht="13.5" customHeight="1" x14ac:dyDescent="0.2">
      <c r="A135" s="449" t="s">
        <v>1525</v>
      </c>
      <c r="B135" s="450" t="s">
        <v>1392</v>
      </c>
      <c r="C135" s="451" t="s">
        <v>1393</v>
      </c>
      <c r="D135" s="452">
        <v>35.1</v>
      </c>
      <c r="E135" s="452">
        <v>38.200000000000003</v>
      </c>
      <c r="F135" s="452">
        <v>42.8</v>
      </c>
      <c r="G135" s="452">
        <v>48.2</v>
      </c>
      <c r="H135" s="452">
        <v>57.9</v>
      </c>
      <c r="I135" s="452">
        <v>66.2</v>
      </c>
      <c r="J135" s="452">
        <v>73.7</v>
      </c>
      <c r="K135" s="452">
        <v>72.400000000000006</v>
      </c>
      <c r="L135" s="452">
        <v>64</v>
      </c>
      <c r="M135" s="452">
        <v>52</v>
      </c>
      <c r="N135" s="452">
        <v>41.1</v>
      </c>
      <c r="O135" s="452">
        <v>34.200000000000003</v>
      </c>
      <c r="P135" s="452">
        <v>52.2</v>
      </c>
      <c r="Q135" s="454">
        <v>1</v>
      </c>
      <c r="R135" s="455">
        <f t="shared" si="2"/>
        <v>52.150000000000006</v>
      </c>
    </row>
    <row r="136" spans="1:18" ht="13.5" customHeight="1" x14ac:dyDescent="0.2">
      <c r="A136" s="449" t="s">
        <v>1526</v>
      </c>
      <c r="B136" s="450" t="s">
        <v>1392</v>
      </c>
      <c r="C136" s="451" t="s">
        <v>1393</v>
      </c>
      <c r="D136" s="452">
        <v>25.1</v>
      </c>
      <c r="E136" s="452">
        <v>28.6</v>
      </c>
      <c r="F136" s="452">
        <v>32.799999999999997</v>
      </c>
      <c r="G136" s="452">
        <v>37</v>
      </c>
      <c r="H136" s="452">
        <v>45.5</v>
      </c>
      <c r="I136" s="452">
        <v>52.3</v>
      </c>
      <c r="J136" s="452">
        <v>59.2</v>
      </c>
      <c r="K136" s="452">
        <v>56.7</v>
      </c>
      <c r="L136" s="452">
        <v>48.7</v>
      </c>
      <c r="M136" s="452">
        <v>39</v>
      </c>
      <c r="N136" s="452">
        <v>30</v>
      </c>
      <c r="O136" s="452">
        <v>25.1</v>
      </c>
      <c r="P136" s="452">
        <v>40</v>
      </c>
      <c r="Q136" s="454">
        <v>1</v>
      </c>
      <c r="R136" s="455">
        <f t="shared" si="2"/>
        <v>40</v>
      </c>
    </row>
    <row r="137" spans="1:18" ht="13.5" customHeight="1" x14ac:dyDescent="0.2">
      <c r="A137" s="449" t="s">
        <v>1527</v>
      </c>
      <c r="B137" s="450" t="s">
        <v>1392</v>
      </c>
      <c r="C137" s="451" t="s">
        <v>1393</v>
      </c>
      <c r="D137" s="452">
        <v>21.9</v>
      </c>
      <c r="E137" s="452">
        <v>25.6</v>
      </c>
      <c r="F137" s="452">
        <v>29.9</v>
      </c>
      <c r="G137" s="452">
        <v>34.9</v>
      </c>
      <c r="H137" s="452">
        <v>44.2</v>
      </c>
      <c r="I137" s="452">
        <v>52.3</v>
      </c>
      <c r="J137" s="452">
        <v>58.8</v>
      </c>
      <c r="K137" s="452">
        <v>56.8</v>
      </c>
      <c r="L137" s="452">
        <v>49.1</v>
      </c>
      <c r="M137" s="452">
        <v>38.4</v>
      </c>
      <c r="N137" s="452">
        <v>27.5</v>
      </c>
      <c r="O137" s="452">
        <v>20.2</v>
      </c>
      <c r="P137" s="452">
        <v>38.299999999999997</v>
      </c>
      <c r="Q137" s="454">
        <v>1</v>
      </c>
      <c r="R137" s="455">
        <f t="shared" si="2"/>
        <v>38.300000000000004</v>
      </c>
    </row>
    <row r="138" spans="1:18" ht="13.5" customHeight="1" x14ac:dyDescent="0.2">
      <c r="A138" s="449" t="s">
        <v>1528</v>
      </c>
      <c r="B138" s="450" t="s">
        <v>1392</v>
      </c>
      <c r="C138" s="451" t="s">
        <v>1393</v>
      </c>
      <c r="D138" s="452">
        <v>20.5</v>
      </c>
      <c r="E138" s="452">
        <v>24.4</v>
      </c>
      <c r="F138" s="452">
        <v>27.5</v>
      </c>
      <c r="G138" s="452">
        <v>31.4</v>
      </c>
      <c r="H138" s="452">
        <v>39.4</v>
      </c>
      <c r="I138" s="452">
        <v>46.3</v>
      </c>
      <c r="J138" s="452">
        <v>53.5</v>
      </c>
      <c r="K138" s="452">
        <v>49.9</v>
      </c>
      <c r="L138" s="452">
        <v>40.700000000000003</v>
      </c>
      <c r="M138" s="452">
        <v>30.5</v>
      </c>
      <c r="N138" s="452">
        <v>23.1</v>
      </c>
      <c r="O138" s="452">
        <v>18.8</v>
      </c>
      <c r="P138" s="452">
        <v>33.799999999999997</v>
      </c>
      <c r="Q138" s="454">
        <v>1</v>
      </c>
      <c r="R138" s="455">
        <f t="shared" si="2"/>
        <v>33.833333333333336</v>
      </c>
    </row>
    <row r="139" spans="1:18" ht="13.5" customHeight="1" x14ac:dyDescent="0.2">
      <c r="A139" s="449" t="s">
        <v>1529</v>
      </c>
      <c r="B139" s="450" t="s">
        <v>1392</v>
      </c>
      <c r="C139" s="451" t="s">
        <v>1393</v>
      </c>
      <c r="D139" s="452">
        <v>12.3</v>
      </c>
      <c r="E139" s="452">
        <v>14.6</v>
      </c>
      <c r="F139" s="452">
        <v>23.2</v>
      </c>
      <c r="G139" s="452">
        <v>33.200000000000003</v>
      </c>
      <c r="H139" s="452">
        <v>43.2</v>
      </c>
      <c r="I139" s="452">
        <v>53.8</v>
      </c>
      <c r="J139" s="452">
        <v>58.5</v>
      </c>
      <c r="K139" s="452">
        <v>57.1</v>
      </c>
      <c r="L139" s="452">
        <v>48.4</v>
      </c>
      <c r="M139" s="452">
        <v>36.799999999999997</v>
      </c>
      <c r="N139" s="452">
        <v>29</v>
      </c>
      <c r="O139" s="452">
        <v>18.8</v>
      </c>
      <c r="P139" s="452">
        <v>35.700000000000003</v>
      </c>
      <c r="Q139" s="454">
        <v>1</v>
      </c>
      <c r="R139" s="455">
        <f t="shared" si="2"/>
        <v>35.741666666666667</v>
      </c>
    </row>
    <row r="140" spans="1:18" ht="13.5" customHeight="1" x14ac:dyDescent="0.2">
      <c r="A140" s="449" t="s">
        <v>1530</v>
      </c>
      <c r="B140" s="450" t="s">
        <v>1392</v>
      </c>
      <c r="C140" s="451" t="s">
        <v>1393</v>
      </c>
      <c r="D140" s="452">
        <v>25.5</v>
      </c>
      <c r="E140" s="452">
        <v>25.9</v>
      </c>
      <c r="F140" s="452">
        <v>32.700000000000003</v>
      </c>
      <c r="G140" s="452">
        <v>41.9</v>
      </c>
      <c r="H140" s="452">
        <v>50.5</v>
      </c>
      <c r="I140" s="452">
        <v>61</v>
      </c>
      <c r="J140" s="452">
        <v>66.5</v>
      </c>
      <c r="K140" s="452">
        <v>65</v>
      </c>
      <c r="L140" s="452">
        <v>57.5</v>
      </c>
      <c r="M140" s="452">
        <v>45.6</v>
      </c>
      <c r="N140" s="452">
        <v>37.1</v>
      </c>
      <c r="O140" s="452">
        <v>28.7</v>
      </c>
      <c r="P140" s="452">
        <v>44.8</v>
      </c>
      <c r="Q140" s="454">
        <v>1</v>
      </c>
      <c r="R140" s="455">
        <f t="shared" si="2"/>
        <v>44.82500000000001</v>
      </c>
    </row>
    <row r="141" spans="1:18" ht="13.5" customHeight="1" x14ac:dyDescent="0.2">
      <c r="A141" s="449" t="s">
        <v>1531</v>
      </c>
      <c r="B141" s="450" t="s">
        <v>1392</v>
      </c>
      <c r="C141" s="451" t="s">
        <v>1393</v>
      </c>
      <c r="D141" s="452">
        <v>26.3</v>
      </c>
      <c r="E141" s="452">
        <v>27.7</v>
      </c>
      <c r="F141" s="452">
        <v>34.799999999999997</v>
      </c>
      <c r="G141" s="452">
        <v>44.8</v>
      </c>
      <c r="H141" s="452">
        <v>54.1</v>
      </c>
      <c r="I141" s="452">
        <v>64.3</v>
      </c>
      <c r="J141" s="452">
        <v>69.5</v>
      </c>
      <c r="K141" s="452">
        <v>68.599999999999994</v>
      </c>
      <c r="L141" s="452">
        <v>60.9</v>
      </c>
      <c r="M141" s="452">
        <v>49</v>
      </c>
      <c r="N141" s="452">
        <v>40.299999999999997</v>
      </c>
      <c r="O141" s="452">
        <v>31</v>
      </c>
      <c r="P141" s="452">
        <v>47.6</v>
      </c>
      <c r="Q141" s="454">
        <v>1</v>
      </c>
      <c r="R141" s="455">
        <f t="shared" si="2"/>
        <v>47.608333333333327</v>
      </c>
    </row>
    <row r="142" spans="1:18" ht="13.5" customHeight="1" x14ac:dyDescent="0.2">
      <c r="A142" s="449" t="s">
        <v>1532</v>
      </c>
      <c r="B142" s="450" t="s">
        <v>1392</v>
      </c>
      <c r="C142" s="451" t="s">
        <v>1393</v>
      </c>
      <c r="D142" s="452">
        <v>27.6</v>
      </c>
      <c r="E142" s="452">
        <v>31.4</v>
      </c>
      <c r="F142" s="452">
        <v>36.4</v>
      </c>
      <c r="G142" s="452">
        <v>43.7</v>
      </c>
      <c r="H142" s="452">
        <v>53.8</v>
      </c>
      <c r="I142" s="452">
        <v>62.3</v>
      </c>
      <c r="J142" s="452">
        <v>67.099999999999994</v>
      </c>
      <c r="K142" s="452">
        <v>65.400000000000006</v>
      </c>
      <c r="L142" s="452">
        <v>58.6</v>
      </c>
      <c r="M142" s="452">
        <v>46.7</v>
      </c>
      <c r="N142" s="452">
        <v>35</v>
      </c>
      <c r="O142" s="452">
        <v>27.5</v>
      </c>
      <c r="P142" s="452">
        <v>46.3</v>
      </c>
      <c r="Q142" s="454">
        <v>1</v>
      </c>
      <c r="R142" s="455">
        <f t="shared" si="2"/>
        <v>46.291666666666664</v>
      </c>
    </row>
    <row r="143" spans="1:18" ht="13.5" customHeight="1" x14ac:dyDescent="0.2">
      <c r="A143" s="449" t="s">
        <v>1533</v>
      </c>
      <c r="B143" s="450" t="s">
        <v>1392</v>
      </c>
      <c r="C143" s="451" t="s">
        <v>1393</v>
      </c>
      <c r="D143" s="452">
        <v>14.9</v>
      </c>
      <c r="E143" s="452">
        <v>19.5</v>
      </c>
      <c r="F143" s="452">
        <v>22.7</v>
      </c>
      <c r="G143" s="452">
        <v>28.4</v>
      </c>
      <c r="H143" s="452">
        <v>37.5</v>
      </c>
      <c r="I143" s="452">
        <v>45.1</v>
      </c>
      <c r="J143" s="452">
        <v>54.3</v>
      </c>
      <c r="K143" s="452">
        <v>53.3</v>
      </c>
      <c r="L143" s="452">
        <v>43.8</v>
      </c>
      <c r="M143" s="452">
        <v>30.9</v>
      </c>
      <c r="N143" s="452">
        <v>19.899999999999999</v>
      </c>
      <c r="O143" s="452">
        <v>13.8</v>
      </c>
      <c r="P143" s="452">
        <v>32</v>
      </c>
      <c r="Q143" s="454">
        <v>1</v>
      </c>
      <c r="R143" s="455">
        <f t="shared" si="2"/>
        <v>32.008333333333333</v>
      </c>
    </row>
    <row r="144" spans="1:18" ht="13.5" customHeight="1" x14ac:dyDescent="0.2">
      <c r="A144" s="449" t="s">
        <v>1534</v>
      </c>
      <c r="B144" s="450" t="s">
        <v>1392</v>
      </c>
      <c r="C144" s="451" t="s">
        <v>1393</v>
      </c>
      <c r="D144" s="452">
        <v>27.8</v>
      </c>
      <c r="E144" s="452">
        <v>32.5</v>
      </c>
      <c r="F144" s="452">
        <v>38.5</v>
      </c>
      <c r="G144" s="452">
        <v>46.1</v>
      </c>
      <c r="H144" s="452">
        <v>56.4</v>
      </c>
      <c r="I144" s="452">
        <v>64.5</v>
      </c>
      <c r="J144" s="452">
        <v>68.5</v>
      </c>
      <c r="K144" s="452">
        <v>67</v>
      </c>
      <c r="L144" s="452">
        <v>59.5</v>
      </c>
      <c r="M144" s="452">
        <v>47.9</v>
      </c>
      <c r="N144" s="452">
        <v>35.200000000000003</v>
      </c>
      <c r="O144" s="452">
        <v>27.7</v>
      </c>
      <c r="P144" s="452">
        <v>47.6</v>
      </c>
      <c r="Q144" s="454">
        <v>1</v>
      </c>
      <c r="R144" s="455">
        <f t="shared" si="2"/>
        <v>47.633333333333333</v>
      </c>
    </row>
    <row r="145" spans="1:18" ht="13.5" customHeight="1" x14ac:dyDescent="0.2">
      <c r="A145" s="449" t="s">
        <v>1535</v>
      </c>
      <c r="B145" s="450" t="s">
        <v>1392</v>
      </c>
      <c r="C145" s="451" t="s">
        <v>1393</v>
      </c>
      <c r="D145" s="452">
        <v>16.100000000000001</v>
      </c>
      <c r="E145" s="452">
        <v>18.100000000000001</v>
      </c>
      <c r="F145" s="452">
        <v>26.4</v>
      </c>
      <c r="G145" s="452">
        <v>37.700000000000003</v>
      </c>
      <c r="H145" s="452">
        <v>47.7</v>
      </c>
      <c r="I145" s="452">
        <v>57.9</v>
      </c>
      <c r="J145" s="452">
        <v>62</v>
      </c>
      <c r="K145" s="452">
        <v>60.9</v>
      </c>
      <c r="L145" s="452">
        <v>52.7</v>
      </c>
      <c r="M145" s="452">
        <v>40.799999999999997</v>
      </c>
      <c r="N145" s="452">
        <v>32.5</v>
      </c>
      <c r="O145" s="452">
        <v>22.4</v>
      </c>
      <c r="P145" s="452">
        <v>39.6</v>
      </c>
      <c r="Q145" s="454">
        <v>1</v>
      </c>
      <c r="R145" s="455">
        <f t="shared" si="2"/>
        <v>39.599999999999994</v>
      </c>
    </row>
    <row r="146" spans="1:18" ht="13.5" customHeight="1" x14ac:dyDescent="0.2">
      <c r="A146" s="449" t="s">
        <v>1536</v>
      </c>
      <c r="B146" s="450" t="s">
        <v>1392</v>
      </c>
      <c r="C146" s="451" t="s">
        <v>1393</v>
      </c>
      <c r="D146" s="452">
        <v>16.600000000000001</v>
      </c>
      <c r="E146" s="452">
        <v>17.600000000000001</v>
      </c>
      <c r="F146" s="452">
        <v>25.1</v>
      </c>
      <c r="G146" s="452">
        <v>36.299999999999997</v>
      </c>
      <c r="H146" s="452">
        <v>46.5</v>
      </c>
      <c r="I146" s="452">
        <v>56.1</v>
      </c>
      <c r="J146" s="452">
        <v>59.9</v>
      </c>
      <c r="K146" s="452">
        <v>59.1</v>
      </c>
      <c r="L146" s="452">
        <v>51.3</v>
      </c>
      <c r="M146" s="452">
        <v>40.9</v>
      </c>
      <c r="N146" s="452">
        <v>32</v>
      </c>
      <c r="O146" s="452">
        <v>22</v>
      </c>
      <c r="P146" s="452">
        <v>38.6</v>
      </c>
      <c r="Q146" s="454">
        <v>1</v>
      </c>
      <c r="R146" s="455">
        <f t="shared" si="2"/>
        <v>38.616666666666667</v>
      </c>
    </row>
    <row r="147" spans="1:18" ht="13.5" customHeight="1" x14ac:dyDescent="0.2">
      <c r="A147" s="449" t="s">
        <v>1537</v>
      </c>
      <c r="B147" s="450" t="s">
        <v>1392</v>
      </c>
      <c r="C147" s="451" t="s">
        <v>1393</v>
      </c>
      <c r="D147" s="452">
        <v>19.3</v>
      </c>
      <c r="E147" s="452">
        <v>19.7</v>
      </c>
      <c r="F147" s="452">
        <v>26.5</v>
      </c>
      <c r="G147" s="452">
        <v>37.200000000000003</v>
      </c>
      <c r="H147" s="452">
        <v>47.9</v>
      </c>
      <c r="I147" s="452">
        <v>58.4</v>
      </c>
      <c r="J147" s="452">
        <v>62.6</v>
      </c>
      <c r="K147" s="452">
        <v>61.7</v>
      </c>
      <c r="L147" s="452">
        <v>54.2</v>
      </c>
      <c r="M147" s="452">
        <v>43.7</v>
      </c>
      <c r="N147" s="452">
        <v>34.700000000000003</v>
      </c>
      <c r="O147" s="452">
        <v>24.9</v>
      </c>
      <c r="P147" s="452">
        <v>40.9</v>
      </c>
      <c r="Q147" s="454">
        <v>1</v>
      </c>
      <c r="R147" s="455">
        <f t="shared" si="2"/>
        <v>40.9</v>
      </c>
    </row>
    <row r="148" spans="1:18" ht="13.5" customHeight="1" x14ac:dyDescent="0.2">
      <c r="A148" s="449" t="s">
        <v>1538</v>
      </c>
      <c r="B148" s="450" t="s">
        <v>1392</v>
      </c>
      <c r="C148" s="451" t="s">
        <v>1393</v>
      </c>
      <c r="D148" s="452">
        <v>24.7</v>
      </c>
      <c r="E148" s="452">
        <v>25.3</v>
      </c>
      <c r="F148" s="452">
        <v>31.8</v>
      </c>
      <c r="G148" s="452">
        <v>41.1</v>
      </c>
      <c r="H148" s="452">
        <v>50.1</v>
      </c>
      <c r="I148" s="452">
        <v>60.7</v>
      </c>
      <c r="J148" s="452">
        <v>66.5</v>
      </c>
      <c r="K148" s="452">
        <v>65.599999999999994</v>
      </c>
      <c r="L148" s="452">
        <v>58.1</v>
      </c>
      <c r="M148" s="452">
        <v>46.1</v>
      </c>
      <c r="N148" s="452">
        <v>38</v>
      </c>
      <c r="O148" s="452">
        <v>29.4</v>
      </c>
      <c r="P148" s="452">
        <v>44.8</v>
      </c>
      <c r="Q148" s="454">
        <v>1</v>
      </c>
      <c r="R148" s="455">
        <f t="shared" si="2"/>
        <v>44.783333333333331</v>
      </c>
    </row>
    <row r="149" spans="1:18" ht="13.5" customHeight="1" x14ac:dyDescent="0.2">
      <c r="A149" s="449" t="s">
        <v>1539</v>
      </c>
      <c r="B149" s="450" t="s">
        <v>1392</v>
      </c>
      <c r="C149" s="451" t="s">
        <v>1393</v>
      </c>
      <c r="D149" s="452">
        <v>6.6</v>
      </c>
      <c r="E149" s="452">
        <v>8</v>
      </c>
      <c r="F149" s="452">
        <v>19.5</v>
      </c>
      <c r="G149" s="452">
        <v>33.799999999999997</v>
      </c>
      <c r="H149" s="452">
        <v>44.8</v>
      </c>
      <c r="I149" s="452">
        <v>54.8</v>
      </c>
      <c r="J149" s="452">
        <v>59.3</v>
      </c>
      <c r="K149" s="452">
        <v>57.2</v>
      </c>
      <c r="L149" s="452">
        <v>48.9</v>
      </c>
      <c r="M149" s="452">
        <v>38.200000000000003</v>
      </c>
      <c r="N149" s="452">
        <v>28.6</v>
      </c>
      <c r="O149" s="452">
        <v>16</v>
      </c>
      <c r="P149" s="452">
        <v>34.6</v>
      </c>
      <c r="Q149" s="454">
        <v>1</v>
      </c>
      <c r="R149" s="455">
        <f t="shared" si="2"/>
        <v>34.641666666666666</v>
      </c>
    </row>
    <row r="150" spans="1:18" ht="13.5" customHeight="1" x14ac:dyDescent="0.2">
      <c r="A150" s="449" t="s">
        <v>1540</v>
      </c>
      <c r="B150" s="450" t="s">
        <v>1392</v>
      </c>
      <c r="C150" s="451" t="s">
        <v>1393</v>
      </c>
      <c r="D150" s="452">
        <v>28.3</v>
      </c>
      <c r="E150" s="452">
        <v>29.4</v>
      </c>
      <c r="F150" s="452">
        <v>35.9</v>
      </c>
      <c r="G150" s="452">
        <v>45.7</v>
      </c>
      <c r="H150" s="452">
        <v>55.1</v>
      </c>
      <c r="I150" s="452">
        <v>65.400000000000006</v>
      </c>
      <c r="J150" s="452">
        <v>71</v>
      </c>
      <c r="K150" s="452">
        <v>70.5</v>
      </c>
      <c r="L150" s="452">
        <v>63.7</v>
      </c>
      <c r="M150" s="452">
        <v>52.4</v>
      </c>
      <c r="N150" s="452">
        <v>43.3</v>
      </c>
      <c r="O150" s="452">
        <v>33.6</v>
      </c>
      <c r="P150" s="452">
        <v>49.5</v>
      </c>
      <c r="Q150" s="454">
        <v>1</v>
      </c>
      <c r="R150" s="455">
        <f t="shared" si="2"/>
        <v>49.524999999999999</v>
      </c>
    </row>
    <row r="151" spans="1:18" ht="13.5" customHeight="1" x14ac:dyDescent="0.2">
      <c r="A151" s="449" t="s">
        <v>1541</v>
      </c>
      <c r="B151" s="450" t="s">
        <v>1392</v>
      </c>
      <c r="C151" s="451" t="s">
        <v>1393</v>
      </c>
      <c r="D151" s="452">
        <v>27.1</v>
      </c>
      <c r="E151" s="452">
        <v>28.1</v>
      </c>
      <c r="F151" s="452">
        <v>34.6</v>
      </c>
      <c r="G151" s="452">
        <v>43.9</v>
      </c>
      <c r="H151" s="452">
        <v>53</v>
      </c>
      <c r="I151" s="452">
        <v>63.1</v>
      </c>
      <c r="J151" s="452">
        <v>68.900000000000006</v>
      </c>
      <c r="K151" s="452">
        <v>68.3</v>
      </c>
      <c r="L151" s="452">
        <v>61.5</v>
      </c>
      <c r="M151" s="452">
        <v>50.1</v>
      </c>
      <c r="N151" s="452">
        <v>41.2</v>
      </c>
      <c r="O151" s="452">
        <v>32</v>
      </c>
      <c r="P151" s="452">
        <v>47.6</v>
      </c>
      <c r="Q151" s="454">
        <v>1</v>
      </c>
      <c r="R151" s="455">
        <f t="shared" si="2"/>
        <v>47.650000000000006</v>
      </c>
    </row>
    <row r="152" spans="1:18" ht="13.5" customHeight="1" x14ac:dyDescent="0.2">
      <c r="A152" s="449" t="s">
        <v>1542</v>
      </c>
      <c r="B152" s="450" t="s">
        <v>1392</v>
      </c>
      <c r="C152" s="451" t="s">
        <v>1393</v>
      </c>
      <c r="D152" s="452">
        <v>18.7</v>
      </c>
      <c r="E152" s="452">
        <v>19.3</v>
      </c>
      <c r="F152" s="452">
        <v>26.4</v>
      </c>
      <c r="G152" s="452">
        <v>37.200000000000003</v>
      </c>
      <c r="H152" s="452">
        <v>47</v>
      </c>
      <c r="I152" s="452">
        <v>57.1</v>
      </c>
      <c r="J152" s="452">
        <v>61.2</v>
      </c>
      <c r="K152" s="452">
        <v>60.3</v>
      </c>
      <c r="L152" s="452">
        <v>52.7</v>
      </c>
      <c r="M152" s="452">
        <v>42.4</v>
      </c>
      <c r="N152" s="452">
        <v>33.700000000000003</v>
      </c>
      <c r="O152" s="452">
        <v>24.4</v>
      </c>
      <c r="P152" s="452">
        <v>40</v>
      </c>
      <c r="Q152" s="454">
        <v>1</v>
      </c>
      <c r="R152" s="455">
        <f t="shared" si="2"/>
        <v>40.033333333333331</v>
      </c>
    </row>
    <row r="153" spans="1:18" ht="13.5" customHeight="1" x14ac:dyDescent="0.2">
      <c r="A153" s="449" t="s">
        <v>1543</v>
      </c>
      <c r="B153" s="450" t="s">
        <v>1392</v>
      </c>
      <c r="C153" s="451" t="s">
        <v>1393</v>
      </c>
      <c r="D153" s="452">
        <v>17</v>
      </c>
      <c r="E153" s="452">
        <v>18</v>
      </c>
      <c r="F153" s="452">
        <v>25.7</v>
      </c>
      <c r="G153" s="452">
        <v>36.9</v>
      </c>
      <c r="H153" s="452">
        <v>47</v>
      </c>
      <c r="I153" s="452">
        <v>57.2</v>
      </c>
      <c r="J153" s="452">
        <v>61.7</v>
      </c>
      <c r="K153" s="452">
        <v>60.6</v>
      </c>
      <c r="L153" s="452">
        <v>52.7</v>
      </c>
      <c r="M153" s="452">
        <v>42.2</v>
      </c>
      <c r="N153" s="452">
        <v>33.5</v>
      </c>
      <c r="O153" s="452">
        <v>23.4</v>
      </c>
      <c r="P153" s="452">
        <v>39.700000000000003</v>
      </c>
      <c r="Q153" s="454">
        <v>1</v>
      </c>
      <c r="R153" s="455">
        <f t="shared" si="2"/>
        <v>39.658333333333331</v>
      </c>
    </row>
    <row r="154" spans="1:18" ht="13.5" customHeight="1" x14ac:dyDescent="0.2">
      <c r="A154" s="449" t="s">
        <v>1544</v>
      </c>
      <c r="B154" s="450" t="s">
        <v>1392</v>
      </c>
      <c r="C154" s="451" t="s">
        <v>1393</v>
      </c>
      <c r="D154" s="452">
        <v>28.4</v>
      </c>
      <c r="E154" s="452">
        <v>30.3</v>
      </c>
      <c r="F154" s="452">
        <v>36.1</v>
      </c>
      <c r="G154" s="452">
        <v>44</v>
      </c>
      <c r="H154" s="452">
        <v>52.3</v>
      </c>
      <c r="I154" s="452">
        <v>60.3</v>
      </c>
      <c r="J154" s="452">
        <v>64</v>
      </c>
      <c r="K154" s="452">
        <v>63.5</v>
      </c>
      <c r="L154" s="452">
        <v>56.7</v>
      </c>
      <c r="M154" s="452">
        <v>45.2</v>
      </c>
      <c r="N154" s="452">
        <v>36</v>
      </c>
      <c r="O154" s="452">
        <v>29.7</v>
      </c>
      <c r="P154" s="452">
        <v>45.6</v>
      </c>
      <c r="Q154" s="454">
        <v>1</v>
      </c>
      <c r="R154" s="455">
        <f t="shared" si="2"/>
        <v>45.541666666666664</v>
      </c>
    </row>
    <row r="155" spans="1:18" ht="13.5" customHeight="1" x14ac:dyDescent="0.2">
      <c r="A155" s="449" t="s">
        <v>1545</v>
      </c>
      <c r="B155" s="450" t="s">
        <v>1392</v>
      </c>
      <c r="C155" s="451" t="s">
        <v>1393</v>
      </c>
      <c r="D155" s="452">
        <v>33.1</v>
      </c>
      <c r="E155" s="452">
        <v>35.200000000000003</v>
      </c>
      <c r="F155" s="452">
        <v>41.9</v>
      </c>
      <c r="G155" s="452">
        <v>49.7</v>
      </c>
      <c r="H155" s="452">
        <v>58.4</v>
      </c>
      <c r="I155" s="452">
        <v>66.7</v>
      </c>
      <c r="J155" s="452">
        <v>70.099999999999994</v>
      </c>
      <c r="K155" s="452">
        <v>69.3</v>
      </c>
      <c r="L155" s="452">
        <v>62.7</v>
      </c>
      <c r="M155" s="452">
        <v>50.9</v>
      </c>
      <c r="N155" s="452">
        <v>41.2</v>
      </c>
      <c r="O155" s="452">
        <v>34.299999999999997</v>
      </c>
      <c r="P155" s="452">
        <v>51.1</v>
      </c>
      <c r="Q155" s="454">
        <v>1</v>
      </c>
      <c r="R155" s="455">
        <f t="shared" si="2"/>
        <v>51.125</v>
      </c>
    </row>
    <row r="156" spans="1:18" ht="13.5" customHeight="1" x14ac:dyDescent="0.2">
      <c r="A156" s="449" t="s">
        <v>1546</v>
      </c>
      <c r="B156" s="450" t="s">
        <v>1392</v>
      </c>
      <c r="C156" s="451" t="s">
        <v>1393</v>
      </c>
      <c r="D156" s="452">
        <v>32.1</v>
      </c>
      <c r="E156" s="452">
        <v>33.799999999999997</v>
      </c>
      <c r="F156" s="452">
        <v>40.299999999999997</v>
      </c>
      <c r="G156" s="452">
        <v>48.6</v>
      </c>
      <c r="H156" s="452">
        <v>56.9</v>
      </c>
      <c r="I156" s="452">
        <v>66</v>
      </c>
      <c r="J156" s="452">
        <v>69.900000000000006</v>
      </c>
      <c r="K156" s="452">
        <v>68.7</v>
      </c>
      <c r="L156" s="452">
        <v>61.9</v>
      </c>
      <c r="M156" s="452">
        <v>49.7</v>
      </c>
      <c r="N156" s="452">
        <v>40.4</v>
      </c>
      <c r="O156" s="452">
        <v>33.5</v>
      </c>
      <c r="P156" s="452">
        <v>50.2</v>
      </c>
      <c r="Q156" s="454">
        <v>1</v>
      </c>
      <c r="R156" s="455">
        <f t="shared" si="2"/>
        <v>50.15</v>
      </c>
    </row>
    <row r="157" spans="1:18" ht="13.5" customHeight="1" x14ac:dyDescent="0.2">
      <c r="A157" s="449" t="s">
        <v>1547</v>
      </c>
      <c r="B157" s="450" t="s">
        <v>1392</v>
      </c>
      <c r="C157" s="451" t="s">
        <v>1393</v>
      </c>
      <c r="D157" s="452">
        <v>30.9</v>
      </c>
      <c r="E157" s="452">
        <v>32.700000000000003</v>
      </c>
      <c r="F157" s="452">
        <v>39.700000000000003</v>
      </c>
      <c r="G157" s="452">
        <v>48.1</v>
      </c>
      <c r="H157" s="452">
        <v>56.7</v>
      </c>
      <c r="I157" s="452">
        <v>65.599999999999994</v>
      </c>
      <c r="J157" s="452">
        <v>69.3</v>
      </c>
      <c r="K157" s="452">
        <v>68.2</v>
      </c>
      <c r="L157" s="452">
        <v>61.1</v>
      </c>
      <c r="M157" s="452">
        <v>49.3</v>
      </c>
      <c r="N157" s="452">
        <v>39.799999999999997</v>
      </c>
      <c r="O157" s="452">
        <v>32.5</v>
      </c>
      <c r="P157" s="452">
        <v>49.5</v>
      </c>
      <c r="Q157" s="454">
        <v>1</v>
      </c>
      <c r="R157" s="455">
        <f t="shared" si="2"/>
        <v>49.491666666666667</v>
      </c>
    </row>
    <row r="158" spans="1:18" ht="13.5" customHeight="1" x14ac:dyDescent="0.2">
      <c r="A158" s="449" t="s">
        <v>1548</v>
      </c>
      <c r="B158" s="450" t="s">
        <v>1392</v>
      </c>
      <c r="C158" s="451" t="s">
        <v>1393</v>
      </c>
      <c r="D158" s="452">
        <v>36.9</v>
      </c>
      <c r="E158" s="452">
        <v>38</v>
      </c>
      <c r="F158" s="452">
        <v>44.2</v>
      </c>
      <c r="G158" s="452">
        <v>52.5</v>
      </c>
      <c r="H158" s="452">
        <v>60.7</v>
      </c>
      <c r="I158" s="452">
        <v>69.2</v>
      </c>
      <c r="J158" s="452">
        <v>73</v>
      </c>
      <c r="K158" s="452">
        <v>71.5</v>
      </c>
      <c r="L158" s="452">
        <v>66.2</v>
      </c>
      <c r="M158" s="452">
        <v>55.1</v>
      </c>
      <c r="N158" s="452">
        <v>45.3</v>
      </c>
      <c r="O158" s="452">
        <v>38.1</v>
      </c>
      <c r="P158" s="452">
        <v>54.2</v>
      </c>
      <c r="Q158" s="454">
        <v>1</v>
      </c>
      <c r="R158" s="455">
        <f t="shared" si="2"/>
        <v>54.225000000000001</v>
      </c>
    </row>
    <row r="159" spans="1:18" ht="13.5" customHeight="1" x14ac:dyDescent="0.2">
      <c r="A159" s="449" t="s">
        <v>1549</v>
      </c>
      <c r="B159" s="450" t="s">
        <v>1392</v>
      </c>
      <c r="C159" s="451" t="s">
        <v>1393</v>
      </c>
      <c r="D159" s="452">
        <v>2.1</v>
      </c>
      <c r="E159" s="452">
        <v>8.4</v>
      </c>
      <c r="F159" s="452">
        <v>19.3</v>
      </c>
      <c r="G159" s="452">
        <v>31.3</v>
      </c>
      <c r="H159" s="452">
        <v>43</v>
      </c>
      <c r="I159" s="452">
        <v>52.9</v>
      </c>
      <c r="J159" s="452">
        <v>57.8</v>
      </c>
      <c r="K159" s="452">
        <v>56.1</v>
      </c>
      <c r="L159" s="452">
        <v>46.1</v>
      </c>
      <c r="M159" s="452">
        <v>33.1</v>
      </c>
      <c r="N159" s="452">
        <v>20</v>
      </c>
      <c r="O159" s="452">
        <v>8.4</v>
      </c>
      <c r="P159" s="452">
        <v>31.5</v>
      </c>
      <c r="Q159" s="454">
        <v>1</v>
      </c>
      <c r="R159" s="455">
        <f t="shared" si="2"/>
        <v>31.541666666666671</v>
      </c>
    </row>
    <row r="160" spans="1:18" ht="13.5" customHeight="1" x14ac:dyDescent="0.2">
      <c r="A160" s="449" t="s">
        <v>1550</v>
      </c>
      <c r="B160" s="450" t="s">
        <v>1392</v>
      </c>
      <c r="C160" s="451" t="s">
        <v>1393</v>
      </c>
      <c r="D160" s="452">
        <v>0.3</v>
      </c>
      <c r="E160" s="452">
        <v>5.7</v>
      </c>
      <c r="F160" s="452">
        <v>19.3</v>
      </c>
      <c r="G160" s="452">
        <v>33.5</v>
      </c>
      <c r="H160" s="452">
        <v>45.3</v>
      </c>
      <c r="I160" s="452">
        <v>56</v>
      </c>
      <c r="J160" s="452">
        <v>59.6</v>
      </c>
      <c r="K160" s="452">
        <v>57.8</v>
      </c>
      <c r="L160" s="452">
        <v>48.6</v>
      </c>
      <c r="M160" s="452">
        <v>36.1</v>
      </c>
      <c r="N160" s="452">
        <v>21.6</v>
      </c>
      <c r="O160" s="452">
        <v>7.9</v>
      </c>
      <c r="P160" s="452">
        <v>32.6</v>
      </c>
      <c r="Q160" s="454">
        <v>1</v>
      </c>
      <c r="R160" s="455">
        <f t="shared" si="2"/>
        <v>32.641666666666673</v>
      </c>
    </row>
    <row r="161" spans="1:18" ht="13.5" customHeight="1" x14ac:dyDescent="0.2">
      <c r="A161" s="449" t="s">
        <v>1551</v>
      </c>
      <c r="B161" s="450" t="s">
        <v>1392</v>
      </c>
      <c r="C161" s="451" t="s">
        <v>1393</v>
      </c>
      <c r="D161" s="452">
        <v>3.5</v>
      </c>
      <c r="E161" s="452">
        <v>8.8000000000000007</v>
      </c>
      <c r="F161" s="452">
        <v>19.3</v>
      </c>
      <c r="G161" s="452">
        <v>32.1</v>
      </c>
      <c r="H161" s="452">
        <v>43.3</v>
      </c>
      <c r="I161" s="453">
        <v>53.4</v>
      </c>
      <c r="J161" s="452">
        <v>58.2</v>
      </c>
      <c r="K161" s="452">
        <v>56.2</v>
      </c>
      <c r="L161" s="452">
        <v>47</v>
      </c>
      <c r="M161" s="452">
        <v>34.4</v>
      </c>
      <c r="N161" s="452">
        <v>20.9</v>
      </c>
      <c r="O161" s="452">
        <v>8.9</v>
      </c>
      <c r="P161" s="452">
        <v>32.200000000000003</v>
      </c>
      <c r="Q161" s="454">
        <v>1</v>
      </c>
      <c r="R161" s="455">
        <f t="shared" si="2"/>
        <v>32.166666666666664</v>
      </c>
    </row>
    <row r="162" spans="1:18" ht="13.5" customHeight="1" x14ac:dyDescent="0.2">
      <c r="A162" s="449" t="s">
        <v>1552</v>
      </c>
      <c r="B162" s="450" t="s">
        <v>1392</v>
      </c>
      <c r="C162" s="451" t="s">
        <v>1393</v>
      </c>
      <c r="D162" s="452">
        <v>0.5</v>
      </c>
      <c r="E162" s="452">
        <v>7.4</v>
      </c>
      <c r="F162" s="452">
        <v>18.399999999999999</v>
      </c>
      <c r="G162" s="452">
        <v>30.9</v>
      </c>
      <c r="H162" s="452">
        <v>40.9</v>
      </c>
      <c r="I162" s="453">
        <v>50.6</v>
      </c>
      <c r="J162" s="452">
        <v>56.6</v>
      </c>
      <c r="K162" s="452">
        <v>54.9</v>
      </c>
      <c r="L162" s="452">
        <v>43.8</v>
      </c>
      <c r="M162" s="452">
        <v>31.3</v>
      </c>
      <c r="N162" s="452">
        <v>18.100000000000001</v>
      </c>
      <c r="O162" s="452">
        <v>6</v>
      </c>
      <c r="P162" s="452">
        <v>29.9</v>
      </c>
      <c r="Q162" s="454">
        <v>1</v>
      </c>
      <c r="R162" s="455">
        <f t="shared" si="2"/>
        <v>29.950000000000003</v>
      </c>
    </row>
    <row r="163" spans="1:18" ht="13.5" customHeight="1" x14ac:dyDescent="0.2">
      <c r="A163" s="449" t="s">
        <v>1553</v>
      </c>
      <c r="B163" s="450" t="s">
        <v>1392</v>
      </c>
      <c r="C163" s="451" t="s">
        <v>1393</v>
      </c>
      <c r="D163" s="452">
        <v>20.100000000000001</v>
      </c>
      <c r="E163" s="452">
        <v>21.7</v>
      </c>
      <c r="F163" s="452">
        <v>29</v>
      </c>
      <c r="G163" s="452">
        <v>39.700000000000003</v>
      </c>
      <c r="H163" s="452">
        <v>49.2</v>
      </c>
      <c r="I163" s="453">
        <v>58.9</v>
      </c>
      <c r="J163" s="452">
        <v>62.5</v>
      </c>
      <c r="K163" s="452">
        <v>61.5</v>
      </c>
      <c r="L163" s="452">
        <v>53.9</v>
      </c>
      <c r="M163" s="452">
        <v>43</v>
      </c>
      <c r="N163" s="452">
        <v>34.1</v>
      </c>
      <c r="O163" s="452">
        <v>24.7</v>
      </c>
      <c r="P163" s="452">
        <v>41.5</v>
      </c>
      <c r="Q163" s="454">
        <v>1</v>
      </c>
      <c r="R163" s="455">
        <f t="shared" si="2"/>
        <v>41.524999999999999</v>
      </c>
    </row>
    <row r="164" spans="1:18" ht="13.5" customHeight="1" x14ac:dyDescent="0.2">
      <c r="A164" s="449" t="s">
        <v>1554</v>
      </c>
      <c r="B164" s="450" t="s">
        <v>1392</v>
      </c>
      <c r="C164" s="451" t="s">
        <v>1393</v>
      </c>
      <c r="D164" s="452">
        <v>21.6</v>
      </c>
      <c r="E164" s="452">
        <v>23.2</v>
      </c>
      <c r="F164" s="452">
        <v>29.8</v>
      </c>
      <c r="G164" s="452">
        <v>40.4</v>
      </c>
      <c r="H164" s="452">
        <v>50</v>
      </c>
      <c r="I164" s="453">
        <v>60.1</v>
      </c>
      <c r="J164" s="452">
        <v>64.099999999999994</v>
      </c>
      <c r="K164" s="452">
        <v>63.2</v>
      </c>
      <c r="L164" s="452">
        <v>55.8</v>
      </c>
      <c r="M164" s="452">
        <v>45.3</v>
      </c>
      <c r="N164" s="452">
        <v>36.299999999999997</v>
      </c>
      <c r="O164" s="452">
        <v>26.4</v>
      </c>
      <c r="P164" s="452">
        <v>43</v>
      </c>
      <c r="Q164" s="454">
        <v>1</v>
      </c>
      <c r="R164" s="455">
        <f t="shared" si="2"/>
        <v>43.016666666666673</v>
      </c>
    </row>
    <row r="165" spans="1:18" ht="13.5" customHeight="1" x14ac:dyDescent="0.2">
      <c r="A165" s="449" t="s">
        <v>1555</v>
      </c>
      <c r="B165" s="450" t="s">
        <v>1392</v>
      </c>
      <c r="C165" s="451" t="s">
        <v>1393</v>
      </c>
      <c r="D165" s="452">
        <v>23</v>
      </c>
      <c r="E165" s="452">
        <v>25</v>
      </c>
      <c r="F165" s="452">
        <v>32.700000000000003</v>
      </c>
      <c r="G165" s="452">
        <v>43.1</v>
      </c>
      <c r="H165" s="452">
        <v>52.4</v>
      </c>
      <c r="I165" s="453">
        <v>62.3</v>
      </c>
      <c r="J165" s="452">
        <v>65.7</v>
      </c>
      <c r="K165" s="452">
        <v>64.599999999999994</v>
      </c>
      <c r="L165" s="452">
        <v>56.8</v>
      </c>
      <c r="M165" s="452">
        <v>45.2</v>
      </c>
      <c r="N165" s="452">
        <v>36.200000000000003</v>
      </c>
      <c r="O165" s="452">
        <v>27.2</v>
      </c>
      <c r="P165" s="452">
        <v>44.5</v>
      </c>
      <c r="Q165" s="454">
        <v>1</v>
      </c>
      <c r="R165" s="455">
        <f t="shared" si="2"/>
        <v>44.516666666666659</v>
      </c>
    </row>
    <row r="166" spans="1:18" ht="13.5" customHeight="1" x14ac:dyDescent="0.2">
      <c r="A166" s="449" t="s">
        <v>1556</v>
      </c>
      <c r="B166" s="450" t="s">
        <v>1392</v>
      </c>
      <c r="C166" s="451" t="s">
        <v>1393</v>
      </c>
      <c r="D166" s="452">
        <v>21.1</v>
      </c>
      <c r="E166" s="452">
        <v>23.6</v>
      </c>
      <c r="F166" s="452">
        <v>31.6</v>
      </c>
      <c r="G166" s="452">
        <v>42.3</v>
      </c>
      <c r="H166" s="452">
        <v>52.2</v>
      </c>
      <c r="I166" s="453">
        <v>61.9</v>
      </c>
      <c r="J166" s="452">
        <v>64.900000000000006</v>
      </c>
      <c r="K166" s="452">
        <v>63.6</v>
      </c>
      <c r="L166" s="452">
        <v>55.4</v>
      </c>
      <c r="M166" s="452">
        <v>44.7</v>
      </c>
      <c r="N166" s="452">
        <v>34.9</v>
      </c>
      <c r="O166" s="452">
        <v>25.4</v>
      </c>
      <c r="P166" s="452">
        <v>43.5</v>
      </c>
      <c r="Q166" s="454">
        <v>1</v>
      </c>
      <c r="R166" s="455">
        <f t="shared" si="2"/>
        <v>43.466666666666669</v>
      </c>
    </row>
    <row r="167" spans="1:18" ht="13.5" customHeight="1" x14ac:dyDescent="0.2">
      <c r="A167" s="449" t="s">
        <v>1557</v>
      </c>
      <c r="B167" s="450" t="s">
        <v>1392</v>
      </c>
      <c r="C167" s="451" t="s">
        <v>1393</v>
      </c>
      <c r="D167" s="452">
        <v>19.399999999999999</v>
      </c>
      <c r="E167" s="452">
        <v>21.3</v>
      </c>
      <c r="F167" s="452">
        <v>28.8</v>
      </c>
      <c r="G167" s="452">
        <v>39.299999999999997</v>
      </c>
      <c r="H167" s="452">
        <v>48.9</v>
      </c>
      <c r="I167" s="453">
        <v>58.6</v>
      </c>
      <c r="J167" s="452">
        <v>61.9</v>
      </c>
      <c r="K167" s="452">
        <v>61</v>
      </c>
      <c r="L167" s="452">
        <v>53.2</v>
      </c>
      <c r="M167" s="452">
        <v>42.9</v>
      </c>
      <c r="N167" s="452">
        <v>33.6</v>
      </c>
      <c r="O167" s="452">
        <v>24.4</v>
      </c>
      <c r="P167" s="452">
        <v>41.1</v>
      </c>
      <c r="Q167" s="454">
        <v>1</v>
      </c>
      <c r="R167" s="455">
        <f t="shared" si="2"/>
        <v>41.108333333333327</v>
      </c>
    </row>
    <row r="168" spans="1:18" ht="13.5" customHeight="1" x14ac:dyDescent="0.2">
      <c r="A168" s="449" t="s">
        <v>1558</v>
      </c>
      <c r="B168" s="450" t="s">
        <v>1392</v>
      </c>
      <c r="C168" s="451" t="s">
        <v>1393</v>
      </c>
      <c r="D168" s="452">
        <v>19.399999999999999</v>
      </c>
      <c r="E168" s="452">
        <v>21.5</v>
      </c>
      <c r="F168" s="452">
        <v>28.9</v>
      </c>
      <c r="G168" s="452">
        <v>39.700000000000003</v>
      </c>
      <c r="H168" s="452">
        <v>49.4</v>
      </c>
      <c r="I168" s="452">
        <v>59.5</v>
      </c>
      <c r="J168" s="452">
        <v>62.8</v>
      </c>
      <c r="K168" s="452">
        <v>61.8</v>
      </c>
      <c r="L168" s="452">
        <v>53.5</v>
      </c>
      <c r="M168" s="452">
        <v>42.9</v>
      </c>
      <c r="N168" s="452">
        <v>33.700000000000003</v>
      </c>
      <c r="O168" s="452">
        <v>24.1</v>
      </c>
      <c r="P168" s="452">
        <v>41.5</v>
      </c>
      <c r="Q168" s="454">
        <v>1</v>
      </c>
      <c r="R168" s="455">
        <f t="shared" si="2"/>
        <v>41.43333333333333</v>
      </c>
    </row>
    <row r="169" spans="1:18" ht="13.5" customHeight="1" x14ac:dyDescent="0.2">
      <c r="A169" s="449" t="s">
        <v>1559</v>
      </c>
      <c r="B169" s="450" t="s">
        <v>1392</v>
      </c>
      <c r="C169" s="451" t="s">
        <v>1393</v>
      </c>
      <c r="D169" s="452">
        <v>20.100000000000001</v>
      </c>
      <c r="E169" s="452">
        <v>21.3</v>
      </c>
      <c r="F169" s="452">
        <v>28.2</v>
      </c>
      <c r="G169" s="452">
        <v>38.799999999999997</v>
      </c>
      <c r="H169" s="452">
        <v>47.3</v>
      </c>
      <c r="I169" s="452">
        <v>56.6</v>
      </c>
      <c r="J169" s="452">
        <v>60.2</v>
      </c>
      <c r="K169" s="452">
        <v>59.2</v>
      </c>
      <c r="L169" s="452">
        <v>52.1</v>
      </c>
      <c r="M169" s="452">
        <v>42</v>
      </c>
      <c r="N169" s="452">
        <v>34.299999999999997</v>
      </c>
      <c r="O169" s="452">
        <v>24.7</v>
      </c>
      <c r="P169" s="452">
        <v>40.4</v>
      </c>
      <c r="Q169" s="454">
        <v>1</v>
      </c>
      <c r="R169" s="455">
        <f t="shared" si="2"/>
        <v>40.4</v>
      </c>
    </row>
    <row r="170" spans="1:18" ht="13.5" customHeight="1" x14ac:dyDescent="0.2">
      <c r="A170" s="449" t="s">
        <v>1560</v>
      </c>
      <c r="B170" s="450" t="s">
        <v>1392</v>
      </c>
      <c r="C170" s="451" t="s">
        <v>1393</v>
      </c>
      <c r="D170" s="452">
        <v>28.7</v>
      </c>
      <c r="E170" s="452">
        <v>32.799999999999997</v>
      </c>
      <c r="F170" s="452">
        <v>40.5</v>
      </c>
      <c r="G170" s="452">
        <v>49.1</v>
      </c>
      <c r="H170" s="452">
        <v>59.3</v>
      </c>
      <c r="I170" s="452">
        <v>67.400000000000006</v>
      </c>
      <c r="J170" s="452">
        <v>71.5</v>
      </c>
      <c r="K170" s="452">
        <v>70.599999999999994</v>
      </c>
      <c r="L170" s="452">
        <v>62.5</v>
      </c>
      <c r="M170" s="452">
        <v>51</v>
      </c>
      <c r="N170" s="452">
        <v>39.5</v>
      </c>
      <c r="O170" s="452">
        <v>30.9</v>
      </c>
      <c r="P170" s="452">
        <v>50.3</v>
      </c>
      <c r="Q170" s="454">
        <v>1</v>
      </c>
      <c r="R170" s="455">
        <f t="shared" si="2"/>
        <v>50.316666666666663</v>
      </c>
    </row>
    <row r="171" spans="1:18" ht="13.5" customHeight="1" x14ac:dyDescent="0.2">
      <c r="A171" s="449" t="s">
        <v>1561</v>
      </c>
      <c r="B171" s="450" t="s">
        <v>1392</v>
      </c>
      <c r="C171" s="451" t="s">
        <v>1393</v>
      </c>
      <c r="D171" s="452">
        <v>28.9</v>
      </c>
      <c r="E171" s="452">
        <v>32.9</v>
      </c>
      <c r="F171" s="452">
        <v>40.9</v>
      </c>
      <c r="G171" s="452">
        <v>50.1</v>
      </c>
      <c r="H171" s="452">
        <v>60.2</v>
      </c>
      <c r="I171" s="452">
        <v>68.599999999999994</v>
      </c>
      <c r="J171" s="452">
        <v>73.400000000000006</v>
      </c>
      <c r="K171" s="452">
        <v>72.2</v>
      </c>
      <c r="L171" s="452">
        <v>62.6</v>
      </c>
      <c r="M171" s="452">
        <v>51.3</v>
      </c>
      <c r="N171" s="452">
        <v>40.4</v>
      </c>
      <c r="O171" s="452">
        <v>31.3</v>
      </c>
      <c r="P171" s="452">
        <v>51.1</v>
      </c>
      <c r="Q171" s="454">
        <v>1</v>
      </c>
      <c r="R171" s="455">
        <f t="shared" si="2"/>
        <v>51.066666666666663</v>
      </c>
    </row>
    <row r="172" spans="1:18" ht="13.5" customHeight="1" x14ac:dyDescent="0.2">
      <c r="A172" s="449" t="s">
        <v>1562</v>
      </c>
      <c r="B172" s="450" t="s">
        <v>1392</v>
      </c>
      <c r="C172" s="451" t="s">
        <v>1393</v>
      </c>
      <c r="D172" s="452">
        <v>38.700000000000003</v>
      </c>
      <c r="E172" s="452">
        <v>38.1</v>
      </c>
      <c r="F172" s="452">
        <v>39.5</v>
      </c>
      <c r="G172" s="452">
        <v>41.9</v>
      </c>
      <c r="H172" s="452">
        <v>46.5</v>
      </c>
      <c r="I172" s="452">
        <v>50.7</v>
      </c>
      <c r="J172" s="452">
        <v>54.1</v>
      </c>
      <c r="K172" s="452">
        <v>54.1</v>
      </c>
      <c r="L172" s="452">
        <v>50.4</v>
      </c>
      <c r="M172" s="452">
        <v>45.3</v>
      </c>
      <c r="N172" s="452">
        <v>41</v>
      </c>
      <c r="O172" s="452">
        <v>38.6</v>
      </c>
      <c r="P172" s="452">
        <v>44.9</v>
      </c>
      <c r="Q172" s="454">
        <v>1</v>
      </c>
      <c r="R172" s="455">
        <f t="shared" si="2"/>
        <v>44.908333333333339</v>
      </c>
    </row>
    <row r="173" spans="1:18" ht="13.5" customHeight="1" x14ac:dyDescent="0.2">
      <c r="A173" s="449" t="s">
        <v>1563</v>
      </c>
      <c r="B173" s="450" t="s">
        <v>1392</v>
      </c>
      <c r="C173" s="451" t="s">
        <v>1393</v>
      </c>
      <c r="D173" s="452">
        <v>17.3</v>
      </c>
      <c r="E173" s="452">
        <v>19.399999999999999</v>
      </c>
      <c r="F173" s="452">
        <v>25.6</v>
      </c>
      <c r="G173" s="452">
        <v>29.5</v>
      </c>
      <c r="H173" s="452">
        <v>37.299999999999997</v>
      </c>
      <c r="I173" s="452">
        <v>42.5</v>
      </c>
      <c r="J173" s="452">
        <v>48.4</v>
      </c>
      <c r="K173" s="452">
        <v>45.6</v>
      </c>
      <c r="L173" s="452">
        <v>37.299999999999997</v>
      </c>
      <c r="M173" s="452">
        <v>28.3</v>
      </c>
      <c r="N173" s="452">
        <v>22.3</v>
      </c>
      <c r="O173" s="452">
        <v>16</v>
      </c>
      <c r="P173" s="452">
        <v>30.8</v>
      </c>
      <c r="Q173" s="454">
        <v>1</v>
      </c>
      <c r="R173" s="455">
        <f t="shared" si="2"/>
        <v>30.791666666666671</v>
      </c>
    </row>
    <row r="174" spans="1:18" ht="13.5" customHeight="1" x14ac:dyDescent="0.2">
      <c r="A174" s="449" t="s">
        <v>1564</v>
      </c>
      <c r="B174" s="450" t="s">
        <v>1392</v>
      </c>
      <c r="C174" s="451" t="s">
        <v>1393</v>
      </c>
      <c r="D174" s="452">
        <v>35.6</v>
      </c>
      <c r="E174" s="452">
        <v>36</v>
      </c>
      <c r="F174" s="452">
        <v>38</v>
      </c>
      <c r="G174" s="452">
        <v>40.5</v>
      </c>
      <c r="H174" s="452">
        <v>44.7</v>
      </c>
      <c r="I174" s="452">
        <v>48.3</v>
      </c>
      <c r="J174" s="452">
        <v>52.7</v>
      </c>
      <c r="K174" s="452">
        <v>52.2</v>
      </c>
      <c r="L174" s="452">
        <v>48.4</v>
      </c>
      <c r="M174" s="452">
        <v>42.4</v>
      </c>
      <c r="N174" s="452">
        <v>38.6</v>
      </c>
      <c r="O174" s="452">
        <v>35.5</v>
      </c>
      <c r="P174" s="452">
        <v>42.7</v>
      </c>
      <c r="Q174" s="454">
        <v>1</v>
      </c>
      <c r="R174" s="455">
        <f t="shared" si="2"/>
        <v>42.741666666666667</v>
      </c>
    </row>
    <row r="175" spans="1:18" ht="13.5" customHeight="1" x14ac:dyDescent="0.2">
      <c r="A175" s="449" t="s">
        <v>1565</v>
      </c>
      <c r="B175" s="450" t="s">
        <v>1392</v>
      </c>
      <c r="C175" s="451" t="s">
        <v>1393</v>
      </c>
      <c r="D175" s="452">
        <v>33</v>
      </c>
      <c r="E175" s="452">
        <v>34.5</v>
      </c>
      <c r="F175" s="453">
        <v>37.200000000000003</v>
      </c>
      <c r="G175" s="452">
        <v>40.6</v>
      </c>
      <c r="H175" s="452">
        <v>47</v>
      </c>
      <c r="I175" s="453">
        <v>52.1</v>
      </c>
      <c r="J175" s="452">
        <v>58.7</v>
      </c>
      <c r="K175" s="452">
        <v>57.5</v>
      </c>
      <c r="L175" s="452">
        <v>50.8</v>
      </c>
      <c r="M175" s="452">
        <v>42.2</v>
      </c>
      <c r="N175" s="452">
        <v>36.4</v>
      </c>
      <c r="O175" s="452">
        <v>33.1</v>
      </c>
      <c r="P175" s="452">
        <v>43.6</v>
      </c>
      <c r="Q175" s="454">
        <v>1</v>
      </c>
      <c r="R175" s="455">
        <f t="shared" si="2"/>
        <v>43.591666666666669</v>
      </c>
    </row>
    <row r="176" spans="1:18" ht="13.5" customHeight="1" x14ac:dyDescent="0.2">
      <c r="A176" s="449" t="s">
        <v>1566</v>
      </c>
      <c r="B176" s="450" t="s">
        <v>1392</v>
      </c>
      <c r="C176" s="451" t="s">
        <v>1393</v>
      </c>
      <c r="D176" s="452">
        <v>29.5</v>
      </c>
      <c r="E176" s="452">
        <v>31.4</v>
      </c>
      <c r="F176" s="453">
        <v>35.4</v>
      </c>
      <c r="G176" s="452">
        <v>39.6</v>
      </c>
      <c r="H176" s="452">
        <v>46.4</v>
      </c>
      <c r="I176" s="453">
        <v>52</v>
      </c>
      <c r="J176" s="452">
        <v>58.4</v>
      </c>
      <c r="K176" s="452">
        <v>57.5</v>
      </c>
      <c r="L176" s="452">
        <v>50.6</v>
      </c>
      <c r="M176" s="452">
        <v>40.799999999999997</v>
      </c>
      <c r="N176" s="452">
        <v>34</v>
      </c>
      <c r="O176" s="452">
        <v>29.1</v>
      </c>
      <c r="P176" s="452">
        <v>42.1</v>
      </c>
      <c r="Q176" s="454">
        <v>1</v>
      </c>
      <c r="R176" s="455">
        <f t="shared" si="2"/>
        <v>42.058333333333337</v>
      </c>
    </row>
    <row r="177" spans="1:18" ht="13.5" customHeight="1" x14ac:dyDescent="0.2">
      <c r="A177" s="449" t="s">
        <v>1567</v>
      </c>
      <c r="B177" s="450" t="s">
        <v>1392</v>
      </c>
      <c r="C177" s="451" t="s">
        <v>1393</v>
      </c>
      <c r="D177" s="452">
        <v>36</v>
      </c>
      <c r="E177" s="452">
        <v>35.9</v>
      </c>
      <c r="F177" s="453">
        <v>38.299999999999997</v>
      </c>
      <c r="G177" s="452">
        <v>40.9</v>
      </c>
      <c r="H177" s="452">
        <v>46.1</v>
      </c>
      <c r="I177" s="453">
        <v>50.3</v>
      </c>
      <c r="J177" s="452">
        <v>54.9</v>
      </c>
      <c r="K177" s="452">
        <v>54.3</v>
      </c>
      <c r="L177" s="452">
        <v>50.2</v>
      </c>
      <c r="M177" s="452">
        <v>43.7</v>
      </c>
      <c r="N177" s="452">
        <v>39.4</v>
      </c>
      <c r="O177" s="452">
        <v>35.700000000000003</v>
      </c>
      <c r="P177" s="452">
        <v>43.8</v>
      </c>
      <c r="Q177" s="454">
        <v>1</v>
      </c>
      <c r="R177" s="455">
        <f t="shared" si="2"/>
        <v>43.80833333333333</v>
      </c>
    </row>
    <row r="178" spans="1:18" ht="13.5" customHeight="1" x14ac:dyDescent="0.2">
      <c r="A178" s="449" t="s">
        <v>1568</v>
      </c>
      <c r="B178" s="450" t="s">
        <v>1392</v>
      </c>
      <c r="C178" s="451" t="s">
        <v>1393</v>
      </c>
      <c r="D178" s="452">
        <v>22</v>
      </c>
      <c r="E178" s="452">
        <v>23.1</v>
      </c>
      <c r="F178" s="453">
        <v>30.5</v>
      </c>
      <c r="G178" s="452">
        <v>40.299999999999997</v>
      </c>
      <c r="H178" s="452">
        <v>49.7</v>
      </c>
      <c r="I178" s="453">
        <v>59.7</v>
      </c>
      <c r="J178" s="452">
        <v>63.9</v>
      </c>
      <c r="K178" s="452">
        <v>62.5</v>
      </c>
      <c r="L178" s="452">
        <v>54.6</v>
      </c>
      <c r="M178" s="452">
        <v>42.8</v>
      </c>
      <c r="N178" s="452">
        <v>34.5</v>
      </c>
      <c r="O178" s="452">
        <v>25.9</v>
      </c>
      <c r="P178" s="452">
        <v>42.5</v>
      </c>
      <c r="Q178" s="454">
        <v>1</v>
      </c>
      <c r="R178" s="455">
        <f t="shared" si="2"/>
        <v>42.458333333333336</v>
      </c>
    </row>
    <row r="179" spans="1:18" ht="13.5" customHeight="1" x14ac:dyDescent="0.2">
      <c r="A179" s="449" t="s">
        <v>1569</v>
      </c>
      <c r="B179" s="450" t="s">
        <v>1392</v>
      </c>
      <c r="C179" s="451" t="s">
        <v>1393</v>
      </c>
      <c r="D179" s="452">
        <v>15.5</v>
      </c>
      <c r="E179" s="452">
        <v>15.9</v>
      </c>
      <c r="F179" s="453">
        <v>22.9</v>
      </c>
      <c r="G179" s="452">
        <v>33.200000000000003</v>
      </c>
      <c r="H179" s="452">
        <v>41.6</v>
      </c>
      <c r="I179" s="453">
        <v>50.7</v>
      </c>
      <c r="J179" s="452">
        <v>54.1</v>
      </c>
      <c r="K179" s="452">
        <v>53.5</v>
      </c>
      <c r="L179" s="452">
        <v>46.4</v>
      </c>
      <c r="M179" s="452">
        <v>36.9</v>
      </c>
      <c r="N179" s="452">
        <v>30</v>
      </c>
      <c r="O179" s="452">
        <v>20</v>
      </c>
      <c r="P179" s="452">
        <v>35.1</v>
      </c>
      <c r="Q179" s="454">
        <v>1</v>
      </c>
      <c r="R179" s="455">
        <f t="shared" si="2"/>
        <v>35.05833333333333</v>
      </c>
    </row>
    <row r="180" spans="1:18" ht="13.5" customHeight="1" x14ac:dyDescent="0.2">
      <c r="A180" s="449" t="s">
        <v>1570</v>
      </c>
      <c r="B180" s="450" t="s">
        <v>1392</v>
      </c>
      <c r="C180" s="451" t="s">
        <v>1393</v>
      </c>
      <c r="D180" s="452">
        <v>22</v>
      </c>
      <c r="E180" s="452">
        <v>22</v>
      </c>
      <c r="F180" s="453">
        <v>28.3</v>
      </c>
      <c r="G180" s="452">
        <v>39</v>
      </c>
      <c r="H180" s="452">
        <v>49.1</v>
      </c>
      <c r="I180" s="453">
        <v>59.7</v>
      </c>
      <c r="J180" s="452">
        <v>64.2</v>
      </c>
      <c r="K180" s="452">
        <v>63.4</v>
      </c>
      <c r="L180" s="452">
        <v>56.5</v>
      </c>
      <c r="M180" s="452">
        <v>46.1</v>
      </c>
      <c r="N180" s="452">
        <v>37.299999999999997</v>
      </c>
      <c r="O180" s="452">
        <v>27.5</v>
      </c>
      <c r="P180" s="452">
        <v>42.9</v>
      </c>
      <c r="Q180" s="454">
        <v>1</v>
      </c>
      <c r="R180" s="455">
        <f t="shared" si="2"/>
        <v>42.925000000000004</v>
      </c>
    </row>
    <row r="181" spans="1:18" ht="13.5" customHeight="1" x14ac:dyDescent="0.2">
      <c r="A181" s="449" t="s">
        <v>1571</v>
      </c>
      <c r="B181" s="450" t="s">
        <v>1392</v>
      </c>
      <c r="C181" s="451" t="s">
        <v>1393</v>
      </c>
      <c r="D181" s="452">
        <v>24.1</v>
      </c>
      <c r="E181" s="452">
        <v>25.3</v>
      </c>
      <c r="F181" s="452">
        <v>33.200000000000003</v>
      </c>
      <c r="G181" s="452">
        <v>43.2</v>
      </c>
      <c r="H181" s="452">
        <v>53.1</v>
      </c>
      <c r="I181" s="453">
        <v>63.2</v>
      </c>
      <c r="J181" s="452">
        <v>67.5</v>
      </c>
      <c r="K181" s="452">
        <v>66.099999999999994</v>
      </c>
      <c r="L181" s="452">
        <v>58</v>
      </c>
      <c r="M181" s="452">
        <v>45.5</v>
      </c>
      <c r="N181" s="452">
        <v>37.1</v>
      </c>
      <c r="O181" s="452">
        <v>28.4</v>
      </c>
      <c r="P181" s="452">
        <v>45.4</v>
      </c>
      <c r="Q181" s="454">
        <v>1</v>
      </c>
      <c r="R181" s="455">
        <f t="shared" si="2"/>
        <v>45.391666666666673</v>
      </c>
    </row>
    <row r="182" spans="1:18" ht="13.5" customHeight="1" x14ac:dyDescent="0.2">
      <c r="A182" s="449" t="s">
        <v>1572</v>
      </c>
      <c r="B182" s="450" t="s">
        <v>1392</v>
      </c>
      <c r="C182" s="451" t="s">
        <v>1393</v>
      </c>
      <c r="D182" s="452">
        <v>27.4</v>
      </c>
      <c r="E182" s="452">
        <v>28.3</v>
      </c>
      <c r="F182" s="452">
        <v>35.5</v>
      </c>
      <c r="G182" s="452">
        <v>45.4</v>
      </c>
      <c r="H182" s="452">
        <v>54.8</v>
      </c>
      <c r="I182" s="453">
        <v>64.900000000000006</v>
      </c>
      <c r="J182" s="452">
        <v>70.2</v>
      </c>
      <c r="K182" s="452">
        <v>69</v>
      </c>
      <c r="L182" s="452">
        <v>61.6</v>
      </c>
      <c r="M182" s="452">
        <v>49.6</v>
      </c>
      <c r="N182" s="452">
        <v>40.5</v>
      </c>
      <c r="O182" s="452">
        <v>31.5</v>
      </c>
      <c r="P182" s="452">
        <v>48.2</v>
      </c>
      <c r="Q182" s="454">
        <v>1</v>
      </c>
      <c r="R182" s="455">
        <f t="shared" si="2"/>
        <v>48.225000000000001</v>
      </c>
    </row>
    <row r="183" spans="1:18" ht="13.5" customHeight="1" x14ac:dyDescent="0.2">
      <c r="A183" s="449" t="s">
        <v>1573</v>
      </c>
      <c r="B183" s="450" t="s">
        <v>1392</v>
      </c>
      <c r="C183" s="451" t="s">
        <v>1393</v>
      </c>
      <c r="D183" s="452">
        <v>22.2</v>
      </c>
      <c r="E183" s="452">
        <v>23.5</v>
      </c>
      <c r="F183" s="452">
        <v>30.8</v>
      </c>
      <c r="G183" s="452">
        <v>41.3</v>
      </c>
      <c r="H183" s="452">
        <v>50.2</v>
      </c>
      <c r="I183" s="453">
        <v>59.6</v>
      </c>
      <c r="J183" s="452">
        <v>63.5</v>
      </c>
      <c r="K183" s="452">
        <v>62.5</v>
      </c>
      <c r="L183" s="452">
        <v>54.8</v>
      </c>
      <c r="M183" s="452">
        <v>43.4</v>
      </c>
      <c r="N183" s="452">
        <v>35.299999999999997</v>
      </c>
      <c r="O183" s="452">
        <v>26.2</v>
      </c>
      <c r="P183" s="452">
        <v>42.8</v>
      </c>
      <c r="Q183" s="454">
        <v>1</v>
      </c>
      <c r="R183" s="455">
        <f t="shared" si="2"/>
        <v>42.775000000000006</v>
      </c>
    </row>
    <row r="184" spans="1:18" ht="13.5" customHeight="1" x14ac:dyDescent="0.2">
      <c r="A184" s="449" t="s">
        <v>1574</v>
      </c>
      <c r="B184" s="450" t="s">
        <v>1392</v>
      </c>
      <c r="C184" s="451" t="s">
        <v>1393</v>
      </c>
      <c r="D184" s="452">
        <v>20.3</v>
      </c>
      <c r="E184" s="452">
        <v>21.5</v>
      </c>
      <c r="F184" s="452">
        <v>28.7</v>
      </c>
      <c r="G184" s="452">
        <v>39.200000000000003</v>
      </c>
      <c r="H184" s="452">
        <v>48.6</v>
      </c>
      <c r="I184" s="453">
        <v>57.8</v>
      </c>
      <c r="J184" s="452">
        <v>61.7</v>
      </c>
      <c r="K184" s="452">
        <v>60.7</v>
      </c>
      <c r="L184" s="452">
        <v>53.2</v>
      </c>
      <c r="M184" s="452">
        <v>42.2</v>
      </c>
      <c r="N184" s="452">
        <v>34.5</v>
      </c>
      <c r="O184" s="452">
        <v>25</v>
      </c>
      <c r="P184" s="452">
        <v>41.1</v>
      </c>
      <c r="Q184" s="454">
        <v>1</v>
      </c>
      <c r="R184" s="455">
        <f t="shared" si="2"/>
        <v>41.116666666666667</v>
      </c>
    </row>
    <row r="185" spans="1:18" ht="13.5" customHeight="1" x14ac:dyDescent="0.2">
      <c r="A185" s="449" t="s">
        <v>1575</v>
      </c>
      <c r="B185" s="450" t="s">
        <v>1392</v>
      </c>
      <c r="C185" s="451" t="s">
        <v>1393</v>
      </c>
      <c r="D185" s="452">
        <v>20.8</v>
      </c>
      <c r="E185" s="452">
        <v>21.8</v>
      </c>
      <c r="F185" s="452">
        <v>29.5</v>
      </c>
      <c r="G185" s="452">
        <v>39.5</v>
      </c>
      <c r="H185" s="452">
        <v>48.5</v>
      </c>
      <c r="I185" s="453">
        <v>58.6</v>
      </c>
      <c r="J185" s="452">
        <v>62.3</v>
      </c>
      <c r="K185" s="452">
        <v>61.3</v>
      </c>
      <c r="L185" s="452">
        <v>53.7</v>
      </c>
      <c r="M185" s="452">
        <v>42</v>
      </c>
      <c r="N185" s="452">
        <v>34</v>
      </c>
      <c r="O185" s="452">
        <v>25</v>
      </c>
      <c r="P185" s="452">
        <v>41.4</v>
      </c>
      <c r="Q185" s="454">
        <v>1</v>
      </c>
      <c r="R185" s="455">
        <f t="shared" si="2"/>
        <v>41.416666666666664</v>
      </c>
    </row>
    <row r="186" spans="1:18" ht="13.5" customHeight="1" x14ac:dyDescent="0.2">
      <c r="A186" s="449" t="s">
        <v>1576</v>
      </c>
      <c r="B186" s="450" t="s">
        <v>1392</v>
      </c>
      <c r="C186" s="451" t="s">
        <v>1393</v>
      </c>
      <c r="D186" s="452">
        <v>22.5</v>
      </c>
      <c r="E186" s="452">
        <v>24</v>
      </c>
      <c r="F186" s="452">
        <v>30.7</v>
      </c>
      <c r="G186" s="452">
        <v>40.200000000000003</v>
      </c>
      <c r="H186" s="452">
        <v>49.2</v>
      </c>
      <c r="I186" s="453">
        <v>59.3</v>
      </c>
      <c r="J186" s="452">
        <v>64.900000000000006</v>
      </c>
      <c r="K186" s="452">
        <v>64</v>
      </c>
      <c r="L186" s="452">
        <v>56.6</v>
      </c>
      <c r="M186" s="452">
        <v>44.9</v>
      </c>
      <c r="N186" s="452">
        <v>36.799999999999997</v>
      </c>
      <c r="O186" s="452">
        <v>27.6</v>
      </c>
      <c r="P186" s="452">
        <v>43.4</v>
      </c>
      <c r="Q186" s="454">
        <v>1</v>
      </c>
      <c r="R186" s="455">
        <f t="shared" si="2"/>
        <v>43.391666666666673</v>
      </c>
    </row>
    <row r="187" spans="1:18" ht="13.5" customHeight="1" x14ac:dyDescent="0.2">
      <c r="A187" s="449" t="s">
        <v>1577</v>
      </c>
      <c r="B187" s="450" t="s">
        <v>1392</v>
      </c>
      <c r="C187" s="451" t="s">
        <v>1393</v>
      </c>
      <c r="D187" s="452">
        <v>39.6</v>
      </c>
      <c r="E187" s="452">
        <v>41.6</v>
      </c>
      <c r="F187" s="452">
        <v>47.8</v>
      </c>
      <c r="G187" s="452">
        <v>54.8</v>
      </c>
      <c r="H187" s="452">
        <v>63.2</v>
      </c>
      <c r="I187" s="453">
        <v>70.7</v>
      </c>
      <c r="J187" s="452">
        <v>74</v>
      </c>
      <c r="K187" s="452">
        <v>73.3</v>
      </c>
      <c r="L187" s="452">
        <v>68.3</v>
      </c>
      <c r="M187" s="452">
        <v>57.7</v>
      </c>
      <c r="N187" s="452">
        <v>48</v>
      </c>
      <c r="O187" s="452">
        <v>41.1</v>
      </c>
      <c r="P187" s="452">
        <v>56.7</v>
      </c>
      <c r="Q187" s="454">
        <v>1</v>
      </c>
      <c r="R187" s="455">
        <f t="shared" si="2"/>
        <v>56.675000000000004</v>
      </c>
    </row>
    <row r="188" spans="1:18" ht="13.5" customHeight="1" x14ac:dyDescent="0.2">
      <c r="A188" s="449" t="s">
        <v>1578</v>
      </c>
      <c r="B188" s="450" t="s">
        <v>1392</v>
      </c>
      <c r="C188" s="451" t="s">
        <v>1393</v>
      </c>
      <c r="D188" s="452">
        <v>35.299999999999997</v>
      </c>
      <c r="E188" s="452">
        <v>37.4</v>
      </c>
      <c r="F188" s="452">
        <v>43.9</v>
      </c>
      <c r="G188" s="452">
        <v>51.7</v>
      </c>
      <c r="H188" s="452">
        <v>60.7</v>
      </c>
      <c r="I188" s="452">
        <v>68.8</v>
      </c>
      <c r="J188" s="452">
        <v>72.2</v>
      </c>
      <c r="K188" s="452">
        <v>71.5</v>
      </c>
      <c r="L188" s="452">
        <v>65.2</v>
      </c>
      <c r="M188" s="452">
        <v>52.7</v>
      </c>
      <c r="N188" s="452">
        <v>42.4</v>
      </c>
      <c r="O188" s="452">
        <v>35.700000000000003</v>
      </c>
      <c r="P188" s="452">
        <v>53.1</v>
      </c>
      <c r="Q188" s="454">
        <v>1</v>
      </c>
      <c r="R188" s="455">
        <f t="shared" si="2"/>
        <v>53.125</v>
      </c>
    </row>
    <row r="189" spans="1:18" ht="13.5" customHeight="1" x14ac:dyDescent="0.2">
      <c r="A189" s="449" t="s">
        <v>1579</v>
      </c>
      <c r="B189" s="450" t="s">
        <v>1392</v>
      </c>
      <c r="C189" s="451" t="s">
        <v>1393</v>
      </c>
      <c r="D189" s="452">
        <v>33.5</v>
      </c>
      <c r="E189" s="452">
        <v>35.5</v>
      </c>
      <c r="F189" s="452">
        <v>41.9</v>
      </c>
      <c r="G189" s="452">
        <v>49.5</v>
      </c>
      <c r="H189" s="452">
        <v>58.1</v>
      </c>
      <c r="I189" s="452">
        <v>66.099999999999994</v>
      </c>
      <c r="J189" s="452">
        <v>69.8</v>
      </c>
      <c r="K189" s="452">
        <v>69.2</v>
      </c>
      <c r="L189" s="452">
        <v>62.5</v>
      </c>
      <c r="M189" s="452">
        <v>51.1</v>
      </c>
      <c r="N189" s="452">
        <v>41.6</v>
      </c>
      <c r="O189" s="452">
        <v>34.700000000000003</v>
      </c>
      <c r="P189" s="452">
        <v>51.1</v>
      </c>
      <c r="Q189" s="454">
        <v>1</v>
      </c>
      <c r="R189" s="455">
        <f t="shared" si="2"/>
        <v>51.125000000000007</v>
      </c>
    </row>
    <row r="190" spans="1:18" ht="13.5" customHeight="1" x14ac:dyDescent="0.2">
      <c r="A190" s="449" t="s">
        <v>1580</v>
      </c>
      <c r="B190" s="450" t="s">
        <v>1392</v>
      </c>
      <c r="C190" s="451" t="s">
        <v>1393</v>
      </c>
      <c r="D190" s="452">
        <v>2.2000000000000002</v>
      </c>
      <c r="E190" s="452">
        <v>8.1999999999999993</v>
      </c>
      <c r="F190" s="452">
        <v>20.399999999999999</v>
      </c>
      <c r="G190" s="452">
        <v>32.9</v>
      </c>
      <c r="H190" s="452">
        <v>45.2</v>
      </c>
      <c r="I190" s="452">
        <v>55.7</v>
      </c>
      <c r="J190" s="452">
        <v>60.1</v>
      </c>
      <c r="K190" s="452">
        <v>57.3</v>
      </c>
      <c r="L190" s="452">
        <v>47.2</v>
      </c>
      <c r="M190" s="452">
        <v>34.4</v>
      </c>
      <c r="N190" s="452">
        <v>20.399999999999999</v>
      </c>
      <c r="O190" s="452">
        <v>8.5</v>
      </c>
      <c r="P190" s="452">
        <v>32.700000000000003</v>
      </c>
      <c r="Q190" s="454">
        <v>1</v>
      </c>
      <c r="R190" s="455">
        <f t="shared" si="2"/>
        <v>32.708333333333329</v>
      </c>
    </row>
    <row r="191" spans="1:18" ht="13.5" customHeight="1" x14ac:dyDescent="0.2">
      <c r="A191" s="449" t="s">
        <v>1581</v>
      </c>
      <c r="B191" s="450" t="s">
        <v>1392</v>
      </c>
      <c r="C191" s="451" t="s">
        <v>1393</v>
      </c>
      <c r="D191" s="452">
        <v>6.7</v>
      </c>
      <c r="E191" s="452">
        <v>12</v>
      </c>
      <c r="F191" s="452">
        <v>22.6</v>
      </c>
      <c r="G191" s="452">
        <v>34.6</v>
      </c>
      <c r="H191" s="452">
        <v>46.5</v>
      </c>
      <c r="I191" s="452">
        <v>57</v>
      </c>
      <c r="J191" s="452">
        <v>61.9</v>
      </c>
      <c r="K191" s="452">
        <v>59.9</v>
      </c>
      <c r="L191" s="452">
        <v>49.7</v>
      </c>
      <c r="M191" s="452">
        <v>36.299999999999997</v>
      </c>
      <c r="N191" s="452">
        <v>23.1</v>
      </c>
      <c r="O191" s="452">
        <v>11.9</v>
      </c>
      <c r="P191" s="452">
        <v>35.200000000000003</v>
      </c>
      <c r="Q191" s="454">
        <v>1</v>
      </c>
      <c r="R191" s="455">
        <f t="shared" si="2"/>
        <v>35.18333333333333</v>
      </c>
    </row>
    <row r="192" spans="1:18" ht="13.5" customHeight="1" x14ac:dyDescent="0.2">
      <c r="A192" s="449" t="s">
        <v>1582</v>
      </c>
      <c r="B192" s="450" t="s">
        <v>1392</v>
      </c>
      <c r="C192" s="451" t="s">
        <v>1393</v>
      </c>
      <c r="D192" s="452">
        <v>10</v>
      </c>
      <c r="E192" s="452">
        <v>14.7</v>
      </c>
      <c r="F192" s="452">
        <v>23.7</v>
      </c>
      <c r="G192" s="452">
        <v>34.799999999999997</v>
      </c>
      <c r="H192" s="452">
        <v>45.9</v>
      </c>
      <c r="I192" s="452">
        <v>56</v>
      </c>
      <c r="J192" s="452">
        <v>62.1</v>
      </c>
      <c r="K192" s="452">
        <v>60.4</v>
      </c>
      <c r="L192" s="452">
        <v>50.5</v>
      </c>
      <c r="M192" s="452">
        <v>37.200000000000003</v>
      </c>
      <c r="N192" s="452">
        <v>24.6</v>
      </c>
      <c r="O192" s="452">
        <v>14.6</v>
      </c>
      <c r="P192" s="452">
        <v>36.200000000000003</v>
      </c>
      <c r="Q192" s="454">
        <v>1</v>
      </c>
      <c r="R192" s="455">
        <f t="shared" si="2"/>
        <v>36.208333333333336</v>
      </c>
    </row>
    <row r="193" spans="1:18" ht="13.5" customHeight="1" x14ac:dyDescent="0.2">
      <c r="A193" s="449" t="s">
        <v>1583</v>
      </c>
      <c r="B193" s="450" t="s">
        <v>1392</v>
      </c>
      <c r="C193" s="451" t="s">
        <v>1393</v>
      </c>
      <c r="D193" s="452">
        <v>13.6</v>
      </c>
      <c r="E193" s="452">
        <v>16.600000000000001</v>
      </c>
      <c r="F193" s="452">
        <v>23.8</v>
      </c>
      <c r="G193" s="452">
        <v>32.700000000000003</v>
      </c>
      <c r="H193" s="452">
        <v>43</v>
      </c>
      <c r="I193" s="452">
        <v>52.3</v>
      </c>
      <c r="J193" s="452">
        <v>59.1</v>
      </c>
      <c r="K193" s="452">
        <v>57.6</v>
      </c>
      <c r="L193" s="452">
        <v>47.4</v>
      </c>
      <c r="M193" s="452">
        <v>35.4</v>
      </c>
      <c r="N193" s="452">
        <v>23.4</v>
      </c>
      <c r="O193" s="452">
        <v>15.5</v>
      </c>
      <c r="P193" s="452">
        <v>35</v>
      </c>
      <c r="Q193" s="454">
        <v>1</v>
      </c>
      <c r="R193" s="455">
        <f t="shared" si="2"/>
        <v>35.033333333333324</v>
      </c>
    </row>
    <row r="194" spans="1:18" ht="13.5" customHeight="1" x14ac:dyDescent="0.2">
      <c r="A194" s="449" t="s">
        <v>1584</v>
      </c>
      <c r="B194" s="450" t="s">
        <v>1392</v>
      </c>
      <c r="C194" s="451" t="s">
        <v>1393</v>
      </c>
      <c r="D194" s="452">
        <v>7.9</v>
      </c>
      <c r="E194" s="452">
        <v>13.1</v>
      </c>
      <c r="F194" s="452">
        <v>23.5</v>
      </c>
      <c r="G194" s="452">
        <v>35.4</v>
      </c>
      <c r="H194" s="452">
        <v>47.2</v>
      </c>
      <c r="I194" s="453">
        <v>57.9</v>
      </c>
      <c r="J194" s="452">
        <v>62.5</v>
      </c>
      <c r="K194" s="452">
        <v>60.6</v>
      </c>
      <c r="L194" s="452">
        <v>50.6</v>
      </c>
      <c r="M194" s="452">
        <v>37.799999999999997</v>
      </c>
      <c r="N194" s="452">
        <v>24.2</v>
      </c>
      <c r="O194" s="452">
        <v>12.7</v>
      </c>
      <c r="P194" s="452">
        <v>36.1</v>
      </c>
      <c r="Q194" s="454">
        <v>1</v>
      </c>
      <c r="R194" s="455">
        <f t="shared" si="2"/>
        <v>36.116666666666667</v>
      </c>
    </row>
    <row r="195" spans="1:18" ht="13.5" customHeight="1" x14ac:dyDescent="0.2">
      <c r="A195" s="449" t="s">
        <v>1585</v>
      </c>
      <c r="B195" s="450" t="s">
        <v>1392</v>
      </c>
      <c r="C195" s="451" t="s">
        <v>1393</v>
      </c>
      <c r="D195" s="452">
        <v>27.2</v>
      </c>
      <c r="E195" s="452">
        <v>29.5</v>
      </c>
      <c r="F195" s="452">
        <v>35.5</v>
      </c>
      <c r="G195" s="452">
        <v>44</v>
      </c>
      <c r="H195" s="452">
        <v>52.5</v>
      </c>
      <c r="I195" s="453">
        <v>61.2</v>
      </c>
      <c r="J195" s="452">
        <v>64.900000000000006</v>
      </c>
      <c r="K195" s="452">
        <v>63.7</v>
      </c>
      <c r="L195" s="452">
        <v>56.4</v>
      </c>
      <c r="M195" s="452">
        <v>44.7</v>
      </c>
      <c r="N195" s="452">
        <v>35.6</v>
      </c>
      <c r="O195" s="452">
        <v>28.9</v>
      </c>
      <c r="P195" s="452">
        <v>45.3</v>
      </c>
      <c r="Q195" s="454">
        <v>1</v>
      </c>
      <c r="R195" s="455">
        <f t="shared" si="2"/>
        <v>45.341666666666661</v>
      </c>
    </row>
    <row r="196" spans="1:18" ht="13.5" customHeight="1" x14ac:dyDescent="0.2">
      <c r="A196" s="449" t="s">
        <v>1586</v>
      </c>
      <c r="B196" s="450" t="s">
        <v>1392</v>
      </c>
      <c r="C196" s="451" t="s">
        <v>1393</v>
      </c>
      <c r="D196" s="452">
        <v>32.700000000000003</v>
      </c>
      <c r="E196" s="452">
        <v>34.799999999999997</v>
      </c>
      <c r="F196" s="452">
        <v>41.6</v>
      </c>
      <c r="G196" s="452">
        <v>49.7</v>
      </c>
      <c r="H196" s="452">
        <v>58.5</v>
      </c>
      <c r="I196" s="453">
        <v>66.8</v>
      </c>
      <c r="J196" s="452">
        <v>70.599999999999994</v>
      </c>
      <c r="K196" s="452">
        <v>70</v>
      </c>
      <c r="L196" s="452">
        <v>63</v>
      </c>
      <c r="M196" s="452">
        <v>50.8</v>
      </c>
      <c r="N196" s="452">
        <v>40.5</v>
      </c>
      <c r="O196" s="452">
        <v>34.200000000000003</v>
      </c>
      <c r="P196" s="452">
        <v>51.1</v>
      </c>
      <c r="Q196" s="454">
        <v>1</v>
      </c>
      <c r="R196" s="455">
        <f t="shared" ref="R196:R259" si="3">AVERAGE(D196:O196)</f>
        <v>51.1</v>
      </c>
    </row>
    <row r="197" spans="1:18" ht="13.5" customHeight="1" x14ac:dyDescent="0.2">
      <c r="A197" s="449" t="s">
        <v>1587</v>
      </c>
      <c r="B197" s="450" t="s">
        <v>1392</v>
      </c>
      <c r="C197" s="451" t="s">
        <v>1393</v>
      </c>
      <c r="D197" s="452">
        <v>30.8</v>
      </c>
      <c r="E197" s="452">
        <v>33.299999999999997</v>
      </c>
      <c r="F197" s="452">
        <v>40</v>
      </c>
      <c r="G197" s="452">
        <v>48.7</v>
      </c>
      <c r="H197" s="452">
        <v>57.3</v>
      </c>
      <c r="I197" s="453">
        <v>65.599999999999994</v>
      </c>
      <c r="J197" s="452">
        <v>69.2</v>
      </c>
      <c r="K197" s="452">
        <v>68.3</v>
      </c>
      <c r="L197" s="452">
        <v>61.4</v>
      </c>
      <c r="M197" s="452">
        <v>49.2</v>
      </c>
      <c r="N197" s="452">
        <v>39.299999999999997</v>
      </c>
      <c r="O197" s="452">
        <v>32.4</v>
      </c>
      <c r="P197" s="452">
        <v>49.6</v>
      </c>
      <c r="Q197" s="454">
        <v>1</v>
      </c>
      <c r="R197" s="455">
        <f t="shared" si="3"/>
        <v>49.625</v>
      </c>
    </row>
    <row r="198" spans="1:18" ht="13.5" customHeight="1" x14ac:dyDescent="0.2">
      <c r="A198" s="449" t="s">
        <v>1588</v>
      </c>
      <c r="B198" s="450" t="s">
        <v>1392</v>
      </c>
      <c r="C198" s="451" t="s">
        <v>1393</v>
      </c>
      <c r="D198" s="452">
        <v>34</v>
      </c>
      <c r="E198" s="452">
        <v>37.1</v>
      </c>
      <c r="F198" s="452">
        <v>44.7</v>
      </c>
      <c r="G198" s="452">
        <v>53.9</v>
      </c>
      <c r="H198" s="452">
        <v>63.1</v>
      </c>
      <c r="I198" s="453">
        <v>70.900000000000006</v>
      </c>
      <c r="J198" s="452">
        <v>74.099999999999994</v>
      </c>
      <c r="K198" s="452">
        <v>73.2</v>
      </c>
      <c r="L198" s="452">
        <v>65.8</v>
      </c>
      <c r="M198" s="452">
        <v>54.6</v>
      </c>
      <c r="N198" s="452">
        <v>43.9</v>
      </c>
      <c r="O198" s="452">
        <v>36.200000000000003</v>
      </c>
      <c r="P198" s="452">
        <v>54.3</v>
      </c>
      <c r="Q198" s="454">
        <v>1</v>
      </c>
      <c r="R198" s="455">
        <f t="shared" si="3"/>
        <v>54.291666666666664</v>
      </c>
    </row>
    <row r="199" spans="1:18" ht="13.5" customHeight="1" x14ac:dyDescent="0.2">
      <c r="A199" s="449" t="s">
        <v>1589</v>
      </c>
      <c r="B199" s="450" t="s">
        <v>1392</v>
      </c>
      <c r="C199" s="451" t="s">
        <v>1393</v>
      </c>
      <c r="D199" s="452">
        <v>30.5</v>
      </c>
      <c r="E199" s="452">
        <v>32.9</v>
      </c>
      <c r="F199" s="452">
        <v>40.200000000000003</v>
      </c>
      <c r="G199" s="452">
        <v>49.3</v>
      </c>
      <c r="H199" s="452">
        <v>58.5</v>
      </c>
      <c r="I199" s="453">
        <v>66.7</v>
      </c>
      <c r="J199" s="452">
        <v>70.8</v>
      </c>
      <c r="K199" s="452">
        <v>69.8</v>
      </c>
      <c r="L199" s="452">
        <v>62.1</v>
      </c>
      <c r="M199" s="452">
        <v>50.3</v>
      </c>
      <c r="N199" s="452">
        <v>40.200000000000003</v>
      </c>
      <c r="O199" s="452">
        <v>32.799999999999997</v>
      </c>
      <c r="P199" s="452">
        <v>50.3</v>
      </c>
      <c r="Q199" s="454">
        <v>1</v>
      </c>
      <c r="R199" s="455">
        <f t="shared" si="3"/>
        <v>50.341666666666669</v>
      </c>
    </row>
    <row r="200" spans="1:18" ht="13.5" customHeight="1" x14ac:dyDescent="0.2">
      <c r="A200" s="449" t="s">
        <v>1590</v>
      </c>
      <c r="B200" s="450" t="s">
        <v>1392</v>
      </c>
      <c r="C200" s="451" t="s">
        <v>1393</v>
      </c>
      <c r="D200" s="452">
        <v>34.200000000000003</v>
      </c>
      <c r="E200" s="452">
        <v>37.799999999999997</v>
      </c>
      <c r="F200" s="452">
        <v>44.9</v>
      </c>
      <c r="G200" s="452">
        <v>52.6</v>
      </c>
      <c r="H200" s="452">
        <v>62.1</v>
      </c>
      <c r="I200" s="453">
        <v>69.099999999999994</v>
      </c>
      <c r="J200" s="452">
        <v>72.599999999999994</v>
      </c>
      <c r="K200" s="452">
        <v>72</v>
      </c>
      <c r="L200" s="452">
        <v>64.400000000000006</v>
      </c>
      <c r="M200" s="452">
        <v>54.6</v>
      </c>
      <c r="N200" s="452">
        <v>43.4</v>
      </c>
      <c r="O200" s="452">
        <v>35.200000000000003</v>
      </c>
      <c r="P200" s="452">
        <v>53.6</v>
      </c>
      <c r="Q200" s="454">
        <v>1</v>
      </c>
      <c r="R200" s="455">
        <f t="shared" si="3"/>
        <v>53.574999999999996</v>
      </c>
    </row>
    <row r="201" spans="1:18" ht="13.5" customHeight="1" x14ac:dyDescent="0.2">
      <c r="A201" s="449" t="s">
        <v>1591</v>
      </c>
      <c r="B201" s="450" t="s">
        <v>1392</v>
      </c>
      <c r="C201" s="451" t="s">
        <v>1393</v>
      </c>
      <c r="D201" s="452">
        <v>24.9</v>
      </c>
      <c r="E201" s="452">
        <v>28</v>
      </c>
      <c r="F201" s="452">
        <v>34.1</v>
      </c>
      <c r="G201" s="452">
        <v>42.4</v>
      </c>
      <c r="H201" s="452">
        <v>52.8</v>
      </c>
      <c r="I201" s="452">
        <v>61.7</v>
      </c>
      <c r="J201" s="452">
        <v>65.8</v>
      </c>
      <c r="K201" s="452">
        <v>64.8</v>
      </c>
      <c r="L201" s="452">
        <v>56.9</v>
      </c>
      <c r="M201" s="452">
        <v>45.3</v>
      </c>
      <c r="N201" s="452">
        <v>33.200000000000003</v>
      </c>
      <c r="O201" s="452">
        <v>25.8</v>
      </c>
      <c r="P201" s="452">
        <v>44.7</v>
      </c>
      <c r="Q201" s="454">
        <v>1</v>
      </c>
      <c r="R201" s="455">
        <f t="shared" si="3"/>
        <v>44.641666666666659</v>
      </c>
    </row>
    <row r="202" spans="1:18" ht="13.5" customHeight="1" x14ac:dyDescent="0.2">
      <c r="A202" s="449" t="s">
        <v>1592</v>
      </c>
      <c r="B202" s="450" t="s">
        <v>1392</v>
      </c>
      <c r="C202" s="451" t="s">
        <v>1393</v>
      </c>
      <c r="D202" s="452">
        <v>40.299999999999997</v>
      </c>
      <c r="E202" s="452">
        <v>43.9</v>
      </c>
      <c r="F202" s="452">
        <v>49.9</v>
      </c>
      <c r="G202" s="452">
        <v>57.5</v>
      </c>
      <c r="H202" s="452">
        <v>66.3</v>
      </c>
      <c r="I202" s="452">
        <v>71.900000000000006</v>
      </c>
      <c r="J202" s="452">
        <v>73.8</v>
      </c>
      <c r="K202" s="452">
        <v>73.5</v>
      </c>
      <c r="L202" s="452">
        <v>68.2</v>
      </c>
      <c r="M202" s="452">
        <v>58.8</v>
      </c>
      <c r="N202" s="452">
        <v>48.3</v>
      </c>
      <c r="O202" s="452">
        <v>41</v>
      </c>
      <c r="P202" s="452">
        <v>57.8</v>
      </c>
      <c r="Q202" s="454">
        <v>1</v>
      </c>
      <c r="R202" s="455">
        <f t="shared" si="3"/>
        <v>57.783333333333324</v>
      </c>
    </row>
    <row r="203" spans="1:18" ht="13.5" customHeight="1" x14ac:dyDescent="0.2">
      <c r="A203" s="449" t="s">
        <v>1593</v>
      </c>
      <c r="B203" s="450" t="s">
        <v>1392</v>
      </c>
      <c r="C203" s="451" t="s">
        <v>1393</v>
      </c>
      <c r="D203" s="452">
        <v>52.8</v>
      </c>
      <c r="E203" s="452">
        <v>56</v>
      </c>
      <c r="F203" s="452">
        <v>60.7</v>
      </c>
      <c r="G203" s="452">
        <v>66.599999999999994</v>
      </c>
      <c r="H203" s="452">
        <v>72.7</v>
      </c>
      <c r="I203" s="452">
        <v>76.400000000000006</v>
      </c>
      <c r="J203" s="452">
        <v>76.900000000000006</v>
      </c>
      <c r="K203" s="452">
        <v>76.8</v>
      </c>
      <c r="L203" s="452">
        <v>73.599999999999994</v>
      </c>
      <c r="M203" s="452">
        <v>67.599999999999994</v>
      </c>
      <c r="N203" s="452">
        <v>59.9</v>
      </c>
      <c r="O203" s="452">
        <v>53.5</v>
      </c>
      <c r="P203" s="452">
        <v>66.099999999999994</v>
      </c>
      <c r="Q203" s="454">
        <v>1</v>
      </c>
      <c r="R203" s="455">
        <f t="shared" si="3"/>
        <v>66.125</v>
      </c>
    </row>
    <row r="204" spans="1:18" ht="13.5" customHeight="1" x14ac:dyDescent="0.2">
      <c r="A204" s="449" t="s">
        <v>1594</v>
      </c>
      <c r="B204" s="450" t="s">
        <v>1392</v>
      </c>
      <c r="C204" s="451" t="s">
        <v>1393</v>
      </c>
      <c r="D204" s="452">
        <v>48.4</v>
      </c>
      <c r="E204" s="452">
        <v>51.9</v>
      </c>
      <c r="F204" s="452">
        <v>57.3</v>
      </c>
      <c r="G204" s="452">
        <v>63.9</v>
      </c>
      <c r="H204" s="452">
        <v>70.599999999999994</v>
      </c>
      <c r="I204" s="452">
        <v>74.5</v>
      </c>
      <c r="J204" s="452">
        <v>75.3</v>
      </c>
      <c r="K204" s="452">
        <v>75.5</v>
      </c>
      <c r="L204" s="452">
        <v>72.5</v>
      </c>
      <c r="M204" s="452">
        <v>65.3</v>
      </c>
      <c r="N204" s="452">
        <v>56.2</v>
      </c>
      <c r="O204" s="452">
        <v>49.6</v>
      </c>
      <c r="P204" s="452">
        <v>63.4</v>
      </c>
      <c r="Q204" s="454">
        <v>1</v>
      </c>
      <c r="R204" s="455">
        <f t="shared" si="3"/>
        <v>63.416666666666679</v>
      </c>
    </row>
    <row r="205" spans="1:18" ht="13.5" customHeight="1" x14ac:dyDescent="0.2">
      <c r="A205" s="449" t="s">
        <v>1595</v>
      </c>
      <c r="B205" s="450" t="s">
        <v>1392</v>
      </c>
      <c r="C205" s="451" t="s">
        <v>1393</v>
      </c>
      <c r="D205" s="452">
        <v>37</v>
      </c>
      <c r="E205" s="452">
        <v>40.799999999999997</v>
      </c>
      <c r="F205" s="452">
        <v>47.8</v>
      </c>
      <c r="G205" s="452">
        <v>55.8</v>
      </c>
      <c r="H205" s="452">
        <v>65.400000000000006</v>
      </c>
      <c r="I205" s="452">
        <v>72.599999999999994</v>
      </c>
      <c r="J205" s="452">
        <v>76.3</v>
      </c>
      <c r="K205" s="452">
        <v>76.099999999999994</v>
      </c>
      <c r="L205" s="452">
        <v>68.599999999999994</v>
      </c>
      <c r="M205" s="452">
        <v>57.8</v>
      </c>
      <c r="N205" s="452">
        <v>47.1</v>
      </c>
      <c r="O205" s="452">
        <v>38.799999999999997</v>
      </c>
      <c r="P205" s="452">
        <v>57</v>
      </c>
      <c r="Q205" s="454">
        <v>1</v>
      </c>
      <c r="R205" s="455">
        <f t="shared" si="3"/>
        <v>57.008333333333326</v>
      </c>
    </row>
    <row r="206" spans="1:18" ht="13.5" customHeight="1" x14ac:dyDescent="0.2">
      <c r="A206" s="449" t="s">
        <v>1596</v>
      </c>
      <c r="B206" s="450" t="s">
        <v>1392</v>
      </c>
      <c r="C206" s="451" t="s">
        <v>1393</v>
      </c>
      <c r="D206" s="452">
        <v>34.6</v>
      </c>
      <c r="E206" s="452">
        <v>38.799999999999997</v>
      </c>
      <c r="F206" s="452">
        <v>44.3</v>
      </c>
      <c r="G206" s="452">
        <v>52.2</v>
      </c>
      <c r="H206" s="452">
        <v>62.3</v>
      </c>
      <c r="I206" s="452">
        <v>69.8</v>
      </c>
      <c r="J206" s="452">
        <v>72.2</v>
      </c>
      <c r="K206" s="452">
        <v>70.599999999999994</v>
      </c>
      <c r="L206" s="452">
        <v>64.5</v>
      </c>
      <c r="M206" s="452">
        <v>53.3</v>
      </c>
      <c r="N206" s="452">
        <v>40.799999999999997</v>
      </c>
      <c r="O206" s="452">
        <v>33.9</v>
      </c>
      <c r="P206" s="452">
        <v>53.1</v>
      </c>
      <c r="Q206" s="454">
        <v>1</v>
      </c>
      <c r="R206" s="455">
        <f t="shared" si="3"/>
        <v>53.10833333333332</v>
      </c>
    </row>
    <row r="207" spans="1:18" ht="13.5" customHeight="1" x14ac:dyDescent="0.2">
      <c r="A207" s="449" t="s">
        <v>1597</v>
      </c>
      <c r="B207" s="450" t="s">
        <v>1392</v>
      </c>
      <c r="C207" s="451" t="s">
        <v>1393</v>
      </c>
      <c r="D207" s="452">
        <v>43.8</v>
      </c>
      <c r="E207" s="452">
        <v>47</v>
      </c>
      <c r="F207" s="452">
        <v>52.7</v>
      </c>
      <c r="G207" s="452">
        <v>59.6</v>
      </c>
      <c r="H207" s="452">
        <v>67.900000000000006</v>
      </c>
      <c r="I207" s="452">
        <v>73.400000000000006</v>
      </c>
      <c r="J207" s="452">
        <v>75.099999999999994</v>
      </c>
      <c r="K207" s="452">
        <v>74.7</v>
      </c>
      <c r="L207" s="452">
        <v>69.900000000000006</v>
      </c>
      <c r="M207" s="452">
        <v>61</v>
      </c>
      <c r="N207" s="452">
        <v>51.2</v>
      </c>
      <c r="O207" s="452">
        <v>44.9</v>
      </c>
      <c r="P207" s="452">
        <v>60.1</v>
      </c>
      <c r="Q207" s="454">
        <v>1</v>
      </c>
      <c r="R207" s="455">
        <f t="shared" si="3"/>
        <v>60.1</v>
      </c>
    </row>
    <row r="208" spans="1:18" ht="13.5" customHeight="1" x14ac:dyDescent="0.2">
      <c r="A208" s="449" t="s">
        <v>1598</v>
      </c>
      <c r="B208" s="450" t="s">
        <v>1392</v>
      </c>
      <c r="C208" s="451" t="s">
        <v>1393</v>
      </c>
      <c r="D208" s="452">
        <v>28</v>
      </c>
      <c r="E208" s="452">
        <v>31.6</v>
      </c>
      <c r="F208" s="452">
        <v>38.200000000000003</v>
      </c>
      <c r="G208" s="452">
        <v>46.8</v>
      </c>
      <c r="H208" s="452">
        <v>57.3</v>
      </c>
      <c r="I208" s="452">
        <v>65.400000000000006</v>
      </c>
      <c r="J208" s="452">
        <v>69</v>
      </c>
      <c r="K208" s="452">
        <v>67.5</v>
      </c>
      <c r="L208" s="452">
        <v>59.6</v>
      </c>
      <c r="M208" s="452">
        <v>48.6</v>
      </c>
      <c r="N208" s="452">
        <v>36.6</v>
      </c>
      <c r="O208" s="452">
        <v>28.5</v>
      </c>
      <c r="P208" s="452">
        <v>48.1</v>
      </c>
      <c r="Q208" s="454">
        <v>1</v>
      </c>
      <c r="R208" s="455">
        <f t="shared" si="3"/>
        <v>48.091666666666676</v>
      </c>
    </row>
    <row r="209" spans="1:18" ht="13.5" customHeight="1" x14ac:dyDescent="0.2">
      <c r="A209" s="449" t="s">
        <v>1599</v>
      </c>
      <c r="B209" s="450" t="s">
        <v>1392</v>
      </c>
      <c r="C209" s="451" t="s">
        <v>1393</v>
      </c>
      <c r="D209" s="452">
        <v>39.299999999999997</v>
      </c>
      <c r="E209" s="452">
        <v>42.4</v>
      </c>
      <c r="F209" s="452">
        <v>48.6</v>
      </c>
      <c r="G209" s="452">
        <v>55.6</v>
      </c>
      <c r="H209" s="452">
        <v>64.7</v>
      </c>
      <c r="I209" s="452">
        <v>70.7</v>
      </c>
      <c r="J209" s="452">
        <v>72.8</v>
      </c>
      <c r="K209" s="452">
        <v>72.099999999999994</v>
      </c>
      <c r="L209" s="452">
        <v>66.8</v>
      </c>
      <c r="M209" s="452">
        <v>56.5</v>
      </c>
      <c r="N209" s="452">
        <v>46.8</v>
      </c>
      <c r="O209" s="452">
        <v>40.299999999999997</v>
      </c>
      <c r="P209" s="452">
        <v>56.4</v>
      </c>
      <c r="Q209" s="454">
        <v>1</v>
      </c>
      <c r="R209" s="455">
        <f t="shared" si="3"/>
        <v>56.383333333333319</v>
      </c>
    </row>
    <row r="210" spans="1:18" ht="13.5" customHeight="1" x14ac:dyDescent="0.2">
      <c r="A210" s="449" t="s">
        <v>1600</v>
      </c>
      <c r="B210" s="450" t="s">
        <v>1392</v>
      </c>
      <c r="C210" s="451" t="s">
        <v>1393</v>
      </c>
      <c r="D210" s="452">
        <v>31.8</v>
      </c>
      <c r="E210" s="452">
        <v>35.9</v>
      </c>
      <c r="F210" s="452">
        <v>42.1</v>
      </c>
      <c r="G210" s="452">
        <v>50.1</v>
      </c>
      <c r="H210" s="452">
        <v>60.9</v>
      </c>
      <c r="I210" s="452">
        <v>68.5</v>
      </c>
      <c r="J210" s="452">
        <v>71</v>
      </c>
      <c r="K210" s="452">
        <v>69.7</v>
      </c>
      <c r="L210" s="452">
        <v>62.7</v>
      </c>
      <c r="M210" s="452">
        <v>52.4</v>
      </c>
      <c r="N210" s="452">
        <v>39.799999999999997</v>
      </c>
      <c r="O210" s="452">
        <v>32.1</v>
      </c>
      <c r="P210" s="452">
        <v>51.4</v>
      </c>
      <c r="Q210" s="454">
        <v>1</v>
      </c>
      <c r="R210" s="455">
        <f t="shared" si="3"/>
        <v>51.416666666666664</v>
      </c>
    </row>
    <row r="211" spans="1:18" ht="13.5" customHeight="1" x14ac:dyDescent="0.2">
      <c r="A211" s="449" t="s">
        <v>1601</v>
      </c>
      <c r="B211" s="450" t="s">
        <v>1392</v>
      </c>
      <c r="C211" s="451" t="s">
        <v>1393</v>
      </c>
      <c r="D211" s="452">
        <v>44.6</v>
      </c>
      <c r="E211" s="452">
        <v>47.7</v>
      </c>
      <c r="F211" s="452">
        <v>53.2</v>
      </c>
      <c r="G211" s="452">
        <v>60.1</v>
      </c>
      <c r="H211" s="452">
        <v>68</v>
      </c>
      <c r="I211" s="452">
        <v>73.5</v>
      </c>
      <c r="J211" s="452">
        <v>75</v>
      </c>
      <c r="K211" s="452">
        <v>74.7</v>
      </c>
      <c r="L211" s="452">
        <v>70.599999999999994</v>
      </c>
      <c r="M211" s="452">
        <v>61.5</v>
      </c>
      <c r="N211" s="452">
        <v>51.7</v>
      </c>
      <c r="O211" s="452">
        <v>45.7</v>
      </c>
      <c r="P211" s="452">
        <v>60.5</v>
      </c>
      <c r="Q211" s="454">
        <v>1</v>
      </c>
      <c r="R211" s="455">
        <f t="shared" si="3"/>
        <v>60.525000000000006</v>
      </c>
    </row>
    <row r="212" spans="1:18" ht="13.5" customHeight="1" x14ac:dyDescent="0.2">
      <c r="A212" s="449" t="s">
        <v>1602</v>
      </c>
      <c r="B212" s="450" t="s">
        <v>1392</v>
      </c>
      <c r="C212" s="451" t="s">
        <v>1393</v>
      </c>
      <c r="D212" s="452">
        <v>34.4</v>
      </c>
      <c r="E212" s="452">
        <v>38</v>
      </c>
      <c r="F212" s="452">
        <v>45.2</v>
      </c>
      <c r="G212" s="452">
        <v>52.8</v>
      </c>
      <c r="H212" s="452">
        <v>62.8</v>
      </c>
      <c r="I212" s="452">
        <v>69.599999999999994</v>
      </c>
      <c r="J212" s="452">
        <v>72.099999999999994</v>
      </c>
      <c r="K212" s="452">
        <v>71.3</v>
      </c>
      <c r="L212" s="452">
        <v>64</v>
      </c>
      <c r="M212" s="452">
        <v>53.8</v>
      </c>
      <c r="N212" s="452">
        <v>42.7</v>
      </c>
      <c r="O212" s="452">
        <v>35.1</v>
      </c>
      <c r="P212" s="452">
        <v>53.5</v>
      </c>
      <c r="Q212" s="454">
        <v>1</v>
      </c>
      <c r="R212" s="455">
        <f t="shared" si="3"/>
        <v>53.483333333333341</v>
      </c>
    </row>
    <row r="213" spans="1:18" ht="13.5" customHeight="1" x14ac:dyDescent="0.2">
      <c r="A213" s="449" t="s">
        <v>1603</v>
      </c>
      <c r="B213" s="450" t="s">
        <v>1392</v>
      </c>
      <c r="C213" s="451" t="s">
        <v>1393</v>
      </c>
      <c r="D213" s="452">
        <v>42</v>
      </c>
      <c r="E213" s="452">
        <v>45.8</v>
      </c>
      <c r="F213" s="452">
        <v>51.8</v>
      </c>
      <c r="G213" s="452">
        <v>59.1</v>
      </c>
      <c r="H213" s="452">
        <v>67.599999999999994</v>
      </c>
      <c r="I213" s="452">
        <v>73.2</v>
      </c>
      <c r="J213" s="452">
        <v>75.2</v>
      </c>
      <c r="K213" s="452">
        <v>75.3</v>
      </c>
      <c r="L213" s="452">
        <v>69.8</v>
      </c>
      <c r="M213" s="452">
        <v>60.8</v>
      </c>
      <c r="N213" s="452">
        <v>50.5</v>
      </c>
      <c r="O213" s="452">
        <v>43.1</v>
      </c>
      <c r="P213" s="452">
        <v>59.5</v>
      </c>
      <c r="Q213" s="454">
        <v>1</v>
      </c>
      <c r="R213" s="455">
        <f t="shared" si="3"/>
        <v>59.516666666666659</v>
      </c>
    </row>
    <row r="214" spans="1:18" ht="13.5" customHeight="1" x14ac:dyDescent="0.2">
      <c r="A214" s="449" t="s">
        <v>1604</v>
      </c>
      <c r="B214" s="450" t="s">
        <v>1392</v>
      </c>
      <c r="C214" s="451" t="s">
        <v>1393</v>
      </c>
      <c r="D214" s="452">
        <v>44.5</v>
      </c>
      <c r="E214" s="452">
        <v>48</v>
      </c>
      <c r="F214" s="452">
        <v>53.7</v>
      </c>
      <c r="G214" s="452">
        <v>60.5</v>
      </c>
      <c r="H214" s="452">
        <v>68.3</v>
      </c>
      <c r="I214" s="453">
        <v>73.3</v>
      </c>
      <c r="J214" s="452">
        <v>74.8</v>
      </c>
      <c r="K214" s="452">
        <v>74.400000000000006</v>
      </c>
      <c r="L214" s="452">
        <v>70.099999999999994</v>
      </c>
      <c r="M214" s="452">
        <v>61.6</v>
      </c>
      <c r="N214" s="452">
        <v>51.9</v>
      </c>
      <c r="O214" s="452">
        <v>45.5</v>
      </c>
      <c r="P214" s="452">
        <v>60.5</v>
      </c>
      <c r="Q214" s="454">
        <v>1</v>
      </c>
      <c r="R214" s="455">
        <f t="shared" si="3"/>
        <v>60.550000000000004</v>
      </c>
    </row>
    <row r="215" spans="1:18" ht="13.5" customHeight="1" x14ac:dyDescent="0.2">
      <c r="A215" s="449" t="s">
        <v>1605</v>
      </c>
      <c r="B215" s="450" t="s">
        <v>1392</v>
      </c>
      <c r="C215" s="451" t="s">
        <v>1393</v>
      </c>
      <c r="D215" s="452">
        <v>37.6</v>
      </c>
      <c r="E215" s="452">
        <v>41.3</v>
      </c>
      <c r="F215" s="452">
        <v>48.1</v>
      </c>
      <c r="G215" s="452">
        <v>55.7</v>
      </c>
      <c r="H215" s="452">
        <v>64.7</v>
      </c>
      <c r="I215" s="453">
        <v>71.7</v>
      </c>
      <c r="J215" s="452">
        <v>75</v>
      </c>
      <c r="K215" s="452">
        <v>74.400000000000006</v>
      </c>
      <c r="L215" s="452">
        <v>67.3</v>
      </c>
      <c r="M215" s="452">
        <v>57.2</v>
      </c>
      <c r="N215" s="452">
        <v>46.9</v>
      </c>
      <c r="O215" s="452">
        <v>39</v>
      </c>
      <c r="P215" s="452">
        <v>56.6</v>
      </c>
      <c r="Q215" s="454">
        <v>1</v>
      </c>
      <c r="R215" s="455">
        <f t="shared" si="3"/>
        <v>56.574999999999996</v>
      </c>
    </row>
    <row r="216" spans="1:18" ht="13.5" customHeight="1" x14ac:dyDescent="0.2">
      <c r="A216" s="449" t="s">
        <v>1606</v>
      </c>
      <c r="B216" s="450" t="s">
        <v>1392</v>
      </c>
      <c r="C216" s="451" t="s">
        <v>1393</v>
      </c>
      <c r="D216" s="452">
        <v>19.2</v>
      </c>
      <c r="E216" s="452">
        <v>23.3</v>
      </c>
      <c r="F216" s="452">
        <v>28.3</v>
      </c>
      <c r="G216" s="452">
        <v>33.5</v>
      </c>
      <c r="H216" s="452">
        <v>42.2</v>
      </c>
      <c r="I216" s="453">
        <v>50.9</v>
      </c>
      <c r="J216" s="452">
        <v>59</v>
      </c>
      <c r="K216" s="452">
        <v>57.7</v>
      </c>
      <c r="L216" s="452">
        <v>47.7</v>
      </c>
      <c r="M216" s="452">
        <v>36</v>
      </c>
      <c r="N216" s="452">
        <v>25</v>
      </c>
      <c r="O216" s="452">
        <v>18.7</v>
      </c>
      <c r="P216" s="452">
        <v>36.799999999999997</v>
      </c>
      <c r="Q216" s="454">
        <v>1</v>
      </c>
      <c r="R216" s="455">
        <f t="shared" si="3"/>
        <v>36.791666666666664</v>
      </c>
    </row>
    <row r="217" spans="1:18" ht="13.5" customHeight="1" x14ac:dyDescent="0.2">
      <c r="A217" s="449" t="s">
        <v>1607</v>
      </c>
      <c r="B217" s="450" t="s">
        <v>1392</v>
      </c>
      <c r="C217" s="451" t="s">
        <v>1393</v>
      </c>
      <c r="D217" s="452">
        <v>23.3</v>
      </c>
      <c r="E217" s="452">
        <v>26.9</v>
      </c>
      <c r="F217" s="452">
        <v>34.4</v>
      </c>
      <c r="G217" s="452">
        <v>40.200000000000003</v>
      </c>
      <c r="H217" s="452">
        <v>49</v>
      </c>
      <c r="I217" s="453">
        <v>57.3</v>
      </c>
      <c r="J217" s="452">
        <v>66.400000000000006</v>
      </c>
      <c r="K217" s="452">
        <v>64.900000000000006</v>
      </c>
      <c r="L217" s="452">
        <v>54.3</v>
      </c>
      <c r="M217" s="452">
        <v>42.2</v>
      </c>
      <c r="N217" s="452">
        <v>31.1</v>
      </c>
      <c r="O217" s="452">
        <v>24.1</v>
      </c>
      <c r="P217" s="452">
        <v>42.9</v>
      </c>
      <c r="Q217" s="454">
        <v>1</v>
      </c>
      <c r="R217" s="455">
        <f t="shared" si="3"/>
        <v>42.841666666666669</v>
      </c>
    </row>
    <row r="218" spans="1:18" ht="13.5" customHeight="1" x14ac:dyDescent="0.2">
      <c r="A218" s="449" t="s">
        <v>1608</v>
      </c>
      <c r="B218" s="450" t="s">
        <v>1392</v>
      </c>
      <c r="C218" s="451" t="s">
        <v>1393</v>
      </c>
      <c r="D218" s="452">
        <v>11.6</v>
      </c>
      <c r="E218" s="452">
        <v>13.1</v>
      </c>
      <c r="F218" s="452">
        <v>22.7</v>
      </c>
      <c r="G218" s="452">
        <v>35.1</v>
      </c>
      <c r="H218" s="452">
        <v>46.1</v>
      </c>
      <c r="I218" s="453">
        <v>56.4</v>
      </c>
      <c r="J218" s="452">
        <v>61</v>
      </c>
      <c r="K218" s="452">
        <v>59.2</v>
      </c>
      <c r="L218" s="452">
        <v>51.5</v>
      </c>
      <c r="M218" s="452">
        <v>40.200000000000003</v>
      </c>
      <c r="N218" s="452">
        <v>31.6</v>
      </c>
      <c r="O218" s="452">
        <v>19.8</v>
      </c>
      <c r="P218" s="452">
        <v>37.4</v>
      </c>
      <c r="Q218" s="454">
        <v>1</v>
      </c>
      <c r="R218" s="455">
        <f t="shared" si="3"/>
        <v>37.358333333333334</v>
      </c>
    </row>
    <row r="219" spans="1:18" ht="13.5" customHeight="1" x14ac:dyDescent="0.2">
      <c r="A219" s="449" t="s">
        <v>1609</v>
      </c>
      <c r="B219" s="450" t="s">
        <v>1392</v>
      </c>
      <c r="C219" s="451" t="s">
        <v>1393</v>
      </c>
      <c r="D219" s="452">
        <v>25.8</v>
      </c>
      <c r="E219" s="452">
        <v>26.7</v>
      </c>
      <c r="F219" s="452">
        <v>33.9</v>
      </c>
      <c r="G219" s="452">
        <v>43.4</v>
      </c>
      <c r="H219" s="452">
        <v>52.3</v>
      </c>
      <c r="I219" s="453">
        <v>61.9</v>
      </c>
      <c r="J219" s="452">
        <v>66.5</v>
      </c>
      <c r="K219" s="452">
        <v>65.400000000000006</v>
      </c>
      <c r="L219" s="452">
        <v>57.6</v>
      </c>
      <c r="M219" s="452">
        <v>44.8</v>
      </c>
      <c r="N219" s="452">
        <v>36.200000000000003</v>
      </c>
      <c r="O219" s="452">
        <v>28.2</v>
      </c>
      <c r="P219" s="452">
        <v>45.2</v>
      </c>
      <c r="Q219" s="454">
        <v>1</v>
      </c>
      <c r="R219" s="455">
        <f t="shared" si="3"/>
        <v>45.225000000000001</v>
      </c>
    </row>
    <row r="220" spans="1:18" ht="13.5" customHeight="1" x14ac:dyDescent="0.2">
      <c r="A220" s="449" t="s">
        <v>1610</v>
      </c>
      <c r="B220" s="450" t="s">
        <v>1392</v>
      </c>
      <c r="C220" s="451" t="s">
        <v>1393</v>
      </c>
      <c r="D220" s="452">
        <v>30</v>
      </c>
      <c r="E220" s="452">
        <v>31.2</v>
      </c>
      <c r="F220" s="452">
        <v>38.299999999999997</v>
      </c>
      <c r="G220" s="452">
        <v>47.9</v>
      </c>
      <c r="H220" s="452">
        <v>57</v>
      </c>
      <c r="I220" s="453">
        <v>66.7</v>
      </c>
      <c r="J220" s="452">
        <v>71.5</v>
      </c>
      <c r="K220" s="452">
        <v>70.400000000000006</v>
      </c>
      <c r="L220" s="452">
        <v>63.2</v>
      </c>
      <c r="M220" s="452">
        <v>51.2</v>
      </c>
      <c r="N220" s="452">
        <v>41.7</v>
      </c>
      <c r="O220" s="452">
        <v>33.299999999999997</v>
      </c>
      <c r="P220" s="452">
        <v>50.2</v>
      </c>
      <c r="Q220" s="454">
        <v>1</v>
      </c>
      <c r="R220" s="455">
        <f t="shared" si="3"/>
        <v>50.199999999999996</v>
      </c>
    </row>
    <row r="221" spans="1:18" ht="13.5" customHeight="1" x14ac:dyDescent="0.2">
      <c r="A221" s="449" t="s">
        <v>1611</v>
      </c>
      <c r="B221" s="450" t="s">
        <v>1392</v>
      </c>
      <c r="C221" s="451" t="s">
        <v>1393</v>
      </c>
      <c r="D221" s="452">
        <v>27.6</v>
      </c>
      <c r="E221" s="452">
        <v>29.1</v>
      </c>
      <c r="F221" s="453">
        <v>35.9</v>
      </c>
      <c r="G221" s="452">
        <v>44.7</v>
      </c>
      <c r="H221" s="452">
        <v>53</v>
      </c>
      <c r="I221" s="453">
        <v>61.9</v>
      </c>
      <c r="J221" s="452">
        <v>65.8</v>
      </c>
      <c r="K221" s="452">
        <v>64.7</v>
      </c>
      <c r="L221" s="452">
        <v>57.5</v>
      </c>
      <c r="M221" s="452">
        <v>45.5</v>
      </c>
      <c r="N221" s="452">
        <v>36.5</v>
      </c>
      <c r="O221" s="452">
        <v>29.1</v>
      </c>
      <c r="P221" s="452">
        <v>46</v>
      </c>
      <c r="Q221" s="454">
        <v>1</v>
      </c>
      <c r="R221" s="455">
        <f t="shared" si="3"/>
        <v>45.94166666666667</v>
      </c>
    </row>
    <row r="222" spans="1:18" ht="13.5" customHeight="1" x14ac:dyDescent="0.2">
      <c r="A222" s="449" t="s">
        <v>1612</v>
      </c>
      <c r="B222" s="450" t="s">
        <v>1392</v>
      </c>
      <c r="C222" s="451" t="s">
        <v>1393</v>
      </c>
      <c r="D222" s="452">
        <v>34.5</v>
      </c>
      <c r="E222" s="452">
        <v>35.200000000000003</v>
      </c>
      <c r="F222" s="453">
        <v>41.6</v>
      </c>
      <c r="G222" s="452">
        <v>50.2</v>
      </c>
      <c r="H222" s="452">
        <v>58.7</v>
      </c>
      <c r="I222" s="453">
        <v>68.099999999999994</v>
      </c>
      <c r="J222" s="452">
        <v>72.7</v>
      </c>
      <c r="K222" s="452">
        <v>71.599999999999994</v>
      </c>
      <c r="L222" s="452">
        <v>66.400000000000006</v>
      </c>
      <c r="M222" s="452">
        <v>54.8</v>
      </c>
      <c r="N222" s="452">
        <v>45.1</v>
      </c>
      <c r="O222" s="452">
        <v>37.200000000000003</v>
      </c>
      <c r="P222" s="452">
        <v>53</v>
      </c>
      <c r="Q222" s="454">
        <v>1</v>
      </c>
      <c r="R222" s="455">
        <f t="shared" si="3"/>
        <v>53.008333333333326</v>
      </c>
    </row>
    <row r="223" spans="1:18" ht="13.5" customHeight="1" x14ac:dyDescent="0.2">
      <c r="A223" s="449" t="s">
        <v>1613</v>
      </c>
      <c r="B223" s="450" t="s">
        <v>1392</v>
      </c>
      <c r="C223" s="451" t="s">
        <v>1393</v>
      </c>
      <c r="D223" s="452">
        <v>30.2</v>
      </c>
      <c r="E223" s="452">
        <v>31</v>
      </c>
      <c r="F223" s="453">
        <v>38</v>
      </c>
      <c r="G223" s="452">
        <v>47.2</v>
      </c>
      <c r="H223" s="452">
        <v>55.8</v>
      </c>
      <c r="I223" s="453">
        <v>65.2</v>
      </c>
      <c r="J223" s="452">
        <v>69.5</v>
      </c>
      <c r="K223" s="452">
        <v>68.3</v>
      </c>
      <c r="L223" s="452">
        <v>61.2</v>
      </c>
      <c r="M223" s="452">
        <v>49.2</v>
      </c>
      <c r="N223" s="452">
        <v>40.200000000000003</v>
      </c>
      <c r="O223" s="452">
        <v>32.299999999999997</v>
      </c>
      <c r="P223" s="452">
        <v>49</v>
      </c>
      <c r="Q223" s="454">
        <v>1</v>
      </c>
      <c r="R223" s="455">
        <f t="shared" si="3"/>
        <v>49.008333333333333</v>
      </c>
    </row>
    <row r="224" spans="1:18" ht="13.5" customHeight="1" x14ac:dyDescent="0.2">
      <c r="A224" s="449" t="s">
        <v>1614</v>
      </c>
      <c r="B224" s="450" t="s">
        <v>1392</v>
      </c>
      <c r="C224" s="451" t="s">
        <v>1393</v>
      </c>
      <c r="D224" s="452">
        <v>29.4</v>
      </c>
      <c r="E224" s="452">
        <v>31</v>
      </c>
      <c r="F224" s="453">
        <v>37.9</v>
      </c>
      <c r="G224" s="452">
        <v>46.7</v>
      </c>
      <c r="H224" s="452">
        <v>54.7</v>
      </c>
      <c r="I224" s="453">
        <v>63.4</v>
      </c>
      <c r="J224" s="452">
        <v>67.2</v>
      </c>
      <c r="K224" s="452">
        <v>66.2</v>
      </c>
      <c r="L224" s="452">
        <v>58.8</v>
      </c>
      <c r="M224" s="452">
        <v>47.7</v>
      </c>
      <c r="N224" s="452">
        <v>38.700000000000003</v>
      </c>
      <c r="O224" s="452">
        <v>31.3</v>
      </c>
      <c r="P224" s="452">
        <v>47.8</v>
      </c>
      <c r="Q224" s="454">
        <v>1</v>
      </c>
      <c r="R224" s="455">
        <f t="shared" si="3"/>
        <v>47.749999999999993</v>
      </c>
    </row>
    <row r="225" spans="1:18" ht="13.5" customHeight="1" x14ac:dyDescent="0.2">
      <c r="A225" s="449" t="s">
        <v>1615</v>
      </c>
      <c r="B225" s="450" t="s">
        <v>1392</v>
      </c>
      <c r="C225" s="451" t="s">
        <v>1393</v>
      </c>
      <c r="D225" s="452">
        <v>33.799999999999997</v>
      </c>
      <c r="E225" s="452">
        <v>32.9</v>
      </c>
      <c r="F225" s="453">
        <v>35.299999999999997</v>
      </c>
      <c r="G225" s="452">
        <v>38</v>
      </c>
      <c r="H225" s="452">
        <v>43.4</v>
      </c>
      <c r="I225" s="453">
        <v>47.8</v>
      </c>
      <c r="J225" s="452">
        <v>51.3</v>
      </c>
      <c r="K225" s="452">
        <v>50.9</v>
      </c>
      <c r="L225" s="452">
        <v>46.4</v>
      </c>
      <c r="M225" s="452">
        <v>40.9</v>
      </c>
      <c r="N225" s="452">
        <v>36.6</v>
      </c>
      <c r="O225" s="452">
        <v>33.4</v>
      </c>
      <c r="P225" s="452">
        <v>40.9</v>
      </c>
      <c r="Q225" s="454">
        <v>1</v>
      </c>
      <c r="R225" s="455">
        <f t="shared" si="3"/>
        <v>40.891666666666659</v>
      </c>
    </row>
    <row r="226" spans="1:18" ht="13.5" customHeight="1" x14ac:dyDescent="0.2">
      <c r="A226" s="449" t="s">
        <v>1616</v>
      </c>
      <c r="B226" s="450" t="s">
        <v>1392</v>
      </c>
      <c r="C226" s="451" t="s">
        <v>1393</v>
      </c>
      <c r="D226" s="452">
        <v>36.4</v>
      </c>
      <c r="E226" s="452">
        <v>35.6</v>
      </c>
      <c r="F226" s="453">
        <v>37</v>
      </c>
      <c r="G226" s="452">
        <v>39.1</v>
      </c>
      <c r="H226" s="452">
        <v>43.5</v>
      </c>
      <c r="I226" s="453">
        <v>47.9</v>
      </c>
      <c r="J226" s="452">
        <v>51.2</v>
      </c>
      <c r="K226" s="452">
        <v>51</v>
      </c>
      <c r="L226" s="452">
        <v>47.5</v>
      </c>
      <c r="M226" s="452">
        <v>42.4</v>
      </c>
      <c r="N226" s="452">
        <v>38.6</v>
      </c>
      <c r="O226" s="452">
        <v>35.700000000000003</v>
      </c>
      <c r="P226" s="452">
        <v>42.2</v>
      </c>
      <c r="Q226" s="454">
        <v>1</v>
      </c>
      <c r="R226" s="455">
        <f t="shared" si="3"/>
        <v>42.158333333333331</v>
      </c>
    </row>
    <row r="227" spans="1:18" ht="13.5" customHeight="1" x14ac:dyDescent="0.2">
      <c r="A227" s="449" t="s">
        <v>1617</v>
      </c>
      <c r="B227" s="450" t="s">
        <v>1392</v>
      </c>
      <c r="C227" s="451" t="s">
        <v>1393</v>
      </c>
      <c r="D227" s="452">
        <v>37.6</v>
      </c>
      <c r="E227" s="452">
        <v>37.799999999999997</v>
      </c>
      <c r="F227" s="453">
        <v>39.700000000000003</v>
      </c>
      <c r="G227" s="452">
        <v>42.8</v>
      </c>
      <c r="H227" s="456">
        <v>48</v>
      </c>
      <c r="I227" s="452">
        <v>52.4</v>
      </c>
      <c r="J227" s="452">
        <v>56.4</v>
      </c>
      <c r="K227" s="452">
        <v>56.5</v>
      </c>
      <c r="L227" s="452">
        <v>52.9</v>
      </c>
      <c r="M227" s="452">
        <v>46.5</v>
      </c>
      <c r="N227" s="452">
        <v>40.5</v>
      </c>
      <c r="O227" s="452">
        <v>36.799999999999997</v>
      </c>
      <c r="P227" s="452">
        <v>45.7</v>
      </c>
      <c r="Q227" s="454">
        <v>1</v>
      </c>
      <c r="R227" s="455">
        <f t="shared" si="3"/>
        <v>45.658333333333331</v>
      </c>
    </row>
    <row r="228" spans="1:18" ht="13.5" customHeight="1" x14ac:dyDescent="0.2">
      <c r="A228" s="449" t="s">
        <v>1618</v>
      </c>
      <c r="B228" s="450" t="s">
        <v>1392</v>
      </c>
      <c r="C228" s="451" t="s">
        <v>1393</v>
      </c>
      <c r="D228" s="452">
        <v>24.3</v>
      </c>
      <c r="E228" s="452">
        <v>26.4</v>
      </c>
      <c r="F228" s="453">
        <v>30.9</v>
      </c>
      <c r="G228" s="452">
        <v>36.4</v>
      </c>
      <c r="H228" s="456">
        <v>43.8</v>
      </c>
      <c r="I228" s="452">
        <v>49.9</v>
      </c>
      <c r="J228" s="452">
        <v>56.7</v>
      </c>
      <c r="K228" s="452">
        <v>55.7</v>
      </c>
      <c r="L228" s="452">
        <v>47.7</v>
      </c>
      <c r="M228" s="452">
        <v>37.299999999999997</v>
      </c>
      <c r="N228" s="452">
        <v>29.3</v>
      </c>
      <c r="O228" s="452">
        <v>23.7</v>
      </c>
      <c r="P228" s="452">
        <v>38.5</v>
      </c>
      <c r="Q228" s="454">
        <v>1</v>
      </c>
      <c r="R228" s="455">
        <f t="shared" si="3"/>
        <v>38.508333333333333</v>
      </c>
    </row>
    <row r="229" spans="1:18" ht="13.5" customHeight="1" x14ac:dyDescent="0.2">
      <c r="A229" s="449" t="s">
        <v>1619</v>
      </c>
      <c r="B229" s="450" t="s">
        <v>1392</v>
      </c>
      <c r="C229" s="451" t="s">
        <v>1393</v>
      </c>
      <c r="D229" s="452">
        <v>24</v>
      </c>
      <c r="E229" s="452">
        <v>25.7</v>
      </c>
      <c r="F229" s="453">
        <v>28.6</v>
      </c>
      <c r="G229" s="452">
        <v>31.8</v>
      </c>
      <c r="H229" s="456">
        <v>37.799999999999997</v>
      </c>
      <c r="I229" s="452">
        <v>42.4</v>
      </c>
      <c r="J229" s="452">
        <v>49</v>
      </c>
      <c r="K229" s="452">
        <v>49.3</v>
      </c>
      <c r="L229" s="452">
        <v>45.5</v>
      </c>
      <c r="M229" s="452">
        <v>36.700000000000003</v>
      </c>
      <c r="N229" s="452">
        <v>29.2</v>
      </c>
      <c r="O229" s="452">
        <v>23.5</v>
      </c>
      <c r="P229" s="452">
        <v>35.299999999999997</v>
      </c>
      <c r="Q229" s="454">
        <v>1</v>
      </c>
      <c r="R229" s="455">
        <f t="shared" si="3"/>
        <v>35.291666666666664</v>
      </c>
    </row>
    <row r="230" spans="1:18" ht="13.5" customHeight="1" x14ac:dyDescent="0.2">
      <c r="A230" s="449" t="s">
        <v>1620</v>
      </c>
      <c r="B230" s="450" t="s">
        <v>1392</v>
      </c>
      <c r="C230" s="451" t="s">
        <v>1393</v>
      </c>
      <c r="D230" s="452">
        <v>24.1</v>
      </c>
      <c r="E230" s="452">
        <v>27.1</v>
      </c>
      <c r="F230" s="453">
        <v>30.8</v>
      </c>
      <c r="G230" s="452">
        <v>35.5</v>
      </c>
      <c r="H230" s="456">
        <v>43.5</v>
      </c>
      <c r="I230" s="452">
        <v>49.6</v>
      </c>
      <c r="J230" s="452">
        <v>55.1</v>
      </c>
      <c r="K230" s="452">
        <v>53</v>
      </c>
      <c r="L230" s="452">
        <v>45</v>
      </c>
      <c r="M230" s="452">
        <v>35.200000000000003</v>
      </c>
      <c r="N230" s="452">
        <v>27.5</v>
      </c>
      <c r="O230" s="452">
        <v>23.4</v>
      </c>
      <c r="P230" s="452">
        <v>37.5</v>
      </c>
      <c r="Q230" s="454">
        <v>1</v>
      </c>
      <c r="R230" s="455">
        <f t="shared" si="3"/>
        <v>37.483333333333327</v>
      </c>
    </row>
    <row r="231" spans="1:18" ht="13.5" customHeight="1" x14ac:dyDescent="0.2">
      <c r="A231" s="449" t="s">
        <v>1621</v>
      </c>
      <c r="B231" s="450" t="s">
        <v>1392</v>
      </c>
      <c r="C231" s="451" t="s">
        <v>1393</v>
      </c>
      <c r="D231" s="452">
        <v>24.2</v>
      </c>
      <c r="E231" s="452">
        <v>26.2</v>
      </c>
      <c r="F231" s="453">
        <v>32.9</v>
      </c>
      <c r="G231" s="452">
        <v>42.7</v>
      </c>
      <c r="H231" s="456">
        <v>50.3</v>
      </c>
      <c r="I231" s="452">
        <v>58.6</v>
      </c>
      <c r="J231" s="452">
        <v>62</v>
      </c>
      <c r="K231" s="452">
        <v>61.1</v>
      </c>
      <c r="L231" s="452">
        <v>54.2</v>
      </c>
      <c r="M231" s="452">
        <v>43.8</v>
      </c>
      <c r="N231" s="452">
        <v>35.200000000000003</v>
      </c>
      <c r="O231" s="452">
        <v>27</v>
      </c>
      <c r="P231" s="452">
        <v>43.2</v>
      </c>
      <c r="Q231" s="454">
        <v>1</v>
      </c>
      <c r="R231" s="455">
        <f t="shared" si="3"/>
        <v>43.183333333333337</v>
      </c>
    </row>
    <row r="232" spans="1:18" ht="13.5" customHeight="1" x14ac:dyDescent="0.2">
      <c r="A232" s="449" t="s">
        <v>1622</v>
      </c>
      <c r="B232" s="450" t="s">
        <v>1392</v>
      </c>
      <c r="C232" s="451" t="s">
        <v>1393</v>
      </c>
      <c r="D232" s="452">
        <v>26.8</v>
      </c>
      <c r="E232" s="452">
        <v>28.6</v>
      </c>
      <c r="F232" s="453">
        <v>35.1</v>
      </c>
      <c r="G232" s="452">
        <v>44.9</v>
      </c>
      <c r="H232" s="456">
        <v>52.6</v>
      </c>
      <c r="I232" s="452">
        <v>61.6</v>
      </c>
      <c r="J232" s="452">
        <v>65.2</v>
      </c>
      <c r="K232" s="452">
        <v>64.3</v>
      </c>
      <c r="L232" s="452">
        <v>56.6</v>
      </c>
      <c r="M232" s="452">
        <v>45</v>
      </c>
      <c r="N232" s="452">
        <v>36.4</v>
      </c>
      <c r="O232" s="452">
        <v>29.2</v>
      </c>
      <c r="P232" s="452">
        <v>45.5</v>
      </c>
      <c r="Q232" s="454">
        <v>1</v>
      </c>
      <c r="R232" s="455">
        <f t="shared" si="3"/>
        <v>45.525000000000006</v>
      </c>
    </row>
    <row r="233" spans="1:18" ht="13.5" customHeight="1" x14ac:dyDescent="0.2">
      <c r="A233" s="449" t="s">
        <v>1623</v>
      </c>
      <c r="B233" s="450" t="s">
        <v>1392</v>
      </c>
      <c r="C233" s="451" t="s">
        <v>1393</v>
      </c>
      <c r="D233" s="452">
        <v>20.6</v>
      </c>
      <c r="E233" s="452">
        <v>21.5</v>
      </c>
      <c r="F233" s="453">
        <v>28.1</v>
      </c>
      <c r="G233" s="452">
        <v>37</v>
      </c>
      <c r="H233" s="456">
        <v>45.9</v>
      </c>
      <c r="I233" s="452">
        <v>55.1</v>
      </c>
      <c r="J233" s="452">
        <v>58.9</v>
      </c>
      <c r="K233" s="452">
        <v>58.3</v>
      </c>
      <c r="L233" s="452">
        <v>50.7</v>
      </c>
      <c r="M233" s="452">
        <v>38.1</v>
      </c>
      <c r="N233" s="452">
        <v>30.3</v>
      </c>
      <c r="O233" s="452">
        <v>22.9</v>
      </c>
      <c r="P233" s="452">
        <v>39</v>
      </c>
      <c r="Q233" s="454">
        <v>1</v>
      </c>
      <c r="R233" s="455">
        <f t="shared" si="3"/>
        <v>38.949999999999996</v>
      </c>
    </row>
    <row r="234" spans="1:18" ht="13.5" customHeight="1" x14ac:dyDescent="0.2">
      <c r="A234" s="449" t="s">
        <v>1624</v>
      </c>
      <c r="B234" s="450" t="s">
        <v>1392</v>
      </c>
      <c r="C234" s="451" t="s">
        <v>1393</v>
      </c>
      <c r="D234" s="452">
        <v>26.7</v>
      </c>
      <c r="E234" s="452">
        <v>28.9</v>
      </c>
      <c r="F234" s="452">
        <v>35.9</v>
      </c>
      <c r="G234" s="452">
        <v>45.8</v>
      </c>
      <c r="H234" s="452">
        <v>53.7</v>
      </c>
      <c r="I234" s="452">
        <v>62.5</v>
      </c>
      <c r="J234" s="452">
        <v>66.099999999999994</v>
      </c>
      <c r="K234" s="452">
        <v>65</v>
      </c>
      <c r="L234" s="452">
        <v>57.1</v>
      </c>
      <c r="M234" s="452">
        <v>45.7</v>
      </c>
      <c r="N234" s="452">
        <v>37.200000000000003</v>
      </c>
      <c r="O234" s="452">
        <v>29.4</v>
      </c>
      <c r="P234" s="452">
        <v>46.2</v>
      </c>
      <c r="Q234" s="454">
        <v>1</v>
      </c>
      <c r="R234" s="455">
        <f t="shared" si="3"/>
        <v>46.166666666666664</v>
      </c>
    </row>
    <row r="235" spans="1:18" ht="13.5" customHeight="1" x14ac:dyDescent="0.2">
      <c r="A235" s="449" t="s">
        <v>1625</v>
      </c>
      <c r="B235" s="450" t="s">
        <v>1392</v>
      </c>
      <c r="C235" s="451" t="s">
        <v>1393</v>
      </c>
      <c r="D235" s="452">
        <v>6.6</v>
      </c>
      <c r="E235" s="452">
        <v>11.2</v>
      </c>
      <c r="F235" s="452">
        <v>22</v>
      </c>
      <c r="G235" s="452">
        <v>34.799999999999997</v>
      </c>
      <c r="H235" s="452">
        <v>46.1</v>
      </c>
      <c r="I235" s="452">
        <v>56.4</v>
      </c>
      <c r="J235" s="452">
        <v>60.5</v>
      </c>
      <c r="K235" s="452">
        <v>58.9</v>
      </c>
      <c r="L235" s="452">
        <v>49.8</v>
      </c>
      <c r="M235" s="452">
        <v>38.1</v>
      </c>
      <c r="N235" s="452">
        <v>25.7</v>
      </c>
      <c r="O235" s="452">
        <v>12.8</v>
      </c>
      <c r="P235" s="452">
        <v>35.200000000000003</v>
      </c>
      <c r="Q235" s="454">
        <v>1</v>
      </c>
      <c r="R235" s="455">
        <f t="shared" si="3"/>
        <v>35.241666666666667</v>
      </c>
    </row>
    <row r="236" spans="1:18" ht="13.5" customHeight="1" x14ac:dyDescent="0.2">
      <c r="A236" s="449" t="s">
        <v>1626</v>
      </c>
      <c r="B236" s="450" t="s">
        <v>1392</v>
      </c>
      <c r="C236" s="451" t="s">
        <v>1393</v>
      </c>
      <c r="D236" s="452">
        <v>10.7</v>
      </c>
      <c r="E236" s="452">
        <v>14</v>
      </c>
      <c r="F236" s="452">
        <v>23.7</v>
      </c>
      <c r="G236" s="452">
        <v>35.1</v>
      </c>
      <c r="H236" s="452">
        <v>45.5</v>
      </c>
      <c r="I236" s="452">
        <v>55.9</v>
      </c>
      <c r="J236" s="452">
        <v>59.2</v>
      </c>
      <c r="K236" s="452">
        <v>58</v>
      </c>
      <c r="L236" s="452">
        <v>49.6</v>
      </c>
      <c r="M236" s="452">
        <v>39.1</v>
      </c>
      <c r="N236" s="452">
        <v>28.4</v>
      </c>
      <c r="O236" s="452">
        <v>16.899999999999999</v>
      </c>
      <c r="P236" s="452">
        <v>36.299999999999997</v>
      </c>
      <c r="Q236" s="454">
        <v>1</v>
      </c>
      <c r="R236" s="455">
        <f t="shared" si="3"/>
        <v>36.341666666666669</v>
      </c>
    </row>
    <row r="237" spans="1:18" ht="13.5" customHeight="1" x14ac:dyDescent="0.2">
      <c r="A237" s="449" t="s">
        <v>1627</v>
      </c>
      <c r="B237" s="450" t="s">
        <v>1392</v>
      </c>
      <c r="C237" s="451" t="s">
        <v>1393</v>
      </c>
      <c r="D237" s="452">
        <v>9.9</v>
      </c>
      <c r="E237" s="452">
        <v>15</v>
      </c>
      <c r="F237" s="452">
        <v>25.7</v>
      </c>
      <c r="G237" s="452">
        <v>38.700000000000003</v>
      </c>
      <c r="H237" s="452">
        <v>49.5</v>
      </c>
      <c r="I237" s="452">
        <v>59.6</v>
      </c>
      <c r="J237" s="452">
        <v>63.6</v>
      </c>
      <c r="K237" s="452">
        <v>61.9</v>
      </c>
      <c r="L237" s="452">
        <v>53.2</v>
      </c>
      <c r="M237" s="452">
        <v>41.6</v>
      </c>
      <c r="N237" s="452">
        <v>29.3</v>
      </c>
      <c r="O237" s="452">
        <v>16.5</v>
      </c>
      <c r="P237" s="452">
        <v>38.700000000000003</v>
      </c>
      <c r="Q237" s="454">
        <v>1</v>
      </c>
      <c r="R237" s="455">
        <f t="shared" si="3"/>
        <v>38.708333333333336</v>
      </c>
    </row>
    <row r="238" spans="1:18" ht="13.5" customHeight="1" x14ac:dyDescent="0.2">
      <c r="A238" s="449" t="s">
        <v>1628</v>
      </c>
      <c r="B238" s="450" t="s">
        <v>1392</v>
      </c>
      <c r="C238" s="451" t="s">
        <v>1393</v>
      </c>
      <c r="D238" s="452">
        <v>12.1</v>
      </c>
      <c r="E238" s="452">
        <v>16.2</v>
      </c>
      <c r="F238" s="452">
        <v>25.4</v>
      </c>
      <c r="G238" s="452">
        <v>36.700000000000003</v>
      </c>
      <c r="H238" s="452">
        <v>47.3</v>
      </c>
      <c r="I238" s="452">
        <v>57.6</v>
      </c>
      <c r="J238" s="452">
        <v>61.5</v>
      </c>
      <c r="K238" s="452">
        <v>59.8</v>
      </c>
      <c r="L238" s="452">
        <v>51</v>
      </c>
      <c r="M238" s="452">
        <v>40.1</v>
      </c>
      <c r="N238" s="452">
        <v>29.3</v>
      </c>
      <c r="O238" s="452">
        <v>17.600000000000001</v>
      </c>
      <c r="P238" s="452">
        <v>37.9</v>
      </c>
      <c r="Q238" s="454">
        <v>1</v>
      </c>
      <c r="R238" s="455">
        <f t="shared" si="3"/>
        <v>37.883333333333333</v>
      </c>
    </row>
    <row r="239" spans="1:18" ht="13.5" customHeight="1" x14ac:dyDescent="0.2">
      <c r="A239" s="449" t="s">
        <v>1629</v>
      </c>
      <c r="B239" s="450" t="s">
        <v>1392</v>
      </c>
      <c r="C239" s="451" t="s">
        <v>1393</v>
      </c>
      <c r="D239" s="452">
        <v>16.899999999999999</v>
      </c>
      <c r="E239" s="452">
        <v>20.6</v>
      </c>
      <c r="F239" s="452">
        <v>28.5</v>
      </c>
      <c r="G239" s="452">
        <v>38.1</v>
      </c>
      <c r="H239" s="452">
        <v>47.7</v>
      </c>
      <c r="I239" s="452">
        <v>58.5</v>
      </c>
      <c r="J239" s="452">
        <v>64.2</v>
      </c>
      <c r="K239" s="452">
        <v>64.099999999999994</v>
      </c>
      <c r="L239" s="452">
        <v>55.9</v>
      </c>
      <c r="M239" s="452">
        <v>44.6</v>
      </c>
      <c r="N239" s="452">
        <v>33</v>
      </c>
      <c r="O239" s="452">
        <v>21.9</v>
      </c>
      <c r="P239" s="452">
        <v>41.2</v>
      </c>
      <c r="Q239" s="454">
        <v>1</v>
      </c>
      <c r="R239" s="455">
        <f t="shared" si="3"/>
        <v>41.166666666666664</v>
      </c>
    </row>
    <row r="240" spans="1:18" ht="13.5" customHeight="1" x14ac:dyDescent="0.2">
      <c r="A240" s="449" t="s">
        <v>1630</v>
      </c>
      <c r="B240" s="450" t="s">
        <v>1392</v>
      </c>
      <c r="C240" s="451" t="s">
        <v>1393</v>
      </c>
      <c r="D240" s="452">
        <v>16.2</v>
      </c>
      <c r="E240" s="452">
        <v>18.100000000000001</v>
      </c>
      <c r="F240" s="452">
        <v>23.7</v>
      </c>
      <c r="G240" s="452">
        <v>30</v>
      </c>
      <c r="H240" s="452">
        <v>38.700000000000003</v>
      </c>
      <c r="I240" s="452">
        <v>46.7</v>
      </c>
      <c r="J240" s="452">
        <v>54.4</v>
      </c>
      <c r="K240" s="452">
        <v>53.3</v>
      </c>
      <c r="L240" s="452">
        <v>43.4</v>
      </c>
      <c r="M240" s="452">
        <v>32.700000000000003</v>
      </c>
      <c r="N240" s="452">
        <v>23.8</v>
      </c>
      <c r="O240" s="452">
        <v>16.399999999999999</v>
      </c>
      <c r="P240" s="452">
        <v>33.1</v>
      </c>
      <c r="Q240" s="454">
        <v>1</v>
      </c>
      <c r="R240" s="455">
        <f t="shared" si="3"/>
        <v>33.116666666666667</v>
      </c>
    </row>
    <row r="241" spans="1:18" ht="13.5" customHeight="1" x14ac:dyDescent="0.2">
      <c r="A241" s="449" t="s">
        <v>1631</v>
      </c>
      <c r="B241" s="450" t="s">
        <v>1392</v>
      </c>
      <c r="C241" s="451" t="s">
        <v>1393</v>
      </c>
      <c r="D241" s="452">
        <v>18.8</v>
      </c>
      <c r="E241" s="452">
        <v>19.8</v>
      </c>
      <c r="F241" s="452">
        <v>25.1</v>
      </c>
      <c r="G241" s="452">
        <v>31.3</v>
      </c>
      <c r="H241" s="452">
        <v>40.700000000000003</v>
      </c>
      <c r="I241" s="452">
        <v>49.2</v>
      </c>
      <c r="J241" s="452">
        <v>56.1</v>
      </c>
      <c r="K241" s="452">
        <v>54.6</v>
      </c>
      <c r="L241" s="452">
        <v>45.4</v>
      </c>
      <c r="M241" s="452">
        <v>34.4</v>
      </c>
      <c r="N241" s="452">
        <v>25.1</v>
      </c>
      <c r="O241" s="452">
        <v>19.100000000000001</v>
      </c>
      <c r="P241" s="452">
        <v>35</v>
      </c>
      <c r="Q241" s="454">
        <v>1</v>
      </c>
      <c r="R241" s="455">
        <f t="shared" si="3"/>
        <v>34.966666666666661</v>
      </c>
    </row>
    <row r="242" spans="1:18" ht="13.5" customHeight="1" x14ac:dyDescent="0.2">
      <c r="A242" s="449" t="s">
        <v>1632</v>
      </c>
      <c r="B242" s="450" t="s">
        <v>1392</v>
      </c>
      <c r="C242" s="451" t="s">
        <v>1393</v>
      </c>
      <c r="D242" s="452">
        <v>12.5</v>
      </c>
      <c r="E242" s="452">
        <v>16.2</v>
      </c>
      <c r="F242" s="452">
        <v>24.9</v>
      </c>
      <c r="G242" s="452">
        <v>32.5</v>
      </c>
      <c r="H242" s="452">
        <v>41.6</v>
      </c>
      <c r="I242" s="452">
        <v>49.6</v>
      </c>
      <c r="J242" s="452">
        <v>57.5</v>
      </c>
      <c r="K242" s="452">
        <v>56.1</v>
      </c>
      <c r="L242" s="452">
        <v>46.4</v>
      </c>
      <c r="M242" s="452">
        <v>34.200000000000003</v>
      </c>
      <c r="N242" s="452">
        <v>21.8</v>
      </c>
      <c r="O242" s="452">
        <v>13.2</v>
      </c>
      <c r="P242" s="452">
        <v>33.9</v>
      </c>
      <c r="Q242" s="454">
        <v>1</v>
      </c>
      <c r="R242" s="455">
        <f t="shared" si="3"/>
        <v>33.874999999999993</v>
      </c>
    </row>
    <row r="243" spans="1:18" ht="13.5" customHeight="1" x14ac:dyDescent="0.2">
      <c r="A243" s="449" t="s">
        <v>1633</v>
      </c>
      <c r="B243" s="450" t="s">
        <v>1392</v>
      </c>
      <c r="C243" s="451" t="s">
        <v>1393</v>
      </c>
      <c r="D243" s="452">
        <v>13.6</v>
      </c>
      <c r="E243" s="452">
        <v>15.5</v>
      </c>
      <c r="F243" s="452">
        <v>23.8</v>
      </c>
      <c r="G243" s="452">
        <v>29.7</v>
      </c>
      <c r="H243" s="452">
        <v>38.6</v>
      </c>
      <c r="I243" s="452">
        <v>46.8</v>
      </c>
      <c r="J243" s="452">
        <v>55</v>
      </c>
      <c r="K243" s="452">
        <v>53.3</v>
      </c>
      <c r="L243" s="452">
        <v>43.6</v>
      </c>
      <c r="M243" s="452">
        <v>33.200000000000003</v>
      </c>
      <c r="N243" s="452">
        <v>22.1</v>
      </c>
      <c r="O243" s="452">
        <v>14.2</v>
      </c>
      <c r="P243" s="452">
        <v>32.5</v>
      </c>
      <c r="Q243" s="454">
        <v>1</v>
      </c>
      <c r="R243" s="455">
        <f t="shared" si="3"/>
        <v>32.450000000000003</v>
      </c>
    </row>
    <row r="244" spans="1:18" ht="13.5" customHeight="1" x14ac:dyDescent="0.2">
      <c r="A244" s="449" t="s">
        <v>1634</v>
      </c>
      <c r="B244" s="450" t="s">
        <v>1392</v>
      </c>
      <c r="C244" s="451" t="s">
        <v>1393</v>
      </c>
      <c r="D244" s="452">
        <v>13</v>
      </c>
      <c r="E244" s="452">
        <v>16.8</v>
      </c>
      <c r="F244" s="452">
        <v>23.4</v>
      </c>
      <c r="G244" s="452">
        <v>31.4</v>
      </c>
      <c r="H244" s="452">
        <v>39.799999999999997</v>
      </c>
      <c r="I244" s="452">
        <v>47.9</v>
      </c>
      <c r="J244" s="452">
        <v>54.8</v>
      </c>
      <c r="K244" s="452">
        <v>53.2</v>
      </c>
      <c r="L244" s="452">
        <v>43.5</v>
      </c>
      <c r="M244" s="452">
        <v>32.5</v>
      </c>
      <c r="N244" s="452">
        <v>21.5</v>
      </c>
      <c r="O244" s="452">
        <v>13.6</v>
      </c>
      <c r="P244" s="452">
        <v>32.6</v>
      </c>
      <c r="Q244" s="454">
        <v>1</v>
      </c>
      <c r="R244" s="455">
        <f t="shared" si="3"/>
        <v>32.616666666666667</v>
      </c>
    </row>
    <row r="245" spans="1:18" ht="13.5" customHeight="1" x14ac:dyDescent="0.2">
      <c r="A245" s="449" t="s">
        <v>1391</v>
      </c>
      <c r="B245" s="450" t="s">
        <v>1635</v>
      </c>
      <c r="C245" s="451" t="s">
        <v>1393</v>
      </c>
      <c r="D245" s="452">
        <v>53.7</v>
      </c>
      <c r="E245" s="452">
        <v>57.8</v>
      </c>
      <c r="F245" s="453">
        <v>65.900000000000006</v>
      </c>
      <c r="G245" s="453">
        <v>73.900000000000006</v>
      </c>
      <c r="H245" s="452">
        <v>80.900000000000006</v>
      </c>
      <c r="I245" s="453">
        <v>86.8</v>
      </c>
      <c r="J245" s="453">
        <v>90</v>
      </c>
      <c r="K245" s="452">
        <v>89.8</v>
      </c>
      <c r="L245" s="452">
        <v>84.5</v>
      </c>
      <c r="M245" s="452">
        <v>74.7</v>
      </c>
      <c r="N245" s="452">
        <v>64.2</v>
      </c>
      <c r="O245" s="452">
        <v>55.3</v>
      </c>
      <c r="P245" s="452">
        <v>73.099999999999994</v>
      </c>
      <c r="Q245" s="454">
        <v>2</v>
      </c>
      <c r="R245" s="455">
        <f t="shared" si="3"/>
        <v>73.125000000000014</v>
      </c>
    </row>
    <row r="246" spans="1:18" ht="13.5" customHeight="1" x14ac:dyDescent="0.2">
      <c r="A246" s="449" t="s">
        <v>1394</v>
      </c>
      <c r="B246" s="450" t="s">
        <v>1635</v>
      </c>
      <c r="C246" s="451" t="s">
        <v>1393</v>
      </c>
      <c r="D246" s="452">
        <v>50.3</v>
      </c>
      <c r="E246" s="452">
        <v>54.4</v>
      </c>
      <c r="F246" s="453">
        <v>63.1</v>
      </c>
      <c r="G246" s="453">
        <v>72.3</v>
      </c>
      <c r="H246" s="452">
        <v>79.900000000000006</v>
      </c>
      <c r="I246" s="453">
        <v>86.3</v>
      </c>
      <c r="J246" s="453">
        <v>88.9</v>
      </c>
      <c r="K246" s="452">
        <v>89.2</v>
      </c>
      <c r="L246" s="452">
        <v>83.7</v>
      </c>
      <c r="M246" s="452">
        <v>73.400000000000006</v>
      </c>
      <c r="N246" s="452">
        <v>61.6</v>
      </c>
      <c r="O246" s="452">
        <v>52.1</v>
      </c>
      <c r="P246" s="452">
        <v>71.3</v>
      </c>
      <c r="Q246" s="454">
        <v>2</v>
      </c>
      <c r="R246" s="455">
        <f t="shared" si="3"/>
        <v>71.26666666666668</v>
      </c>
    </row>
    <row r="247" spans="1:18" ht="13.5" customHeight="1" x14ac:dyDescent="0.2">
      <c r="A247" s="449" t="s">
        <v>1395</v>
      </c>
      <c r="B247" s="450" t="s">
        <v>1635</v>
      </c>
      <c r="C247" s="451" t="s">
        <v>1393</v>
      </c>
      <c r="D247" s="452">
        <v>60.8</v>
      </c>
      <c r="E247" s="452">
        <v>64.2</v>
      </c>
      <c r="F247" s="453">
        <v>70.400000000000006</v>
      </c>
      <c r="G247" s="453">
        <v>76.7</v>
      </c>
      <c r="H247" s="452">
        <v>84</v>
      </c>
      <c r="I247" s="453">
        <v>88.3</v>
      </c>
      <c r="J247" s="453">
        <v>90.1</v>
      </c>
      <c r="K247" s="452">
        <v>89.9</v>
      </c>
      <c r="L247" s="452">
        <v>86.4</v>
      </c>
      <c r="M247" s="452">
        <v>78.5</v>
      </c>
      <c r="N247" s="452">
        <v>69.5</v>
      </c>
      <c r="O247" s="452">
        <v>62.1</v>
      </c>
      <c r="P247" s="452">
        <v>76.7</v>
      </c>
      <c r="Q247" s="454">
        <v>2</v>
      </c>
      <c r="R247" s="455">
        <f t="shared" si="3"/>
        <v>76.74166666666666</v>
      </c>
    </row>
    <row r="248" spans="1:18" ht="13.5" customHeight="1" x14ac:dyDescent="0.2">
      <c r="A248" s="449" t="s">
        <v>1396</v>
      </c>
      <c r="B248" s="450" t="s">
        <v>1635</v>
      </c>
      <c r="C248" s="451" t="s">
        <v>1393</v>
      </c>
      <c r="D248" s="452">
        <v>57.7</v>
      </c>
      <c r="E248" s="452">
        <v>62</v>
      </c>
      <c r="F248" s="453">
        <v>69.400000000000006</v>
      </c>
      <c r="G248" s="453">
        <v>76.599999999999994</v>
      </c>
      <c r="H248" s="452">
        <v>83.9</v>
      </c>
      <c r="I248" s="453">
        <v>89.4</v>
      </c>
      <c r="J248" s="453">
        <v>91.8</v>
      </c>
      <c r="K248" s="452">
        <v>91.5</v>
      </c>
      <c r="L248" s="452">
        <v>86.9</v>
      </c>
      <c r="M248" s="452">
        <v>77.7</v>
      </c>
      <c r="N248" s="452">
        <v>67.900000000000006</v>
      </c>
      <c r="O248" s="452">
        <v>59.1</v>
      </c>
      <c r="P248" s="452">
        <v>76.2</v>
      </c>
      <c r="Q248" s="454">
        <v>2</v>
      </c>
      <c r="R248" s="455">
        <f t="shared" si="3"/>
        <v>76.158333333333331</v>
      </c>
    </row>
    <row r="249" spans="1:18" ht="13.5" customHeight="1" x14ac:dyDescent="0.2">
      <c r="A249" s="449" t="s">
        <v>1397</v>
      </c>
      <c r="B249" s="450" t="s">
        <v>1635</v>
      </c>
      <c r="C249" s="451" t="s">
        <v>1393</v>
      </c>
      <c r="D249" s="452">
        <v>66.7</v>
      </c>
      <c r="E249" s="452">
        <v>69.8</v>
      </c>
      <c r="F249" s="453">
        <v>76.099999999999994</v>
      </c>
      <c r="G249" s="453">
        <v>83.6</v>
      </c>
      <c r="H249" s="452">
        <v>93.8</v>
      </c>
      <c r="I249" s="457">
        <v>102.6</v>
      </c>
      <c r="J249" s="457">
        <v>105.4</v>
      </c>
      <c r="K249" s="452">
        <v>103.6</v>
      </c>
      <c r="L249" s="452">
        <v>99.6</v>
      </c>
      <c r="M249" s="452">
        <v>87.8</v>
      </c>
      <c r="N249" s="452">
        <v>75.099999999999994</v>
      </c>
      <c r="O249" s="452">
        <v>65.599999999999994</v>
      </c>
      <c r="P249" s="452">
        <v>85.8</v>
      </c>
      <c r="Q249" s="454">
        <v>2</v>
      </c>
      <c r="R249" s="455">
        <f t="shared" si="3"/>
        <v>85.808333333333337</v>
      </c>
    </row>
    <row r="250" spans="1:18" ht="13.5" customHeight="1" x14ac:dyDescent="0.2">
      <c r="A250" s="449" t="s">
        <v>1398</v>
      </c>
      <c r="B250" s="450" t="s">
        <v>1635</v>
      </c>
      <c r="C250" s="451" t="s">
        <v>1393</v>
      </c>
      <c r="D250" s="452">
        <v>51.4</v>
      </c>
      <c r="E250" s="452">
        <v>54.4</v>
      </c>
      <c r="F250" s="453">
        <v>60</v>
      </c>
      <c r="G250" s="453">
        <v>66.400000000000006</v>
      </c>
      <c r="H250" s="452">
        <v>76.5</v>
      </c>
      <c r="I250" s="453">
        <v>85.6</v>
      </c>
      <c r="J250" s="453">
        <v>89.2</v>
      </c>
      <c r="K250" s="452">
        <v>86.5</v>
      </c>
      <c r="L250" s="452">
        <v>82.2</v>
      </c>
      <c r="M250" s="452">
        <v>71.400000000000006</v>
      </c>
      <c r="N250" s="452">
        <v>60.1</v>
      </c>
      <c r="O250" s="452">
        <v>51.1</v>
      </c>
      <c r="P250" s="452">
        <v>69.599999999999994</v>
      </c>
      <c r="Q250" s="454">
        <v>2</v>
      </c>
      <c r="R250" s="455">
        <f t="shared" si="3"/>
        <v>69.566666666666677</v>
      </c>
    </row>
    <row r="251" spans="1:18" ht="13.5" customHeight="1" x14ac:dyDescent="0.2">
      <c r="A251" s="449" t="s">
        <v>1399</v>
      </c>
      <c r="B251" s="450" t="s">
        <v>1635</v>
      </c>
      <c r="C251" s="451" t="s">
        <v>1393</v>
      </c>
      <c r="D251" s="452">
        <v>65.8</v>
      </c>
      <c r="E251" s="452">
        <v>68.400000000000006</v>
      </c>
      <c r="F251" s="452">
        <v>74.2</v>
      </c>
      <c r="G251" s="452">
        <v>81.7</v>
      </c>
      <c r="H251" s="452">
        <v>91.7</v>
      </c>
      <c r="I251" s="452">
        <v>99.9</v>
      </c>
      <c r="J251" s="453">
        <v>99.6</v>
      </c>
      <c r="K251" s="452">
        <v>97.3</v>
      </c>
      <c r="L251" s="452">
        <v>94.7</v>
      </c>
      <c r="M251" s="452">
        <v>85.1</v>
      </c>
      <c r="N251" s="452">
        <v>74.099999999999994</v>
      </c>
      <c r="O251" s="452">
        <v>65</v>
      </c>
      <c r="P251" s="452">
        <v>83.1</v>
      </c>
      <c r="Q251" s="454">
        <v>2</v>
      </c>
      <c r="R251" s="455">
        <f t="shared" si="3"/>
        <v>83.125</v>
      </c>
    </row>
    <row r="252" spans="1:18" ht="13.5" customHeight="1" x14ac:dyDescent="0.2">
      <c r="A252" s="449" t="s">
        <v>1400</v>
      </c>
      <c r="B252" s="450" t="s">
        <v>1635</v>
      </c>
      <c r="C252" s="451" t="s">
        <v>1393</v>
      </c>
      <c r="D252" s="452">
        <v>49.4</v>
      </c>
      <c r="E252" s="452">
        <v>55.3</v>
      </c>
      <c r="F252" s="452">
        <v>63.7</v>
      </c>
      <c r="G252" s="452">
        <v>73</v>
      </c>
      <c r="H252" s="452">
        <v>79.8</v>
      </c>
      <c r="I252" s="452">
        <v>87.1</v>
      </c>
      <c r="J252" s="453">
        <v>92.3</v>
      </c>
      <c r="K252" s="452">
        <v>92.8</v>
      </c>
      <c r="L252" s="452">
        <v>84.4</v>
      </c>
      <c r="M252" s="452">
        <v>74.3</v>
      </c>
      <c r="N252" s="452">
        <v>61.8</v>
      </c>
      <c r="O252" s="452">
        <v>51.6</v>
      </c>
      <c r="P252" s="452">
        <v>72.099999999999994</v>
      </c>
      <c r="Q252" s="454">
        <v>2</v>
      </c>
      <c r="R252" s="455">
        <f t="shared" si="3"/>
        <v>72.124999999999986</v>
      </c>
    </row>
    <row r="253" spans="1:18" ht="13.5" customHeight="1" x14ac:dyDescent="0.2">
      <c r="A253" s="449" t="s">
        <v>1401</v>
      </c>
      <c r="B253" s="450" t="s">
        <v>1635</v>
      </c>
      <c r="C253" s="451" t="s">
        <v>1393</v>
      </c>
      <c r="D253" s="452">
        <v>50.6</v>
      </c>
      <c r="E253" s="452">
        <v>55.5</v>
      </c>
      <c r="F253" s="452">
        <v>63.7</v>
      </c>
      <c r="G253" s="452">
        <v>73.099999999999994</v>
      </c>
      <c r="H253" s="452">
        <v>80.8</v>
      </c>
      <c r="I253" s="452">
        <v>88.1</v>
      </c>
      <c r="J253" s="453">
        <v>91.8</v>
      </c>
      <c r="K253" s="452">
        <v>92.2</v>
      </c>
      <c r="L253" s="452">
        <v>84.9</v>
      </c>
      <c r="M253" s="452">
        <v>74.400000000000006</v>
      </c>
      <c r="N253" s="452">
        <v>62.1</v>
      </c>
      <c r="O253" s="452">
        <v>52.3</v>
      </c>
      <c r="P253" s="452">
        <v>72.5</v>
      </c>
      <c r="Q253" s="454">
        <v>2</v>
      </c>
      <c r="R253" s="455">
        <f t="shared" si="3"/>
        <v>72.458333333333329</v>
      </c>
    </row>
    <row r="254" spans="1:18" ht="13.5" customHeight="1" x14ac:dyDescent="0.2">
      <c r="A254" s="449" t="s">
        <v>1402</v>
      </c>
      <c r="B254" s="450" t="s">
        <v>1635</v>
      </c>
      <c r="C254" s="451" t="s">
        <v>1393</v>
      </c>
      <c r="D254" s="452">
        <v>55.1</v>
      </c>
      <c r="E254" s="452">
        <v>55.6</v>
      </c>
      <c r="F254" s="452">
        <v>55.5</v>
      </c>
      <c r="G254" s="452">
        <v>56.2</v>
      </c>
      <c r="H254" s="452">
        <v>58.9</v>
      </c>
      <c r="I254" s="452">
        <v>61.1</v>
      </c>
      <c r="J254" s="453">
        <v>62.2</v>
      </c>
      <c r="K254" s="452">
        <v>63.2</v>
      </c>
      <c r="L254" s="452">
        <v>63.2</v>
      </c>
      <c r="M254" s="452">
        <v>61.9</v>
      </c>
      <c r="N254" s="452">
        <v>57.5</v>
      </c>
      <c r="O254" s="452">
        <v>54.9</v>
      </c>
      <c r="P254" s="452">
        <v>58.8</v>
      </c>
      <c r="Q254" s="454">
        <v>2</v>
      </c>
      <c r="R254" s="455">
        <f t="shared" si="3"/>
        <v>58.774999999999999</v>
      </c>
    </row>
    <row r="255" spans="1:18" ht="13.5" customHeight="1" x14ac:dyDescent="0.2">
      <c r="A255" s="449" t="s">
        <v>1403</v>
      </c>
      <c r="B255" s="450" t="s">
        <v>1635</v>
      </c>
      <c r="C255" s="451" t="s">
        <v>1393</v>
      </c>
      <c r="D255" s="452">
        <v>56.9</v>
      </c>
      <c r="E255" s="452">
        <v>62.9</v>
      </c>
      <c r="F255" s="452">
        <v>69</v>
      </c>
      <c r="G255" s="452">
        <v>74.099999999999994</v>
      </c>
      <c r="H255" s="452">
        <v>83.3</v>
      </c>
      <c r="I255" s="452">
        <v>90.6</v>
      </c>
      <c r="J255" s="453">
        <v>96.9</v>
      </c>
      <c r="K255" s="452">
        <v>95.7</v>
      </c>
      <c r="L255" s="452">
        <v>90.4</v>
      </c>
      <c r="M255" s="452">
        <v>79</v>
      </c>
      <c r="N255" s="452">
        <v>65.7</v>
      </c>
      <c r="O255" s="452">
        <v>57.3</v>
      </c>
      <c r="P255" s="452">
        <v>76.8</v>
      </c>
      <c r="Q255" s="454">
        <v>2</v>
      </c>
      <c r="R255" s="455">
        <f t="shared" si="3"/>
        <v>76.816666666666663</v>
      </c>
    </row>
    <row r="256" spans="1:18" ht="13.5" customHeight="1" x14ac:dyDescent="0.2">
      <c r="A256" s="449" t="s">
        <v>1404</v>
      </c>
      <c r="B256" s="450" t="s">
        <v>1635</v>
      </c>
      <c r="C256" s="451" t="s">
        <v>1393</v>
      </c>
      <c r="D256" s="452">
        <v>53</v>
      </c>
      <c r="E256" s="452">
        <v>56.2</v>
      </c>
      <c r="F256" s="452">
        <v>64.5</v>
      </c>
      <c r="G256" s="452">
        <v>70.5</v>
      </c>
      <c r="H256" s="452">
        <v>80.8</v>
      </c>
      <c r="I256" s="452">
        <v>90.4</v>
      </c>
      <c r="J256" s="453">
        <v>97.5</v>
      </c>
      <c r="K256" s="452">
        <v>95.5</v>
      </c>
      <c r="L256" s="452">
        <v>87.6</v>
      </c>
      <c r="M256" s="452">
        <v>75.2</v>
      </c>
      <c r="N256" s="452">
        <v>61.9</v>
      </c>
      <c r="O256" s="452">
        <v>52.5</v>
      </c>
      <c r="P256" s="452">
        <v>73.8</v>
      </c>
      <c r="Q256" s="454">
        <v>2</v>
      </c>
      <c r="R256" s="455">
        <f t="shared" si="3"/>
        <v>73.8</v>
      </c>
    </row>
    <row r="257" spans="1:18" ht="13.5" customHeight="1" x14ac:dyDescent="0.2">
      <c r="A257" s="449" t="s">
        <v>1405</v>
      </c>
      <c r="B257" s="450" t="s">
        <v>1635</v>
      </c>
      <c r="C257" s="451" t="s">
        <v>1393</v>
      </c>
      <c r="D257" s="452">
        <v>60.8</v>
      </c>
      <c r="E257" s="452">
        <v>64.400000000000006</v>
      </c>
      <c r="F257" s="452">
        <v>71.7</v>
      </c>
      <c r="G257" s="452">
        <v>78.3</v>
      </c>
      <c r="H257" s="452">
        <v>88.9</v>
      </c>
      <c r="I257" s="452">
        <v>98</v>
      </c>
      <c r="J257" s="457">
        <v>104.6</v>
      </c>
      <c r="K257" s="452">
        <v>103.1</v>
      </c>
      <c r="L257" s="452">
        <v>95.7</v>
      </c>
      <c r="M257" s="452">
        <v>82.5</v>
      </c>
      <c r="N257" s="452">
        <v>69.099999999999994</v>
      </c>
      <c r="O257" s="452">
        <v>59.6</v>
      </c>
      <c r="P257" s="452">
        <v>81.400000000000006</v>
      </c>
      <c r="Q257" s="454">
        <v>2</v>
      </c>
      <c r="R257" s="455">
        <f t="shared" si="3"/>
        <v>81.39166666666668</v>
      </c>
    </row>
    <row r="258" spans="1:18" ht="13.5" customHeight="1" x14ac:dyDescent="0.2">
      <c r="A258" s="449" t="s">
        <v>1406</v>
      </c>
      <c r="B258" s="450" t="s">
        <v>1635</v>
      </c>
      <c r="C258" s="451" t="s">
        <v>1393</v>
      </c>
      <c r="D258" s="452">
        <v>55</v>
      </c>
      <c r="E258" s="452">
        <v>61.1</v>
      </c>
      <c r="F258" s="453">
        <v>67.400000000000006</v>
      </c>
      <c r="G258" s="453">
        <v>73.099999999999994</v>
      </c>
      <c r="H258" s="452">
        <v>83.2</v>
      </c>
      <c r="I258" s="453">
        <v>90.9</v>
      </c>
      <c r="J258" s="452">
        <v>97.7</v>
      </c>
      <c r="K258" s="452">
        <v>96.3</v>
      </c>
      <c r="L258" s="452">
        <v>90.7</v>
      </c>
      <c r="M258" s="452">
        <v>78.5</v>
      </c>
      <c r="N258" s="452">
        <v>64.7</v>
      </c>
      <c r="O258" s="452">
        <v>55.1</v>
      </c>
      <c r="P258" s="452">
        <v>76.099999999999994</v>
      </c>
      <c r="Q258" s="454">
        <v>2</v>
      </c>
      <c r="R258" s="455">
        <f t="shared" si="3"/>
        <v>76.14166666666668</v>
      </c>
    </row>
    <row r="259" spans="1:18" ht="13.5" customHeight="1" x14ac:dyDescent="0.2">
      <c r="A259" s="449" t="s">
        <v>1407</v>
      </c>
      <c r="B259" s="450" t="s">
        <v>1635</v>
      </c>
      <c r="C259" s="451" t="s">
        <v>1393</v>
      </c>
      <c r="D259" s="452">
        <v>66.5</v>
      </c>
      <c r="E259" s="452">
        <v>65.900000000000006</v>
      </c>
      <c r="F259" s="453">
        <v>67.7</v>
      </c>
      <c r="G259" s="453">
        <v>70.400000000000006</v>
      </c>
      <c r="H259" s="452">
        <v>72.599999999999994</v>
      </c>
      <c r="I259" s="453">
        <v>75.7</v>
      </c>
      <c r="J259" s="452">
        <v>80.3</v>
      </c>
      <c r="K259" s="452">
        <v>82.5</v>
      </c>
      <c r="L259" s="452">
        <v>81</v>
      </c>
      <c r="M259" s="452">
        <v>76</v>
      </c>
      <c r="N259" s="452">
        <v>71.400000000000006</v>
      </c>
      <c r="O259" s="452">
        <v>66</v>
      </c>
      <c r="P259" s="452">
        <v>73</v>
      </c>
      <c r="Q259" s="454">
        <v>2</v>
      </c>
      <c r="R259" s="455">
        <f t="shared" si="3"/>
        <v>73</v>
      </c>
    </row>
    <row r="260" spans="1:18" ht="13.5" customHeight="1" x14ac:dyDescent="0.2">
      <c r="A260" s="449" t="s">
        <v>1408</v>
      </c>
      <c r="B260" s="450" t="s">
        <v>1635</v>
      </c>
      <c r="C260" s="451" t="s">
        <v>1393</v>
      </c>
      <c r="D260" s="452">
        <v>64.900000000000006</v>
      </c>
      <c r="E260" s="452">
        <v>64.400000000000006</v>
      </c>
      <c r="F260" s="453">
        <v>64.7</v>
      </c>
      <c r="G260" s="453">
        <v>66.5</v>
      </c>
      <c r="H260" s="452">
        <v>68.5</v>
      </c>
      <c r="I260" s="453">
        <v>71</v>
      </c>
      <c r="J260" s="452">
        <v>73.900000000000006</v>
      </c>
      <c r="K260" s="452">
        <v>75.3</v>
      </c>
      <c r="L260" s="452">
        <v>74.5</v>
      </c>
      <c r="M260" s="452">
        <v>72.3</v>
      </c>
      <c r="N260" s="452">
        <v>69.3</v>
      </c>
      <c r="O260" s="452">
        <v>64.8</v>
      </c>
      <c r="P260" s="452">
        <v>69.2</v>
      </c>
      <c r="Q260" s="454">
        <v>2</v>
      </c>
      <c r="R260" s="455">
        <f t="shared" ref="R260:R323" si="4">AVERAGE(D260:O260)</f>
        <v>69.174999999999983</v>
      </c>
    </row>
    <row r="261" spans="1:18" ht="13.5" customHeight="1" x14ac:dyDescent="0.2">
      <c r="A261" s="449" t="s">
        <v>1409</v>
      </c>
      <c r="B261" s="450" t="s">
        <v>1635</v>
      </c>
      <c r="C261" s="451" t="s">
        <v>1393</v>
      </c>
      <c r="D261" s="452">
        <v>55</v>
      </c>
      <c r="E261" s="452">
        <v>58.3</v>
      </c>
      <c r="F261" s="453">
        <v>64.900000000000006</v>
      </c>
      <c r="G261" s="453">
        <v>69.599999999999994</v>
      </c>
      <c r="H261" s="452">
        <v>80.400000000000006</v>
      </c>
      <c r="I261" s="453">
        <v>89.3</v>
      </c>
      <c r="J261" s="452">
        <v>98.1</v>
      </c>
      <c r="K261" s="452">
        <v>96.2</v>
      </c>
      <c r="L261" s="452">
        <v>90.4</v>
      </c>
      <c r="M261" s="452">
        <v>77.099999999999994</v>
      </c>
      <c r="N261" s="452">
        <v>62.5</v>
      </c>
      <c r="O261" s="452">
        <v>54</v>
      </c>
      <c r="P261" s="452">
        <v>74.7</v>
      </c>
      <c r="Q261" s="454">
        <v>2</v>
      </c>
      <c r="R261" s="455">
        <f t="shared" si="4"/>
        <v>74.650000000000006</v>
      </c>
    </row>
    <row r="262" spans="1:18" ht="13.5" customHeight="1" x14ac:dyDescent="0.2">
      <c r="A262" s="449" t="s">
        <v>1410</v>
      </c>
      <c r="B262" s="450" t="s">
        <v>1635</v>
      </c>
      <c r="C262" s="451" t="s">
        <v>1393</v>
      </c>
      <c r="D262" s="452">
        <v>54.3</v>
      </c>
      <c r="E262" s="452">
        <v>59.6</v>
      </c>
      <c r="F262" s="453">
        <v>65.400000000000006</v>
      </c>
      <c r="G262" s="453">
        <v>70.3</v>
      </c>
      <c r="H262" s="452">
        <v>79.3</v>
      </c>
      <c r="I262" s="453">
        <v>86.1</v>
      </c>
      <c r="J262" s="452">
        <v>91.4</v>
      </c>
      <c r="K262" s="452">
        <v>90.9</v>
      </c>
      <c r="L262" s="452">
        <v>87.4</v>
      </c>
      <c r="M262" s="452">
        <v>77.099999999999994</v>
      </c>
      <c r="N262" s="452">
        <v>63.8</v>
      </c>
      <c r="O262" s="452">
        <v>54.4</v>
      </c>
      <c r="P262" s="452">
        <v>73.3</v>
      </c>
      <c r="Q262" s="454">
        <v>2</v>
      </c>
      <c r="R262" s="455">
        <f t="shared" si="4"/>
        <v>73.333333333333329</v>
      </c>
    </row>
    <row r="263" spans="1:18" ht="13.5" customHeight="1" x14ac:dyDescent="0.2">
      <c r="A263" s="449" t="s">
        <v>1411</v>
      </c>
      <c r="B263" s="450" t="s">
        <v>1635</v>
      </c>
      <c r="C263" s="451" t="s">
        <v>1393</v>
      </c>
      <c r="D263" s="452">
        <v>64.5</v>
      </c>
      <c r="E263" s="452">
        <v>64.3</v>
      </c>
      <c r="F263" s="453">
        <v>65</v>
      </c>
      <c r="G263" s="453">
        <v>66.599999999999994</v>
      </c>
      <c r="H263" s="452">
        <v>67.900000000000006</v>
      </c>
      <c r="I263" s="453">
        <v>70.099999999999994</v>
      </c>
      <c r="J263" s="452">
        <v>73.400000000000006</v>
      </c>
      <c r="K263" s="452">
        <v>75.599999999999994</v>
      </c>
      <c r="L263" s="452">
        <v>75</v>
      </c>
      <c r="M263" s="452">
        <v>72</v>
      </c>
      <c r="N263" s="452">
        <v>68.599999999999994</v>
      </c>
      <c r="O263" s="452">
        <v>64.2</v>
      </c>
      <c r="P263" s="452">
        <v>68.900000000000006</v>
      </c>
      <c r="Q263" s="454">
        <v>2</v>
      </c>
      <c r="R263" s="455">
        <f t="shared" si="4"/>
        <v>68.933333333333337</v>
      </c>
    </row>
    <row r="264" spans="1:18" ht="13.5" customHeight="1" x14ac:dyDescent="0.2">
      <c r="A264" s="449" t="s">
        <v>1412</v>
      </c>
      <c r="B264" s="450" t="s">
        <v>1635</v>
      </c>
      <c r="C264" s="451" t="s">
        <v>1393</v>
      </c>
      <c r="D264" s="452">
        <v>55.9</v>
      </c>
      <c r="E264" s="452">
        <v>58.6</v>
      </c>
      <c r="F264" s="453">
        <v>61.4</v>
      </c>
      <c r="G264" s="453">
        <v>63.3</v>
      </c>
      <c r="H264" s="452">
        <v>66.3</v>
      </c>
      <c r="I264" s="453">
        <v>69.2</v>
      </c>
      <c r="J264" s="452">
        <v>70.599999999999994</v>
      </c>
      <c r="K264" s="452">
        <v>71.599999999999994</v>
      </c>
      <c r="L264" s="452">
        <v>72.5</v>
      </c>
      <c r="M264" s="452">
        <v>69.400000000000006</v>
      </c>
      <c r="N264" s="452">
        <v>62.3</v>
      </c>
      <c r="O264" s="452">
        <v>56.2</v>
      </c>
      <c r="P264" s="452">
        <v>64.8</v>
      </c>
      <c r="Q264" s="454">
        <v>2</v>
      </c>
      <c r="R264" s="455">
        <f t="shared" si="4"/>
        <v>64.774999999999991</v>
      </c>
    </row>
    <row r="265" spans="1:18" ht="13.5" customHeight="1" x14ac:dyDescent="0.2">
      <c r="A265" s="449" t="s">
        <v>1413</v>
      </c>
      <c r="B265" s="450" t="s">
        <v>1635</v>
      </c>
      <c r="C265" s="451" t="s">
        <v>1393</v>
      </c>
      <c r="D265" s="452">
        <v>63.7</v>
      </c>
      <c r="E265" s="452">
        <v>63.8</v>
      </c>
      <c r="F265" s="452">
        <v>64.8</v>
      </c>
      <c r="G265" s="452">
        <v>67.2</v>
      </c>
      <c r="H265" s="452">
        <v>69</v>
      </c>
      <c r="I265" s="452">
        <v>70.7</v>
      </c>
      <c r="J265" s="452">
        <v>73.2</v>
      </c>
      <c r="K265" s="452">
        <v>74.2</v>
      </c>
      <c r="L265" s="452">
        <v>73.900000000000006</v>
      </c>
      <c r="M265" s="452">
        <v>71.900000000000006</v>
      </c>
      <c r="N265" s="452">
        <v>68.7</v>
      </c>
      <c r="O265" s="452">
        <v>63.7</v>
      </c>
      <c r="P265" s="452">
        <v>68.8</v>
      </c>
      <c r="Q265" s="454">
        <v>2</v>
      </c>
      <c r="R265" s="455">
        <f t="shared" si="4"/>
        <v>68.733333333333334</v>
      </c>
    </row>
    <row r="266" spans="1:18" ht="13.5" customHeight="1" x14ac:dyDescent="0.2">
      <c r="A266" s="449" t="s">
        <v>1414</v>
      </c>
      <c r="B266" s="450" t="s">
        <v>1635</v>
      </c>
      <c r="C266" s="451" t="s">
        <v>1393</v>
      </c>
      <c r="D266" s="452">
        <v>63.2</v>
      </c>
      <c r="E266" s="452">
        <v>63.6</v>
      </c>
      <c r="F266" s="452">
        <v>64.900000000000006</v>
      </c>
      <c r="G266" s="452">
        <v>66.5</v>
      </c>
      <c r="H266" s="452">
        <v>68.3</v>
      </c>
      <c r="I266" s="452">
        <v>69.900000000000006</v>
      </c>
      <c r="J266" s="452">
        <v>71.7</v>
      </c>
      <c r="K266" s="452">
        <v>72.400000000000006</v>
      </c>
      <c r="L266" s="452">
        <v>73.3</v>
      </c>
      <c r="M266" s="452">
        <v>72.2</v>
      </c>
      <c r="N266" s="452">
        <v>68.5</v>
      </c>
      <c r="O266" s="452">
        <v>63.1</v>
      </c>
      <c r="P266" s="452">
        <v>68.099999999999994</v>
      </c>
      <c r="Q266" s="454">
        <v>2</v>
      </c>
      <c r="R266" s="455">
        <f t="shared" si="4"/>
        <v>68.13333333333334</v>
      </c>
    </row>
    <row r="267" spans="1:18" ht="13.5" customHeight="1" x14ac:dyDescent="0.2">
      <c r="A267" s="449" t="s">
        <v>1415</v>
      </c>
      <c r="B267" s="450" t="s">
        <v>1635</v>
      </c>
      <c r="C267" s="451" t="s">
        <v>1393</v>
      </c>
      <c r="D267" s="452">
        <v>54.5</v>
      </c>
      <c r="E267" s="452">
        <v>60.4</v>
      </c>
      <c r="F267" s="452">
        <v>66.5</v>
      </c>
      <c r="G267" s="452">
        <v>71.7</v>
      </c>
      <c r="H267" s="452">
        <v>80.599999999999994</v>
      </c>
      <c r="I267" s="452">
        <v>87.8</v>
      </c>
      <c r="J267" s="452">
        <v>93.4</v>
      </c>
      <c r="K267" s="452">
        <v>92.3</v>
      </c>
      <c r="L267" s="452">
        <v>88.5</v>
      </c>
      <c r="M267" s="452">
        <v>78</v>
      </c>
      <c r="N267" s="452">
        <v>64.599999999999994</v>
      </c>
      <c r="O267" s="452">
        <v>54.7</v>
      </c>
      <c r="P267" s="452">
        <v>74.400000000000006</v>
      </c>
      <c r="Q267" s="454">
        <v>2</v>
      </c>
      <c r="R267" s="455">
        <f t="shared" si="4"/>
        <v>74.416666666666671</v>
      </c>
    </row>
    <row r="268" spans="1:18" ht="13.5" customHeight="1" x14ac:dyDescent="0.2">
      <c r="A268" s="449" t="s">
        <v>1416</v>
      </c>
      <c r="B268" s="450" t="s">
        <v>1635</v>
      </c>
      <c r="C268" s="451" t="s">
        <v>1393</v>
      </c>
      <c r="D268" s="452">
        <v>34.200000000000003</v>
      </c>
      <c r="E268" s="452">
        <v>39.700000000000003</v>
      </c>
      <c r="F268" s="452">
        <v>50.1</v>
      </c>
      <c r="G268" s="452">
        <v>58.5</v>
      </c>
      <c r="H268" s="452">
        <v>69.099999999999994</v>
      </c>
      <c r="I268" s="452">
        <v>78</v>
      </c>
      <c r="J268" s="452">
        <v>81.7</v>
      </c>
      <c r="K268" s="452">
        <v>78.900000000000006</v>
      </c>
      <c r="L268" s="452">
        <v>72.599999999999994</v>
      </c>
      <c r="M268" s="452">
        <v>61.3</v>
      </c>
      <c r="N268" s="452">
        <v>46.5</v>
      </c>
      <c r="O268" s="452">
        <v>34.9</v>
      </c>
      <c r="P268" s="452">
        <v>58.8</v>
      </c>
      <c r="Q268" s="454">
        <v>2</v>
      </c>
      <c r="R268" s="455">
        <f t="shared" si="4"/>
        <v>58.791666666666664</v>
      </c>
    </row>
    <row r="269" spans="1:18" ht="13.5" customHeight="1" x14ac:dyDescent="0.2">
      <c r="A269" s="449" t="s">
        <v>1417</v>
      </c>
      <c r="B269" s="450" t="s">
        <v>1635</v>
      </c>
      <c r="C269" s="451" t="s">
        <v>1393</v>
      </c>
      <c r="D269" s="452">
        <v>42.6</v>
      </c>
      <c r="E269" s="452">
        <v>45</v>
      </c>
      <c r="F269" s="452">
        <v>51.9</v>
      </c>
      <c r="G269" s="452">
        <v>58.6</v>
      </c>
      <c r="H269" s="452">
        <v>68.8</v>
      </c>
      <c r="I269" s="452">
        <v>78.099999999999994</v>
      </c>
      <c r="J269" s="452">
        <v>84.1</v>
      </c>
      <c r="K269" s="452">
        <v>80.900000000000006</v>
      </c>
      <c r="L269" s="452">
        <v>74.2</v>
      </c>
      <c r="M269" s="452">
        <v>62.6</v>
      </c>
      <c r="N269" s="452">
        <v>50.1</v>
      </c>
      <c r="O269" s="452">
        <v>42.5</v>
      </c>
      <c r="P269" s="452">
        <v>61.6</v>
      </c>
      <c r="Q269" s="454">
        <v>2</v>
      </c>
      <c r="R269" s="455">
        <f t="shared" si="4"/>
        <v>61.616666666666674</v>
      </c>
    </row>
    <row r="270" spans="1:18" ht="13.5" customHeight="1" x14ac:dyDescent="0.2">
      <c r="A270" s="449" t="s">
        <v>1418</v>
      </c>
      <c r="B270" s="450" t="s">
        <v>1635</v>
      </c>
      <c r="C270" s="451" t="s">
        <v>1393</v>
      </c>
      <c r="D270" s="452">
        <v>42.9</v>
      </c>
      <c r="E270" s="452">
        <v>45.7</v>
      </c>
      <c r="F270" s="452">
        <v>53.7</v>
      </c>
      <c r="G270" s="452">
        <v>60.1</v>
      </c>
      <c r="H270" s="452">
        <v>70.599999999999994</v>
      </c>
      <c r="I270" s="452">
        <v>80.900000000000006</v>
      </c>
      <c r="J270" s="452">
        <v>88</v>
      </c>
      <c r="K270" s="452">
        <v>85.2</v>
      </c>
      <c r="L270" s="452">
        <v>77.3</v>
      </c>
      <c r="M270" s="452">
        <v>64</v>
      </c>
      <c r="N270" s="452">
        <v>51.1</v>
      </c>
      <c r="O270" s="452">
        <v>43</v>
      </c>
      <c r="P270" s="452">
        <v>63.5</v>
      </c>
      <c r="Q270" s="454">
        <v>2</v>
      </c>
      <c r="R270" s="455">
        <f t="shared" si="4"/>
        <v>63.541666666666664</v>
      </c>
    </row>
    <row r="271" spans="1:18" ht="13.5" customHeight="1" x14ac:dyDescent="0.2">
      <c r="A271" s="449" t="s">
        <v>1419</v>
      </c>
      <c r="B271" s="450" t="s">
        <v>1635</v>
      </c>
      <c r="C271" s="451" t="s">
        <v>1393</v>
      </c>
      <c r="D271" s="452">
        <v>37.4</v>
      </c>
      <c r="E271" s="452">
        <v>45.3</v>
      </c>
      <c r="F271" s="452">
        <v>56.5</v>
      </c>
      <c r="G271" s="453">
        <v>64.400000000000006</v>
      </c>
      <c r="H271" s="452">
        <v>76.2</v>
      </c>
      <c r="I271" s="453">
        <v>86.9</v>
      </c>
      <c r="J271" s="452">
        <v>93.4</v>
      </c>
      <c r="K271" s="452">
        <v>89.3</v>
      </c>
      <c r="L271" s="452">
        <v>79.900000000000006</v>
      </c>
      <c r="M271" s="452">
        <v>66</v>
      </c>
      <c r="N271" s="452">
        <v>49.9</v>
      </c>
      <c r="O271" s="452">
        <v>38</v>
      </c>
      <c r="P271" s="452">
        <v>65.3</v>
      </c>
      <c r="Q271" s="454">
        <v>2</v>
      </c>
      <c r="R271" s="455">
        <f t="shared" si="4"/>
        <v>65.266666666666666</v>
      </c>
    </row>
    <row r="272" spans="1:18" ht="13.5" customHeight="1" x14ac:dyDescent="0.2">
      <c r="A272" s="449" t="s">
        <v>1420</v>
      </c>
      <c r="B272" s="450" t="s">
        <v>1635</v>
      </c>
      <c r="C272" s="451" t="s">
        <v>1393</v>
      </c>
      <c r="D272" s="452">
        <v>41.7</v>
      </c>
      <c r="E272" s="452">
        <v>44.2</v>
      </c>
      <c r="F272" s="452">
        <v>52.7</v>
      </c>
      <c r="G272" s="453">
        <v>59.5</v>
      </c>
      <c r="H272" s="452">
        <v>69.7</v>
      </c>
      <c r="I272" s="453">
        <v>79.599999999999994</v>
      </c>
      <c r="J272" s="452">
        <v>86.2</v>
      </c>
      <c r="K272" s="452">
        <v>82.7</v>
      </c>
      <c r="L272" s="452">
        <v>75.8</v>
      </c>
      <c r="M272" s="452">
        <v>63.4</v>
      </c>
      <c r="N272" s="452">
        <v>49.6</v>
      </c>
      <c r="O272" s="452">
        <v>41.8</v>
      </c>
      <c r="P272" s="452">
        <v>62.2</v>
      </c>
      <c r="Q272" s="454">
        <v>2</v>
      </c>
      <c r="R272" s="455">
        <f t="shared" si="4"/>
        <v>62.241666666666653</v>
      </c>
    </row>
    <row r="273" spans="1:18" ht="13.5" customHeight="1" x14ac:dyDescent="0.2">
      <c r="A273" s="449" t="s">
        <v>1421</v>
      </c>
      <c r="B273" s="450" t="s">
        <v>1635</v>
      </c>
      <c r="C273" s="451" t="s">
        <v>1393</v>
      </c>
      <c r="D273" s="452">
        <v>47.2</v>
      </c>
      <c r="E273" s="452">
        <v>50.8</v>
      </c>
      <c r="F273" s="452">
        <v>58.9</v>
      </c>
      <c r="G273" s="453">
        <v>66.099999999999994</v>
      </c>
      <c r="H273" s="452">
        <v>76.7</v>
      </c>
      <c r="I273" s="453">
        <v>86.3</v>
      </c>
      <c r="J273" s="452">
        <v>92.3</v>
      </c>
      <c r="K273" s="452">
        <v>88.8</v>
      </c>
      <c r="L273" s="452">
        <v>81.400000000000006</v>
      </c>
      <c r="M273" s="452">
        <v>68.900000000000006</v>
      </c>
      <c r="N273" s="452">
        <v>55.1</v>
      </c>
      <c r="O273" s="452">
        <v>46.8</v>
      </c>
      <c r="P273" s="452">
        <v>68.3</v>
      </c>
      <c r="Q273" s="454">
        <v>2</v>
      </c>
      <c r="R273" s="455">
        <f t="shared" si="4"/>
        <v>68.274999999999991</v>
      </c>
    </row>
    <row r="274" spans="1:18" ht="13.5" customHeight="1" x14ac:dyDescent="0.2">
      <c r="A274" s="449" t="s">
        <v>1422</v>
      </c>
      <c r="B274" s="450" t="s">
        <v>1635</v>
      </c>
      <c r="C274" s="451" t="s">
        <v>1393</v>
      </c>
      <c r="D274" s="452">
        <v>37.200000000000003</v>
      </c>
      <c r="E274" s="452">
        <v>39.1</v>
      </c>
      <c r="F274" s="452">
        <v>46.3</v>
      </c>
      <c r="G274" s="453">
        <v>57.1</v>
      </c>
      <c r="H274" s="452">
        <v>66.8</v>
      </c>
      <c r="I274" s="453">
        <v>76.400000000000006</v>
      </c>
      <c r="J274" s="452">
        <v>81.400000000000006</v>
      </c>
      <c r="K274" s="452">
        <v>80.400000000000006</v>
      </c>
      <c r="L274" s="452">
        <v>73.7</v>
      </c>
      <c r="M274" s="452">
        <v>62.7</v>
      </c>
      <c r="N274" s="452">
        <v>52.4</v>
      </c>
      <c r="O274" s="452">
        <v>42.1</v>
      </c>
      <c r="P274" s="452">
        <v>59.6</v>
      </c>
      <c r="Q274" s="454">
        <v>2</v>
      </c>
      <c r="R274" s="455">
        <f t="shared" si="4"/>
        <v>59.633333333333333</v>
      </c>
    </row>
    <row r="275" spans="1:18" ht="13.5" customHeight="1" x14ac:dyDescent="0.2">
      <c r="A275" s="449" t="s">
        <v>1423</v>
      </c>
      <c r="B275" s="450" t="s">
        <v>1635</v>
      </c>
      <c r="C275" s="451" t="s">
        <v>1393</v>
      </c>
      <c r="D275" s="452">
        <v>34.4</v>
      </c>
      <c r="E275" s="452">
        <v>37.5</v>
      </c>
      <c r="F275" s="452">
        <v>46.7</v>
      </c>
      <c r="G275" s="453">
        <v>60.2</v>
      </c>
      <c r="H275" s="452">
        <v>70.400000000000006</v>
      </c>
      <c r="I275" s="453">
        <v>79.099999999999994</v>
      </c>
      <c r="J275" s="452">
        <v>83.6</v>
      </c>
      <c r="K275" s="452">
        <v>82.2</v>
      </c>
      <c r="L275" s="452">
        <v>74.400000000000006</v>
      </c>
      <c r="M275" s="452">
        <v>62.3</v>
      </c>
      <c r="N275" s="452">
        <v>50.8</v>
      </c>
      <c r="O275" s="452">
        <v>39.5</v>
      </c>
      <c r="P275" s="452">
        <v>60.1</v>
      </c>
      <c r="Q275" s="454">
        <v>2</v>
      </c>
      <c r="R275" s="455">
        <f t="shared" si="4"/>
        <v>60.091666666666661</v>
      </c>
    </row>
    <row r="276" spans="1:18" ht="13.5" customHeight="1" x14ac:dyDescent="0.2">
      <c r="A276" s="449" t="s">
        <v>1424</v>
      </c>
      <c r="B276" s="450" t="s">
        <v>1635</v>
      </c>
      <c r="C276" s="451" t="s">
        <v>1393</v>
      </c>
      <c r="D276" s="452">
        <v>40.5</v>
      </c>
      <c r="E276" s="452">
        <v>42.7</v>
      </c>
      <c r="F276" s="452">
        <v>51.6</v>
      </c>
      <c r="G276" s="453">
        <v>63.1</v>
      </c>
      <c r="H276" s="452">
        <v>72.099999999999994</v>
      </c>
      <c r="I276" s="453">
        <v>80.900000000000006</v>
      </c>
      <c r="J276" s="452">
        <v>85.1</v>
      </c>
      <c r="K276" s="452">
        <v>83.9</v>
      </c>
      <c r="L276" s="452">
        <v>76.8</v>
      </c>
      <c r="M276" s="452">
        <v>65.5</v>
      </c>
      <c r="N276" s="452">
        <v>55</v>
      </c>
      <c r="O276" s="452">
        <v>44.7</v>
      </c>
      <c r="P276" s="452">
        <v>63.5</v>
      </c>
      <c r="Q276" s="454">
        <v>2</v>
      </c>
      <c r="R276" s="455">
        <f t="shared" si="4"/>
        <v>63.491666666666667</v>
      </c>
    </row>
    <row r="277" spans="1:18" ht="13.5" customHeight="1" x14ac:dyDescent="0.2">
      <c r="A277" s="449" t="s">
        <v>1425</v>
      </c>
      <c r="B277" s="450" t="s">
        <v>1635</v>
      </c>
      <c r="C277" s="451" t="s">
        <v>1393</v>
      </c>
      <c r="D277" s="452">
        <v>68.400000000000006</v>
      </c>
      <c r="E277" s="452">
        <v>69.900000000000006</v>
      </c>
      <c r="F277" s="452">
        <v>74.2</v>
      </c>
      <c r="G277" s="453">
        <v>78.8</v>
      </c>
      <c r="H277" s="452">
        <v>84.5</v>
      </c>
      <c r="I277" s="453">
        <v>87.7</v>
      </c>
      <c r="J277" s="452">
        <v>89.5</v>
      </c>
      <c r="K277" s="452">
        <v>88.8</v>
      </c>
      <c r="L277" s="452">
        <v>86.3</v>
      </c>
      <c r="M277" s="452">
        <v>81.5</v>
      </c>
      <c r="N277" s="452">
        <v>75.099999999999994</v>
      </c>
      <c r="O277" s="452">
        <v>70.2</v>
      </c>
      <c r="P277" s="452">
        <v>79.599999999999994</v>
      </c>
      <c r="Q277" s="454">
        <v>2</v>
      </c>
      <c r="R277" s="455">
        <f t="shared" si="4"/>
        <v>79.575000000000003</v>
      </c>
    </row>
    <row r="278" spans="1:18" ht="13.5" customHeight="1" x14ac:dyDescent="0.2">
      <c r="A278" s="449" t="s">
        <v>1426</v>
      </c>
      <c r="B278" s="450" t="s">
        <v>1635</v>
      </c>
      <c r="C278" s="451" t="s">
        <v>1393</v>
      </c>
      <c r="D278" s="452">
        <v>74.2</v>
      </c>
      <c r="E278" s="452">
        <v>76.2</v>
      </c>
      <c r="F278" s="452">
        <v>79.599999999999994</v>
      </c>
      <c r="G278" s="452">
        <v>83.5</v>
      </c>
      <c r="H278" s="452">
        <v>88.5</v>
      </c>
      <c r="I278" s="452">
        <v>90.3</v>
      </c>
      <c r="J278" s="452">
        <v>90.7</v>
      </c>
      <c r="K278" s="452">
        <v>90.8</v>
      </c>
      <c r="L278" s="452">
        <v>89.3</v>
      </c>
      <c r="M278" s="452">
        <v>85.8</v>
      </c>
      <c r="N278" s="452">
        <v>80.2</v>
      </c>
      <c r="O278" s="452">
        <v>75.5</v>
      </c>
      <c r="P278" s="452">
        <v>83.7</v>
      </c>
      <c r="Q278" s="454">
        <v>2</v>
      </c>
      <c r="R278" s="455">
        <f t="shared" si="4"/>
        <v>83.716666666666654</v>
      </c>
    </row>
    <row r="279" spans="1:18" ht="13.5" customHeight="1" x14ac:dyDescent="0.2">
      <c r="A279" s="449" t="s">
        <v>1427</v>
      </c>
      <c r="B279" s="450" t="s">
        <v>1635</v>
      </c>
      <c r="C279" s="451" t="s">
        <v>1393</v>
      </c>
      <c r="D279" s="452">
        <v>66.3</v>
      </c>
      <c r="E279" s="452">
        <v>69</v>
      </c>
      <c r="F279" s="452">
        <v>74.400000000000006</v>
      </c>
      <c r="G279" s="452">
        <v>80</v>
      </c>
      <c r="H279" s="452">
        <v>86.4</v>
      </c>
      <c r="I279" s="452">
        <v>89</v>
      </c>
      <c r="J279" s="452">
        <v>90.2</v>
      </c>
      <c r="K279" s="452">
        <v>89.4</v>
      </c>
      <c r="L279" s="452">
        <v>86.6</v>
      </c>
      <c r="M279" s="452">
        <v>80.7</v>
      </c>
      <c r="N279" s="452">
        <v>73.599999999999994</v>
      </c>
      <c r="O279" s="452">
        <v>67.599999999999994</v>
      </c>
      <c r="P279" s="452">
        <v>79.400000000000006</v>
      </c>
      <c r="Q279" s="454">
        <v>2</v>
      </c>
      <c r="R279" s="455">
        <f t="shared" si="4"/>
        <v>79.433333333333351</v>
      </c>
    </row>
    <row r="280" spans="1:18" ht="13.5" customHeight="1" x14ac:dyDescent="0.2">
      <c r="A280" s="449" t="s">
        <v>1428</v>
      </c>
      <c r="B280" s="450" t="s">
        <v>1635</v>
      </c>
      <c r="C280" s="451" t="s">
        <v>1393</v>
      </c>
      <c r="D280" s="452">
        <v>64.5</v>
      </c>
      <c r="E280" s="452">
        <v>67.2</v>
      </c>
      <c r="F280" s="452">
        <v>72.7</v>
      </c>
      <c r="G280" s="452">
        <v>78.3</v>
      </c>
      <c r="H280" s="452">
        <v>84.8</v>
      </c>
      <c r="I280" s="452">
        <v>88.7</v>
      </c>
      <c r="J280" s="452">
        <v>91</v>
      </c>
      <c r="K280" s="452">
        <v>89.6</v>
      </c>
      <c r="L280" s="452">
        <v>85.8</v>
      </c>
      <c r="M280" s="452">
        <v>79.599999999999994</v>
      </c>
      <c r="N280" s="452">
        <v>72.2</v>
      </c>
      <c r="O280" s="452">
        <v>65.400000000000006</v>
      </c>
      <c r="P280" s="452">
        <v>78.3</v>
      </c>
      <c r="Q280" s="454">
        <v>2</v>
      </c>
      <c r="R280" s="455">
        <f t="shared" si="4"/>
        <v>78.316666666666677</v>
      </c>
    </row>
    <row r="281" spans="1:18" ht="13.5" customHeight="1" x14ac:dyDescent="0.2">
      <c r="A281" s="449" t="s">
        <v>1429</v>
      </c>
      <c r="B281" s="450" t="s">
        <v>1635</v>
      </c>
      <c r="C281" s="451" t="s">
        <v>1393</v>
      </c>
      <c r="D281" s="452">
        <v>74.400000000000006</v>
      </c>
      <c r="E281" s="452">
        <v>75.7</v>
      </c>
      <c r="F281" s="452">
        <v>78.2</v>
      </c>
      <c r="G281" s="452">
        <v>81</v>
      </c>
      <c r="H281" s="452">
        <v>84.6</v>
      </c>
      <c r="I281" s="452">
        <v>87.7</v>
      </c>
      <c r="J281" s="452">
        <v>89</v>
      </c>
      <c r="K281" s="452">
        <v>89.4</v>
      </c>
      <c r="L281" s="452">
        <v>87.7</v>
      </c>
      <c r="M281" s="452">
        <v>84.5</v>
      </c>
      <c r="N281" s="452">
        <v>79.599999999999994</v>
      </c>
      <c r="O281" s="452">
        <v>75.7</v>
      </c>
      <c r="P281" s="452">
        <v>82.3</v>
      </c>
      <c r="Q281" s="454">
        <v>2</v>
      </c>
      <c r="R281" s="455">
        <f t="shared" si="4"/>
        <v>82.291666666666671</v>
      </c>
    </row>
    <row r="282" spans="1:18" ht="13.5" customHeight="1" x14ac:dyDescent="0.2">
      <c r="A282" s="449" t="s">
        <v>1430</v>
      </c>
      <c r="B282" s="450" t="s">
        <v>1635</v>
      </c>
      <c r="C282" s="451" t="s">
        <v>1393</v>
      </c>
      <c r="D282" s="452">
        <v>75.5</v>
      </c>
      <c r="E282" s="452">
        <v>77</v>
      </c>
      <c r="F282" s="452">
        <v>79.599999999999994</v>
      </c>
      <c r="G282" s="452">
        <v>82.4</v>
      </c>
      <c r="H282" s="452">
        <v>86.2</v>
      </c>
      <c r="I282" s="452">
        <v>88.4</v>
      </c>
      <c r="J282" s="452">
        <v>89.9</v>
      </c>
      <c r="K282" s="452">
        <v>90</v>
      </c>
      <c r="L282" s="452">
        <v>88.2</v>
      </c>
      <c r="M282" s="452">
        <v>85.1</v>
      </c>
      <c r="N282" s="452">
        <v>80.5</v>
      </c>
      <c r="O282" s="452">
        <v>76.900000000000006</v>
      </c>
      <c r="P282" s="452">
        <v>83.3</v>
      </c>
      <c r="Q282" s="454">
        <v>2</v>
      </c>
      <c r="R282" s="455">
        <f t="shared" si="4"/>
        <v>83.308333333333337</v>
      </c>
    </row>
    <row r="283" spans="1:18" ht="13.5" customHeight="1" x14ac:dyDescent="0.2">
      <c r="A283" s="449" t="s">
        <v>1431</v>
      </c>
      <c r="B283" s="450" t="s">
        <v>1635</v>
      </c>
      <c r="C283" s="451" t="s">
        <v>1393</v>
      </c>
      <c r="D283" s="452">
        <v>70.7</v>
      </c>
      <c r="E283" s="452">
        <v>72.8</v>
      </c>
      <c r="F283" s="452">
        <v>77.2</v>
      </c>
      <c r="G283" s="452">
        <v>81.7</v>
      </c>
      <c r="H283" s="452">
        <v>87.2</v>
      </c>
      <c r="I283" s="452">
        <v>89.5</v>
      </c>
      <c r="J283" s="452">
        <v>90.8</v>
      </c>
      <c r="K283" s="452">
        <v>90.5</v>
      </c>
      <c r="L283" s="452">
        <v>88.3</v>
      </c>
      <c r="M283" s="452">
        <v>83.4</v>
      </c>
      <c r="N283" s="452">
        <v>77</v>
      </c>
      <c r="O283" s="452">
        <v>71.8</v>
      </c>
      <c r="P283" s="452">
        <v>81.8</v>
      </c>
      <c r="Q283" s="454">
        <v>2</v>
      </c>
      <c r="R283" s="455">
        <f t="shared" si="4"/>
        <v>81.74166666666666</v>
      </c>
    </row>
    <row r="284" spans="1:18" ht="13.5" customHeight="1" x14ac:dyDescent="0.2">
      <c r="A284" s="449" t="s">
        <v>1432</v>
      </c>
      <c r="B284" s="450" t="s">
        <v>1635</v>
      </c>
      <c r="C284" s="451" t="s">
        <v>1393</v>
      </c>
      <c r="D284" s="452">
        <v>61</v>
      </c>
      <c r="E284" s="452">
        <v>63.9</v>
      </c>
      <c r="F284" s="452">
        <v>69.8</v>
      </c>
      <c r="G284" s="452">
        <v>75.599999999999994</v>
      </c>
      <c r="H284" s="452">
        <v>83.4</v>
      </c>
      <c r="I284" s="453">
        <v>88.4</v>
      </c>
      <c r="J284" s="452">
        <v>89.9</v>
      </c>
      <c r="K284" s="452">
        <v>89.4</v>
      </c>
      <c r="L284" s="452">
        <v>86.6</v>
      </c>
      <c r="M284" s="452">
        <v>79</v>
      </c>
      <c r="N284" s="452">
        <v>70.099999999999994</v>
      </c>
      <c r="O284" s="452">
        <v>62.6</v>
      </c>
      <c r="P284" s="452">
        <v>76.599999999999994</v>
      </c>
      <c r="Q284" s="454">
        <v>2</v>
      </c>
      <c r="R284" s="455">
        <f t="shared" si="4"/>
        <v>76.641666666666666</v>
      </c>
    </row>
    <row r="285" spans="1:18" ht="13.5" customHeight="1" x14ac:dyDescent="0.2">
      <c r="A285" s="449" t="s">
        <v>1433</v>
      </c>
      <c r="B285" s="450" t="s">
        <v>1635</v>
      </c>
      <c r="C285" s="451" t="s">
        <v>1393</v>
      </c>
      <c r="D285" s="452">
        <v>63.6</v>
      </c>
      <c r="E285" s="452">
        <v>66.8</v>
      </c>
      <c r="F285" s="452">
        <v>73.3</v>
      </c>
      <c r="G285" s="452">
        <v>79.400000000000006</v>
      </c>
      <c r="H285" s="452">
        <v>86.7</v>
      </c>
      <c r="I285" s="453">
        <v>90.1</v>
      </c>
      <c r="J285" s="452">
        <v>91.6</v>
      </c>
      <c r="K285" s="452">
        <v>90.9</v>
      </c>
      <c r="L285" s="452">
        <v>87.9</v>
      </c>
      <c r="M285" s="452">
        <v>80.900000000000006</v>
      </c>
      <c r="N285" s="452">
        <v>72</v>
      </c>
      <c r="O285" s="452">
        <v>64.7</v>
      </c>
      <c r="P285" s="452">
        <v>79</v>
      </c>
      <c r="Q285" s="454">
        <v>2</v>
      </c>
      <c r="R285" s="455">
        <f t="shared" si="4"/>
        <v>78.99166666666666</v>
      </c>
    </row>
    <row r="286" spans="1:18" ht="13.5" customHeight="1" x14ac:dyDescent="0.2">
      <c r="A286" s="449" t="s">
        <v>1434</v>
      </c>
      <c r="B286" s="450" t="s">
        <v>1635</v>
      </c>
      <c r="C286" s="451" t="s">
        <v>1393</v>
      </c>
      <c r="D286" s="452">
        <v>69.8</v>
      </c>
      <c r="E286" s="452">
        <v>71.599999999999994</v>
      </c>
      <c r="F286" s="452">
        <v>75.900000000000006</v>
      </c>
      <c r="G286" s="452">
        <v>80.8</v>
      </c>
      <c r="H286" s="452">
        <v>86.7</v>
      </c>
      <c r="I286" s="453">
        <v>89.1</v>
      </c>
      <c r="J286" s="452">
        <v>89.5</v>
      </c>
      <c r="K286" s="452">
        <v>89.6</v>
      </c>
      <c r="L286" s="452">
        <v>88.4</v>
      </c>
      <c r="M286" s="452">
        <v>83.8</v>
      </c>
      <c r="N286" s="452">
        <v>77.099999999999994</v>
      </c>
      <c r="O286" s="452">
        <v>71.400000000000006</v>
      </c>
      <c r="P286" s="452">
        <v>81.2</v>
      </c>
      <c r="Q286" s="454">
        <v>2</v>
      </c>
      <c r="R286" s="455">
        <f t="shared" si="4"/>
        <v>81.141666666666666</v>
      </c>
    </row>
    <row r="287" spans="1:18" ht="13.5" customHeight="1" x14ac:dyDescent="0.2">
      <c r="A287" s="449" t="s">
        <v>1435</v>
      </c>
      <c r="B287" s="450" t="s">
        <v>1635</v>
      </c>
      <c r="C287" s="451" t="s">
        <v>1393</v>
      </c>
      <c r="D287" s="452">
        <v>72.3</v>
      </c>
      <c r="E287" s="452">
        <v>73.900000000000006</v>
      </c>
      <c r="F287" s="452">
        <v>77.099999999999994</v>
      </c>
      <c r="G287" s="452">
        <v>80.2</v>
      </c>
      <c r="H287" s="452">
        <v>84.6</v>
      </c>
      <c r="I287" s="453">
        <v>87.9</v>
      </c>
      <c r="J287" s="452">
        <v>89.4</v>
      </c>
      <c r="K287" s="452">
        <v>89.3</v>
      </c>
      <c r="L287" s="452">
        <v>87.5</v>
      </c>
      <c r="M287" s="452">
        <v>83.7</v>
      </c>
      <c r="N287" s="452">
        <v>78.3</v>
      </c>
      <c r="O287" s="452">
        <v>74.099999999999994</v>
      </c>
      <c r="P287" s="452">
        <v>81.5</v>
      </c>
      <c r="Q287" s="454">
        <v>2</v>
      </c>
      <c r="R287" s="455">
        <f t="shared" si="4"/>
        <v>81.524999999999991</v>
      </c>
    </row>
    <row r="288" spans="1:18" ht="13.5" customHeight="1" x14ac:dyDescent="0.2">
      <c r="A288" s="449" t="s">
        <v>1436</v>
      </c>
      <c r="B288" s="450" t="s">
        <v>1635</v>
      </c>
      <c r="C288" s="451" t="s">
        <v>1393</v>
      </c>
      <c r="D288" s="452">
        <v>74</v>
      </c>
      <c r="E288" s="452">
        <v>75.599999999999994</v>
      </c>
      <c r="F288" s="452">
        <v>78.400000000000006</v>
      </c>
      <c r="G288" s="452">
        <v>81.2</v>
      </c>
      <c r="H288" s="452">
        <v>85.3</v>
      </c>
      <c r="I288" s="453">
        <v>87.8</v>
      </c>
      <c r="J288" s="452">
        <v>89.2</v>
      </c>
      <c r="K288" s="452">
        <v>89.3</v>
      </c>
      <c r="L288" s="452">
        <v>87.6</v>
      </c>
      <c r="M288" s="452">
        <v>84.4</v>
      </c>
      <c r="N288" s="452">
        <v>79.400000000000006</v>
      </c>
      <c r="O288" s="452">
        <v>75.5</v>
      </c>
      <c r="P288" s="452">
        <v>82.3</v>
      </c>
      <c r="Q288" s="454">
        <v>2</v>
      </c>
      <c r="R288" s="455">
        <f t="shared" si="4"/>
        <v>82.308333333333323</v>
      </c>
    </row>
    <row r="289" spans="1:18" ht="13.5" customHeight="1" x14ac:dyDescent="0.2">
      <c r="A289" s="449" t="s">
        <v>1437</v>
      </c>
      <c r="B289" s="450" t="s">
        <v>1635</v>
      </c>
      <c r="C289" s="451" t="s">
        <v>1393</v>
      </c>
      <c r="D289" s="452">
        <v>53.2</v>
      </c>
      <c r="E289" s="452">
        <v>56.8</v>
      </c>
      <c r="F289" s="452">
        <v>64.8</v>
      </c>
      <c r="G289" s="452">
        <v>72.900000000000006</v>
      </c>
      <c r="H289" s="452">
        <v>80.2</v>
      </c>
      <c r="I289" s="453">
        <v>86.7</v>
      </c>
      <c r="J289" s="452">
        <v>89.8</v>
      </c>
      <c r="K289" s="452">
        <v>88.6</v>
      </c>
      <c r="L289" s="452">
        <v>82.7</v>
      </c>
      <c r="M289" s="452">
        <v>73.099999999999994</v>
      </c>
      <c r="N289" s="452">
        <v>63.5</v>
      </c>
      <c r="O289" s="452">
        <v>54.5</v>
      </c>
      <c r="P289" s="452">
        <v>72.2</v>
      </c>
      <c r="Q289" s="454">
        <v>2</v>
      </c>
      <c r="R289" s="455">
        <f t="shared" si="4"/>
        <v>72.233333333333334</v>
      </c>
    </row>
    <row r="290" spans="1:18" ht="13.5" customHeight="1" x14ac:dyDescent="0.2">
      <c r="A290" s="449" t="s">
        <v>1438</v>
      </c>
      <c r="B290" s="450" t="s">
        <v>1635</v>
      </c>
      <c r="C290" s="451" t="s">
        <v>1393</v>
      </c>
      <c r="D290" s="452">
        <v>52.8</v>
      </c>
      <c r="E290" s="452">
        <v>56.5</v>
      </c>
      <c r="F290" s="452">
        <v>64.099999999999994</v>
      </c>
      <c r="G290" s="452">
        <v>72.2</v>
      </c>
      <c r="H290" s="452">
        <v>79.5</v>
      </c>
      <c r="I290" s="453">
        <v>85.5</v>
      </c>
      <c r="J290" s="452">
        <v>88.4</v>
      </c>
      <c r="K290" s="452">
        <v>87.6</v>
      </c>
      <c r="L290" s="452">
        <v>81.900000000000006</v>
      </c>
      <c r="M290" s="452">
        <v>72.400000000000006</v>
      </c>
      <c r="N290" s="452">
        <v>62.7</v>
      </c>
      <c r="O290" s="452">
        <v>53.9</v>
      </c>
      <c r="P290" s="452">
        <v>71.5</v>
      </c>
      <c r="Q290" s="454">
        <v>2</v>
      </c>
      <c r="R290" s="455">
        <f t="shared" si="4"/>
        <v>71.458333333333329</v>
      </c>
    </row>
    <row r="291" spans="1:18" ht="13.5" customHeight="1" x14ac:dyDescent="0.2">
      <c r="A291" s="449" t="s">
        <v>1439</v>
      </c>
      <c r="B291" s="450" t="s">
        <v>1635</v>
      </c>
      <c r="C291" s="451" t="s">
        <v>1393</v>
      </c>
      <c r="D291" s="452">
        <v>57.7</v>
      </c>
      <c r="E291" s="452">
        <v>61.1</v>
      </c>
      <c r="F291" s="452">
        <v>68.7</v>
      </c>
      <c r="G291" s="452">
        <v>76.400000000000006</v>
      </c>
      <c r="H291" s="452">
        <v>83.8</v>
      </c>
      <c r="I291" s="452">
        <v>89.2</v>
      </c>
      <c r="J291" s="452">
        <v>91.8</v>
      </c>
      <c r="K291" s="452">
        <v>90.6</v>
      </c>
      <c r="L291" s="452">
        <v>85.5</v>
      </c>
      <c r="M291" s="452">
        <v>76.599999999999994</v>
      </c>
      <c r="N291" s="452">
        <v>67.599999999999994</v>
      </c>
      <c r="O291" s="452">
        <v>58.9</v>
      </c>
      <c r="P291" s="452">
        <v>75.7</v>
      </c>
      <c r="Q291" s="454">
        <v>2</v>
      </c>
      <c r="R291" s="455">
        <f t="shared" si="4"/>
        <v>75.658333333333331</v>
      </c>
    </row>
    <row r="292" spans="1:18" ht="13.5" customHeight="1" x14ac:dyDescent="0.2">
      <c r="A292" s="449" t="s">
        <v>1440</v>
      </c>
      <c r="B292" s="450" t="s">
        <v>1635</v>
      </c>
      <c r="C292" s="451" t="s">
        <v>1393</v>
      </c>
      <c r="D292" s="452">
        <v>57.4</v>
      </c>
      <c r="E292" s="452">
        <v>61.2</v>
      </c>
      <c r="F292" s="452">
        <v>68.7</v>
      </c>
      <c r="G292" s="452">
        <v>76</v>
      </c>
      <c r="H292" s="452">
        <v>83.4</v>
      </c>
      <c r="I292" s="452">
        <v>88.5</v>
      </c>
      <c r="J292" s="452">
        <v>91.3</v>
      </c>
      <c r="K292" s="452">
        <v>90.4</v>
      </c>
      <c r="L292" s="452">
        <v>85.5</v>
      </c>
      <c r="M292" s="452">
        <v>76.400000000000006</v>
      </c>
      <c r="N292" s="452">
        <v>67.2</v>
      </c>
      <c r="O292" s="452">
        <v>58.4</v>
      </c>
      <c r="P292" s="452">
        <v>75.400000000000006</v>
      </c>
      <c r="Q292" s="454">
        <v>2</v>
      </c>
      <c r="R292" s="455">
        <f t="shared" si="4"/>
        <v>75.36666666666666</v>
      </c>
    </row>
    <row r="293" spans="1:18" ht="13.5" customHeight="1" x14ac:dyDescent="0.2">
      <c r="A293" s="449" t="s">
        <v>1441</v>
      </c>
      <c r="B293" s="450" t="s">
        <v>1635</v>
      </c>
      <c r="C293" s="451" t="s">
        <v>1393</v>
      </c>
      <c r="D293" s="452">
        <v>57.8</v>
      </c>
      <c r="E293" s="452">
        <v>61.3</v>
      </c>
      <c r="F293" s="452">
        <v>68.8</v>
      </c>
      <c r="G293" s="452">
        <v>76.099999999999994</v>
      </c>
      <c r="H293" s="452">
        <v>83.9</v>
      </c>
      <c r="I293" s="452">
        <v>89</v>
      </c>
      <c r="J293" s="452">
        <v>91.7</v>
      </c>
      <c r="K293" s="452">
        <v>90.5</v>
      </c>
      <c r="L293" s="452">
        <v>85.5</v>
      </c>
      <c r="M293" s="452">
        <v>76.599999999999994</v>
      </c>
      <c r="N293" s="452">
        <v>67.599999999999994</v>
      </c>
      <c r="O293" s="452">
        <v>58.9</v>
      </c>
      <c r="P293" s="452">
        <v>75.7</v>
      </c>
      <c r="Q293" s="454">
        <v>2</v>
      </c>
      <c r="R293" s="455">
        <f t="shared" si="4"/>
        <v>75.641666666666666</v>
      </c>
    </row>
    <row r="294" spans="1:18" ht="13.5" customHeight="1" x14ac:dyDescent="0.2">
      <c r="A294" s="449" t="s">
        <v>1442</v>
      </c>
      <c r="B294" s="450" t="s">
        <v>1635</v>
      </c>
      <c r="C294" s="451" t="s">
        <v>1393</v>
      </c>
      <c r="D294" s="452">
        <v>60.5</v>
      </c>
      <c r="E294" s="452">
        <v>63.5</v>
      </c>
      <c r="F294" s="452">
        <v>70.2</v>
      </c>
      <c r="G294" s="452">
        <v>76.900000000000006</v>
      </c>
      <c r="H294" s="452">
        <v>83.6</v>
      </c>
      <c r="I294" s="452">
        <v>88.3</v>
      </c>
      <c r="J294" s="452">
        <v>91.3</v>
      </c>
      <c r="K294" s="452">
        <v>89.7</v>
      </c>
      <c r="L294" s="452">
        <v>85.2</v>
      </c>
      <c r="M294" s="452">
        <v>77.599999999999994</v>
      </c>
      <c r="N294" s="452">
        <v>69.5</v>
      </c>
      <c r="O294" s="452">
        <v>61.8</v>
      </c>
      <c r="P294" s="452">
        <v>76.5</v>
      </c>
      <c r="Q294" s="454">
        <v>2</v>
      </c>
      <c r="R294" s="455">
        <f t="shared" si="4"/>
        <v>76.50833333333334</v>
      </c>
    </row>
    <row r="295" spans="1:18" ht="13.5" customHeight="1" x14ac:dyDescent="0.2">
      <c r="A295" s="449" t="s">
        <v>1443</v>
      </c>
      <c r="B295" s="450" t="s">
        <v>1635</v>
      </c>
      <c r="C295" s="451" t="s">
        <v>1393</v>
      </c>
      <c r="D295" s="452">
        <v>78.599999999999994</v>
      </c>
      <c r="E295" s="452">
        <v>78.099999999999994</v>
      </c>
      <c r="F295" s="452">
        <v>78.5</v>
      </c>
      <c r="G295" s="452">
        <v>78.7</v>
      </c>
      <c r="H295" s="452">
        <v>80.7</v>
      </c>
      <c r="I295" s="452">
        <v>81.900000000000006</v>
      </c>
      <c r="J295" s="452">
        <v>82.7</v>
      </c>
      <c r="K295" s="452">
        <v>83</v>
      </c>
      <c r="L295" s="452">
        <v>83</v>
      </c>
      <c r="M295" s="452">
        <v>82.3</v>
      </c>
      <c r="N295" s="452">
        <v>80.400000000000006</v>
      </c>
      <c r="O295" s="452">
        <v>79</v>
      </c>
      <c r="P295" s="452">
        <v>80.599999999999994</v>
      </c>
      <c r="Q295" s="454">
        <v>2</v>
      </c>
      <c r="R295" s="455">
        <f t="shared" si="4"/>
        <v>80.575000000000003</v>
      </c>
    </row>
    <row r="296" spans="1:18" ht="13.5" customHeight="1" x14ac:dyDescent="0.2">
      <c r="A296" s="449" t="s">
        <v>1444</v>
      </c>
      <c r="B296" s="450" t="s">
        <v>1635</v>
      </c>
      <c r="C296" s="451" t="s">
        <v>1393</v>
      </c>
      <c r="D296" s="452">
        <v>79.5</v>
      </c>
      <c r="E296" s="452">
        <v>79.599999999999994</v>
      </c>
      <c r="F296" s="452">
        <v>80.400000000000006</v>
      </c>
      <c r="G296" s="452">
        <v>82.3</v>
      </c>
      <c r="H296" s="452">
        <v>84.1</v>
      </c>
      <c r="I296" s="452">
        <v>86.3</v>
      </c>
      <c r="J296" s="452">
        <v>87.2</v>
      </c>
      <c r="K296" s="452">
        <v>88</v>
      </c>
      <c r="L296" s="452">
        <v>87.6</v>
      </c>
      <c r="M296" s="452">
        <v>86</v>
      </c>
      <c r="N296" s="452">
        <v>83.2</v>
      </c>
      <c r="O296" s="452">
        <v>80.8</v>
      </c>
      <c r="P296" s="452">
        <v>83.8</v>
      </c>
      <c r="Q296" s="454">
        <v>2</v>
      </c>
      <c r="R296" s="455">
        <f t="shared" si="4"/>
        <v>83.75</v>
      </c>
    </row>
    <row r="297" spans="1:18" ht="13.5" customHeight="1" x14ac:dyDescent="0.2">
      <c r="A297" s="449" t="s">
        <v>1445</v>
      </c>
      <c r="B297" s="450" t="s">
        <v>1635</v>
      </c>
      <c r="C297" s="451" t="s">
        <v>1393</v>
      </c>
      <c r="D297" s="452">
        <v>79.7</v>
      </c>
      <c r="E297" s="452">
        <v>79.7</v>
      </c>
      <c r="F297" s="452">
        <v>80.3</v>
      </c>
      <c r="G297" s="452">
        <v>81.599999999999994</v>
      </c>
      <c r="H297" s="452">
        <v>83.9</v>
      </c>
      <c r="I297" s="452">
        <v>85.5</v>
      </c>
      <c r="J297" s="452">
        <v>86.3</v>
      </c>
      <c r="K297" s="452">
        <v>87</v>
      </c>
      <c r="L297" s="452">
        <v>87</v>
      </c>
      <c r="M297" s="452">
        <v>86</v>
      </c>
      <c r="N297" s="452">
        <v>83.1</v>
      </c>
      <c r="O297" s="452">
        <v>80.900000000000006</v>
      </c>
      <c r="P297" s="452">
        <v>83.4</v>
      </c>
      <c r="Q297" s="454">
        <v>2</v>
      </c>
      <c r="R297" s="455">
        <f t="shared" si="4"/>
        <v>83.416666666666657</v>
      </c>
    </row>
    <row r="298" spans="1:18" ht="13.5" customHeight="1" x14ac:dyDescent="0.2">
      <c r="A298" s="449" t="s">
        <v>1446</v>
      </c>
      <c r="B298" s="450" t="s">
        <v>1635</v>
      </c>
      <c r="C298" s="451" t="s">
        <v>1393</v>
      </c>
      <c r="D298" s="452">
        <v>77.099999999999994</v>
      </c>
      <c r="E298" s="452">
        <v>76.599999999999994</v>
      </c>
      <c r="F298" s="452">
        <v>77.3</v>
      </c>
      <c r="G298" s="452">
        <v>78.2</v>
      </c>
      <c r="H298" s="452">
        <v>80.5</v>
      </c>
      <c r="I298" s="452">
        <v>82.4</v>
      </c>
      <c r="J298" s="452">
        <v>83.4</v>
      </c>
      <c r="K298" s="452">
        <v>83.9</v>
      </c>
      <c r="L298" s="452">
        <v>84</v>
      </c>
      <c r="M298" s="452">
        <v>82.7</v>
      </c>
      <c r="N298" s="452">
        <v>80</v>
      </c>
      <c r="O298" s="452">
        <v>78.2</v>
      </c>
      <c r="P298" s="452">
        <v>80.400000000000006</v>
      </c>
      <c r="Q298" s="454">
        <v>2</v>
      </c>
      <c r="R298" s="455">
        <f t="shared" si="4"/>
        <v>80.358333333333334</v>
      </c>
    </row>
    <row r="299" spans="1:18" ht="13.5" customHeight="1" x14ac:dyDescent="0.2">
      <c r="A299" s="449" t="s">
        <v>1447</v>
      </c>
      <c r="B299" s="450" t="s">
        <v>1635</v>
      </c>
      <c r="C299" s="451" t="s">
        <v>1393</v>
      </c>
      <c r="D299" s="452">
        <v>38.5</v>
      </c>
      <c r="E299" s="452">
        <v>45.3</v>
      </c>
      <c r="F299" s="452">
        <v>54.4</v>
      </c>
      <c r="G299" s="452">
        <v>61</v>
      </c>
      <c r="H299" s="452">
        <v>71.3</v>
      </c>
      <c r="I299" s="452">
        <v>80</v>
      </c>
      <c r="J299" s="452">
        <v>91.3</v>
      </c>
      <c r="K299" s="452">
        <v>89.3</v>
      </c>
      <c r="L299" s="452">
        <v>79.099999999999994</v>
      </c>
      <c r="M299" s="452">
        <v>64</v>
      </c>
      <c r="N299" s="452">
        <v>47.8</v>
      </c>
      <c r="O299" s="452">
        <v>38.5</v>
      </c>
      <c r="P299" s="452">
        <v>63.4</v>
      </c>
      <c r="Q299" s="454">
        <v>2</v>
      </c>
      <c r="R299" s="455">
        <f t="shared" si="4"/>
        <v>63.375</v>
      </c>
    </row>
    <row r="300" spans="1:18" ht="13.5" customHeight="1" x14ac:dyDescent="0.2">
      <c r="A300" s="449" t="s">
        <v>1448</v>
      </c>
      <c r="B300" s="450" t="s">
        <v>1635</v>
      </c>
      <c r="C300" s="451" t="s">
        <v>1393</v>
      </c>
      <c r="D300" s="452">
        <v>41.1</v>
      </c>
      <c r="E300" s="452">
        <v>46.7</v>
      </c>
      <c r="F300" s="452">
        <v>54.1</v>
      </c>
      <c r="G300" s="452">
        <v>60.9</v>
      </c>
      <c r="H300" s="452">
        <v>70.099999999999994</v>
      </c>
      <c r="I300" s="452">
        <v>77.099999999999994</v>
      </c>
      <c r="J300" s="452">
        <v>88.9</v>
      </c>
      <c r="K300" s="452">
        <v>88.1</v>
      </c>
      <c r="L300" s="452">
        <v>78.2</v>
      </c>
      <c r="M300" s="452">
        <v>61.6</v>
      </c>
      <c r="N300" s="452">
        <v>47.4</v>
      </c>
      <c r="O300" s="452">
        <v>39.700000000000003</v>
      </c>
      <c r="P300" s="452">
        <v>62.8</v>
      </c>
      <c r="Q300" s="454">
        <v>2</v>
      </c>
      <c r="R300" s="455">
        <f t="shared" si="4"/>
        <v>62.82500000000001</v>
      </c>
    </row>
    <row r="301" spans="1:18" ht="13.5" customHeight="1" x14ac:dyDescent="0.2">
      <c r="A301" s="449" t="s">
        <v>1449</v>
      </c>
      <c r="B301" s="450" t="s">
        <v>1635</v>
      </c>
      <c r="C301" s="451" t="s">
        <v>1393</v>
      </c>
      <c r="D301" s="452">
        <v>33.4</v>
      </c>
      <c r="E301" s="452">
        <v>38.1</v>
      </c>
      <c r="F301" s="452">
        <v>49</v>
      </c>
      <c r="G301" s="452">
        <v>57.4</v>
      </c>
      <c r="H301" s="452">
        <v>67.900000000000006</v>
      </c>
      <c r="I301" s="452">
        <v>76.7</v>
      </c>
      <c r="J301" s="452">
        <v>87.9</v>
      </c>
      <c r="K301" s="452">
        <v>86.8</v>
      </c>
      <c r="L301" s="452">
        <v>76</v>
      </c>
      <c r="M301" s="452">
        <v>60.7</v>
      </c>
      <c r="N301" s="452">
        <v>44.5</v>
      </c>
      <c r="O301" s="452">
        <v>33.799999999999997</v>
      </c>
      <c r="P301" s="452">
        <v>59.3</v>
      </c>
      <c r="Q301" s="454">
        <v>2</v>
      </c>
      <c r="R301" s="455">
        <f t="shared" si="4"/>
        <v>59.35</v>
      </c>
    </row>
    <row r="302" spans="1:18" ht="13.5" customHeight="1" x14ac:dyDescent="0.2">
      <c r="A302" s="449" t="s">
        <v>1450</v>
      </c>
      <c r="B302" s="450" t="s">
        <v>1635</v>
      </c>
      <c r="C302" s="451" t="s">
        <v>1393</v>
      </c>
      <c r="D302" s="452">
        <v>30.7</v>
      </c>
      <c r="E302" s="452">
        <v>35.200000000000003</v>
      </c>
      <c r="F302" s="452">
        <v>46</v>
      </c>
      <c r="G302" s="452">
        <v>58.4</v>
      </c>
      <c r="H302" s="452">
        <v>69.099999999999994</v>
      </c>
      <c r="I302" s="452">
        <v>78.900000000000006</v>
      </c>
      <c r="J302" s="452">
        <v>83</v>
      </c>
      <c r="K302" s="452">
        <v>81</v>
      </c>
      <c r="L302" s="452">
        <v>74.2</v>
      </c>
      <c r="M302" s="452">
        <v>61.8</v>
      </c>
      <c r="N302" s="452">
        <v>47.7</v>
      </c>
      <c r="O302" s="452">
        <v>34.9</v>
      </c>
      <c r="P302" s="452">
        <v>58.4</v>
      </c>
      <c r="Q302" s="454">
        <v>2</v>
      </c>
      <c r="R302" s="455">
        <f t="shared" si="4"/>
        <v>58.408333333333331</v>
      </c>
    </row>
    <row r="303" spans="1:18" ht="13.5" customHeight="1" x14ac:dyDescent="0.2">
      <c r="A303" s="449" t="s">
        <v>1451</v>
      </c>
      <c r="B303" s="450" t="s">
        <v>1635</v>
      </c>
      <c r="C303" s="451" t="s">
        <v>1393</v>
      </c>
      <c r="D303" s="452">
        <v>30.5</v>
      </c>
      <c r="E303" s="452">
        <v>35.799999999999997</v>
      </c>
      <c r="F303" s="452">
        <v>48.7</v>
      </c>
      <c r="G303" s="452">
        <v>62.1</v>
      </c>
      <c r="H303" s="452">
        <v>72.3</v>
      </c>
      <c r="I303" s="452">
        <v>81.599999999999994</v>
      </c>
      <c r="J303" s="452">
        <v>84.5</v>
      </c>
      <c r="K303" s="452">
        <v>82.8</v>
      </c>
      <c r="L303" s="452">
        <v>76.2</v>
      </c>
      <c r="M303" s="452">
        <v>63.8</v>
      </c>
      <c r="N303" s="452">
        <v>48.7</v>
      </c>
      <c r="O303" s="452">
        <v>34.9</v>
      </c>
      <c r="P303" s="452">
        <v>60.2</v>
      </c>
      <c r="Q303" s="454">
        <v>2</v>
      </c>
      <c r="R303" s="455">
        <f t="shared" si="4"/>
        <v>60.158333333333331</v>
      </c>
    </row>
    <row r="304" spans="1:18" ht="13.5" customHeight="1" x14ac:dyDescent="0.2">
      <c r="A304" s="449" t="s">
        <v>1452</v>
      </c>
      <c r="B304" s="450" t="s">
        <v>1635</v>
      </c>
      <c r="C304" s="451" t="s">
        <v>1393</v>
      </c>
      <c r="D304" s="452">
        <v>32.1</v>
      </c>
      <c r="E304" s="452">
        <v>37.799999999999997</v>
      </c>
      <c r="F304" s="452">
        <v>50</v>
      </c>
      <c r="G304" s="452">
        <v>62.6</v>
      </c>
      <c r="H304" s="456">
        <v>72.3</v>
      </c>
      <c r="I304" s="452">
        <v>81.400000000000006</v>
      </c>
      <c r="J304" s="452">
        <v>84.5</v>
      </c>
      <c r="K304" s="452">
        <v>83</v>
      </c>
      <c r="L304" s="452">
        <v>76.5</v>
      </c>
      <c r="M304" s="452">
        <v>64.099999999999994</v>
      </c>
      <c r="N304" s="452">
        <v>49.7</v>
      </c>
      <c r="O304" s="452">
        <v>36.4</v>
      </c>
      <c r="P304" s="452">
        <v>60.9</v>
      </c>
      <c r="Q304" s="454">
        <v>2</v>
      </c>
      <c r="R304" s="455">
        <f t="shared" si="4"/>
        <v>60.866666666666674</v>
      </c>
    </row>
    <row r="305" spans="1:18" ht="13.5" customHeight="1" x14ac:dyDescent="0.2">
      <c r="A305" s="449" t="s">
        <v>1453</v>
      </c>
      <c r="B305" s="450" t="s">
        <v>1635</v>
      </c>
      <c r="C305" s="451" t="s">
        <v>1393</v>
      </c>
      <c r="D305" s="452">
        <v>28.3</v>
      </c>
      <c r="E305" s="452">
        <v>33.4</v>
      </c>
      <c r="F305" s="452">
        <v>45.7</v>
      </c>
      <c r="G305" s="452">
        <v>59.4</v>
      </c>
      <c r="H305" s="456">
        <v>70.099999999999994</v>
      </c>
      <c r="I305" s="452">
        <v>79.5</v>
      </c>
      <c r="J305" s="452">
        <v>82.5</v>
      </c>
      <c r="K305" s="452">
        <v>81</v>
      </c>
      <c r="L305" s="452">
        <v>74.2</v>
      </c>
      <c r="M305" s="452">
        <v>61.7</v>
      </c>
      <c r="N305" s="452">
        <v>46.5</v>
      </c>
      <c r="O305" s="452">
        <v>32.799999999999997</v>
      </c>
      <c r="P305" s="452">
        <v>57.9</v>
      </c>
      <c r="Q305" s="454">
        <v>2</v>
      </c>
      <c r="R305" s="455">
        <f t="shared" si="4"/>
        <v>57.925000000000004</v>
      </c>
    </row>
    <row r="306" spans="1:18" ht="13.5" customHeight="1" x14ac:dyDescent="0.2">
      <c r="A306" s="449" t="s">
        <v>1454</v>
      </c>
      <c r="B306" s="450" t="s">
        <v>1635</v>
      </c>
      <c r="C306" s="451" t="s">
        <v>1393</v>
      </c>
      <c r="D306" s="452">
        <v>34.299999999999997</v>
      </c>
      <c r="E306" s="452">
        <v>40.200000000000003</v>
      </c>
      <c r="F306" s="452">
        <v>51.7</v>
      </c>
      <c r="G306" s="452">
        <v>64.3</v>
      </c>
      <c r="H306" s="456">
        <v>73.900000000000006</v>
      </c>
      <c r="I306" s="452">
        <v>82.1</v>
      </c>
      <c r="J306" s="452">
        <v>85</v>
      </c>
      <c r="K306" s="452">
        <v>84.1</v>
      </c>
      <c r="L306" s="452">
        <v>78.2</v>
      </c>
      <c r="M306" s="452">
        <v>66.099999999999994</v>
      </c>
      <c r="N306" s="452">
        <v>51.7</v>
      </c>
      <c r="O306" s="452">
        <v>38.700000000000003</v>
      </c>
      <c r="P306" s="452">
        <v>62.5</v>
      </c>
      <c r="Q306" s="454">
        <v>2</v>
      </c>
      <c r="R306" s="455">
        <f t="shared" si="4"/>
        <v>62.525000000000013</v>
      </c>
    </row>
    <row r="307" spans="1:18" ht="13.5" customHeight="1" x14ac:dyDescent="0.2">
      <c r="A307" s="449" t="s">
        <v>1455</v>
      </c>
      <c r="B307" s="450" t="s">
        <v>1635</v>
      </c>
      <c r="C307" s="451" t="s">
        <v>1393</v>
      </c>
      <c r="D307" s="452">
        <v>40.700000000000003</v>
      </c>
      <c r="E307" s="452">
        <v>45.6</v>
      </c>
      <c r="F307" s="452">
        <v>55.6</v>
      </c>
      <c r="G307" s="452">
        <v>67.2</v>
      </c>
      <c r="H307" s="456">
        <v>76</v>
      </c>
      <c r="I307" s="452">
        <v>84.4</v>
      </c>
      <c r="J307" s="452">
        <v>87.2</v>
      </c>
      <c r="K307" s="452">
        <v>87.3</v>
      </c>
      <c r="L307" s="452">
        <v>80.599999999999994</v>
      </c>
      <c r="M307" s="452">
        <v>69.2</v>
      </c>
      <c r="N307" s="452">
        <v>55.5</v>
      </c>
      <c r="O307" s="452">
        <v>43.8</v>
      </c>
      <c r="P307" s="452">
        <v>66.099999999999994</v>
      </c>
      <c r="Q307" s="454">
        <v>2</v>
      </c>
      <c r="R307" s="455">
        <f t="shared" si="4"/>
        <v>66.091666666666669</v>
      </c>
    </row>
    <row r="308" spans="1:18" ht="13.5" customHeight="1" x14ac:dyDescent="0.2">
      <c r="A308" s="449" t="s">
        <v>1456</v>
      </c>
      <c r="B308" s="450" t="s">
        <v>1635</v>
      </c>
      <c r="C308" s="451" t="s">
        <v>1393</v>
      </c>
      <c r="D308" s="452">
        <v>32</v>
      </c>
      <c r="E308" s="452">
        <v>36.200000000000003</v>
      </c>
      <c r="F308" s="452">
        <v>47.4</v>
      </c>
      <c r="G308" s="452">
        <v>60.7</v>
      </c>
      <c r="H308" s="456">
        <v>70.900000000000006</v>
      </c>
      <c r="I308" s="452">
        <v>80.099999999999994</v>
      </c>
      <c r="J308" s="452">
        <v>83.2</v>
      </c>
      <c r="K308" s="452">
        <v>81.3</v>
      </c>
      <c r="L308" s="452">
        <v>75.5</v>
      </c>
      <c r="M308" s="452">
        <v>63.1</v>
      </c>
      <c r="N308" s="452">
        <v>49</v>
      </c>
      <c r="O308" s="452">
        <v>36.1</v>
      </c>
      <c r="P308" s="452">
        <v>59.6</v>
      </c>
      <c r="Q308" s="454">
        <v>2</v>
      </c>
      <c r="R308" s="455">
        <f t="shared" si="4"/>
        <v>59.625</v>
      </c>
    </row>
    <row r="309" spans="1:18" ht="13.5" customHeight="1" x14ac:dyDescent="0.2">
      <c r="A309" s="449" t="s">
        <v>1457</v>
      </c>
      <c r="B309" s="450" t="s">
        <v>1635</v>
      </c>
      <c r="C309" s="451" t="s">
        <v>1393</v>
      </c>
      <c r="D309" s="452">
        <v>35.6</v>
      </c>
      <c r="E309" s="452">
        <v>40.200000000000003</v>
      </c>
      <c r="F309" s="452">
        <v>51.2</v>
      </c>
      <c r="G309" s="452">
        <v>63.3</v>
      </c>
      <c r="H309" s="456">
        <v>72.3</v>
      </c>
      <c r="I309" s="452">
        <v>81.099999999999994</v>
      </c>
      <c r="J309" s="452">
        <v>84.1</v>
      </c>
      <c r="K309" s="452">
        <v>83.6</v>
      </c>
      <c r="L309" s="452">
        <v>77.3</v>
      </c>
      <c r="M309" s="452">
        <v>65.099999999999994</v>
      </c>
      <c r="N309" s="452">
        <v>51.6</v>
      </c>
      <c r="O309" s="452">
        <v>39.299999999999997</v>
      </c>
      <c r="P309" s="452">
        <v>62</v>
      </c>
      <c r="Q309" s="454">
        <v>2</v>
      </c>
      <c r="R309" s="455">
        <f t="shared" si="4"/>
        <v>62.058333333333337</v>
      </c>
    </row>
    <row r="310" spans="1:18" ht="13.5" customHeight="1" x14ac:dyDescent="0.2">
      <c r="A310" s="449" t="s">
        <v>1458</v>
      </c>
      <c r="B310" s="450" t="s">
        <v>1635</v>
      </c>
      <c r="C310" s="451" t="s">
        <v>1393</v>
      </c>
      <c r="D310" s="452">
        <v>31.3</v>
      </c>
      <c r="E310" s="452">
        <v>35.4</v>
      </c>
      <c r="F310" s="452">
        <v>46.5</v>
      </c>
      <c r="G310" s="452">
        <v>59.5</v>
      </c>
      <c r="H310" s="456">
        <v>69.599999999999994</v>
      </c>
      <c r="I310" s="452">
        <v>79.099999999999994</v>
      </c>
      <c r="J310" s="452">
        <v>82.3</v>
      </c>
      <c r="K310" s="452">
        <v>80.5</v>
      </c>
      <c r="L310" s="452">
        <v>73.900000000000006</v>
      </c>
      <c r="M310" s="452">
        <v>61.7</v>
      </c>
      <c r="N310" s="452">
        <v>47.8</v>
      </c>
      <c r="O310" s="452">
        <v>35.5</v>
      </c>
      <c r="P310" s="452">
        <v>58.6</v>
      </c>
      <c r="Q310" s="454">
        <v>2</v>
      </c>
      <c r="R310" s="455">
        <f t="shared" si="4"/>
        <v>58.591666666666669</v>
      </c>
    </row>
    <row r="311" spans="1:18" ht="13.5" customHeight="1" x14ac:dyDescent="0.2">
      <c r="A311" s="449" t="s">
        <v>1459</v>
      </c>
      <c r="B311" s="450" t="s">
        <v>1635</v>
      </c>
      <c r="C311" s="451" t="s">
        <v>1393</v>
      </c>
      <c r="D311" s="452">
        <v>29.6</v>
      </c>
      <c r="E311" s="452">
        <v>35.5</v>
      </c>
      <c r="F311" s="456">
        <v>48</v>
      </c>
      <c r="G311" s="456">
        <v>61.3</v>
      </c>
      <c r="H311" s="456">
        <v>71.2</v>
      </c>
      <c r="I311" s="452">
        <v>80.5</v>
      </c>
      <c r="J311" s="452">
        <v>84.3</v>
      </c>
      <c r="K311" s="452">
        <v>82.7</v>
      </c>
      <c r="L311" s="452">
        <v>75.5</v>
      </c>
      <c r="M311" s="452">
        <v>62.9</v>
      </c>
      <c r="N311" s="452">
        <v>47.4</v>
      </c>
      <c r="O311" s="452">
        <v>34.5</v>
      </c>
      <c r="P311" s="452">
        <v>59.5</v>
      </c>
      <c r="Q311" s="454">
        <v>2</v>
      </c>
      <c r="R311" s="455">
        <f t="shared" si="4"/>
        <v>59.449999999999989</v>
      </c>
    </row>
    <row r="312" spans="1:18" ht="13.5" customHeight="1" x14ac:dyDescent="0.2">
      <c r="A312" s="449" t="s">
        <v>1460</v>
      </c>
      <c r="B312" s="450" t="s">
        <v>1635</v>
      </c>
      <c r="C312" s="451" t="s">
        <v>1393</v>
      </c>
      <c r="D312" s="452">
        <v>26</v>
      </c>
      <c r="E312" s="452">
        <v>31.1</v>
      </c>
      <c r="F312" s="456">
        <v>43.6</v>
      </c>
      <c r="G312" s="456">
        <v>57.6</v>
      </c>
      <c r="H312" s="456">
        <v>68.400000000000006</v>
      </c>
      <c r="I312" s="452">
        <v>77.599999999999994</v>
      </c>
      <c r="J312" s="452">
        <v>80.400000000000006</v>
      </c>
      <c r="K312" s="452">
        <v>78.900000000000006</v>
      </c>
      <c r="L312" s="452">
        <v>71.900000000000006</v>
      </c>
      <c r="M312" s="452">
        <v>59.5</v>
      </c>
      <c r="N312" s="452">
        <v>44.3</v>
      </c>
      <c r="O312" s="452">
        <v>30.6</v>
      </c>
      <c r="P312" s="452">
        <v>55.8</v>
      </c>
      <c r="Q312" s="454">
        <v>2</v>
      </c>
      <c r="R312" s="455">
        <f t="shared" si="4"/>
        <v>55.824999999999996</v>
      </c>
    </row>
    <row r="313" spans="1:18" ht="13.5" customHeight="1" x14ac:dyDescent="0.2">
      <c r="A313" s="449" t="s">
        <v>1461</v>
      </c>
      <c r="B313" s="450" t="s">
        <v>1635</v>
      </c>
      <c r="C313" s="451" t="s">
        <v>1393</v>
      </c>
      <c r="D313" s="452">
        <v>23.6</v>
      </c>
      <c r="E313" s="452">
        <v>29</v>
      </c>
      <c r="F313" s="456">
        <v>41.6</v>
      </c>
      <c r="G313" s="456">
        <v>57.7</v>
      </c>
      <c r="H313" s="456">
        <v>68.900000000000006</v>
      </c>
      <c r="I313" s="452">
        <v>78.5</v>
      </c>
      <c r="J313" s="452">
        <v>81.599999999999994</v>
      </c>
      <c r="K313" s="452">
        <v>79.400000000000006</v>
      </c>
      <c r="L313" s="452">
        <v>72.900000000000006</v>
      </c>
      <c r="M313" s="452">
        <v>59.8</v>
      </c>
      <c r="N313" s="452">
        <v>42.9</v>
      </c>
      <c r="O313" s="452">
        <v>28.7</v>
      </c>
      <c r="P313" s="452">
        <v>55.4</v>
      </c>
      <c r="Q313" s="454">
        <v>2</v>
      </c>
      <c r="R313" s="455">
        <f t="shared" si="4"/>
        <v>55.383333333333326</v>
      </c>
    </row>
    <row r="314" spans="1:18" ht="13.5" customHeight="1" x14ac:dyDescent="0.2">
      <c r="A314" s="449" t="s">
        <v>1462</v>
      </c>
      <c r="B314" s="450" t="s">
        <v>1635</v>
      </c>
      <c r="C314" s="451" t="s">
        <v>1393</v>
      </c>
      <c r="D314" s="452">
        <v>28.9</v>
      </c>
      <c r="E314" s="452">
        <v>34.700000000000003</v>
      </c>
      <c r="F314" s="456">
        <v>46.7</v>
      </c>
      <c r="G314" s="456">
        <v>61.1</v>
      </c>
      <c r="H314" s="456">
        <v>72.2</v>
      </c>
      <c r="I314" s="452">
        <v>81.2</v>
      </c>
      <c r="J314" s="452">
        <v>84.4</v>
      </c>
      <c r="K314" s="452">
        <v>82.6</v>
      </c>
      <c r="L314" s="452">
        <v>76</v>
      </c>
      <c r="M314" s="452">
        <v>63</v>
      </c>
      <c r="N314" s="452">
        <v>46.2</v>
      </c>
      <c r="O314" s="452">
        <v>32.700000000000003</v>
      </c>
      <c r="P314" s="452">
        <v>59.1</v>
      </c>
      <c r="Q314" s="454">
        <v>2</v>
      </c>
      <c r="R314" s="455">
        <f t="shared" si="4"/>
        <v>59.14166666666668</v>
      </c>
    </row>
    <row r="315" spans="1:18" ht="13.5" customHeight="1" x14ac:dyDescent="0.2">
      <c r="A315" s="449" t="s">
        <v>1463</v>
      </c>
      <c r="B315" s="450" t="s">
        <v>1635</v>
      </c>
      <c r="C315" s="451" t="s">
        <v>1393</v>
      </c>
      <c r="D315" s="452">
        <v>26.3</v>
      </c>
      <c r="E315" s="452">
        <v>31.5</v>
      </c>
      <c r="F315" s="456">
        <v>44.6</v>
      </c>
      <c r="G315" s="456">
        <v>59.6</v>
      </c>
      <c r="H315" s="456">
        <v>70.599999999999994</v>
      </c>
      <c r="I315" s="452">
        <v>80</v>
      </c>
      <c r="J315" s="452">
        <v>82.7</v>
      </c>
      <c r="K315" s="452">
        <v>80.8</v>
      </c>
      <c r="L315" s="452">
        <v>74.7</v>
      </c>
      <c r="M315" s="452">
        <v>61.5</v>
      </c>
      <c r="N315" s="452">
        <v>45.3</v>
      </c>
      <c r="O315" s="452">
        <v>31.2</v>
      </c>
      <c r="P315" s="452">
        <v>57.4</v>
      </c>
      <c r="Q315" s="454">
        <v>2</v>
      </c>
      <c r="R315" s="455">
        <f t="shared" si="4"/>
        <v>57.400000000000006</v>
      </c>
    </row>
    <row r="316" spans="1:18" ht="13.5" customHeight="1" x14ac:dyDescent="0.2">
      <c r="A316" s="449" t="s">
        <v>1464</v>
      </c>
      <c r="B316" s="450" t="s">
        <v>1635</v>
      </c>
      <c r="C316" s="451" t="s">
        <v>1393</v>
      </c>
      <c r="D316" s="452">
        <v>37.6</v>
      </c>
      <c r="E316" s="452">
        <v>43.2</v>
      </c>
      <c r="F316" s="456">
        <v>53.9</v>
      </c>
      <c r="G316" s="456">
        <v>64</v>
      </c>
      <c r="H316" s="456">
        <v>73.7</v>
      </c>
      <c r="I316" s="452">
        <v>84.3</v>
      </c>
      <c r="J316" s="452">
        <v>89.7</v>
      </c>
      <c r="K316" s="452">
        <v>87.9</v>
      </c>
      <c r="L316" s="452">
        <v>79.3</v>
      </c>
      <c r="M316" s="452">
        <v>66.8</v>
      </c>
      <c r="N316" s="452">
        <v>51.6</v>
      </c>
      <c r="O316" s="452">
        <v>40</v>
      </c>
      <c r="P316" s="452">
        <v>64.3</v>
      </c>
      <c r="Q316" s="454">
        <v>2</v>
      </c>
      <c r="R316" s="455">
        <f t="shared" si="4"/>
        <v>64.333333333333329</v>
      </c>
    </row>
    <row r="317" spans="1:18" ht="13.5" customHeight="1" x14ac:dyDescent="0.2">
      <c r="A317" s="449" t="s">
        <v>1465</v>
      </c>
      <c r="B317" s="450" t="s">
        <v>1635</v>
      </c>
      <c r="C317" s="451" t="s">
        <v>1393</v>
      </c>
      <c r="D317" s="452">
        <v>43.6</v>
      </c>
      <c r="E317" s="452">
        <v>48.3</v>
      </c>
      <c r="F317" s="452">
        <v>57.2</v>
      </c>
      <c r="G317" s="452">
        <v>66.7</v>
      </c>
      <c r="H317" s="452">
        <v>76.599999999999994</v>
      </c>
      <c r="I317" s="452">
        <v>86</v>
      </c>
      <c r="J317" s="452">
        <v>91.9</v>
      </c>
      <c r="K317" s="452">
        <v>89.7</v>
      </c>
      <c r="L317" s="452">
        <v>81.5</v>
      </c>
      <c r="M317" s="452">
        <v>69.2</v>
      </c>
      <c r="N317" s="452">
        <v>55.1</v>
      </c>
      <c r="O317" s="452">
        <v>44.6</v>
      </c>
      <c r="P317" s="452">
        <v>67.599999999999994</v>
      </c>
      <c r="Q317" s="454">
        <v>2</v>
      </c>
      <c r="R317" s="455">
        <f t="shared" si="4"/>
        <v>67.533333333333346</v>
      </c>
    </row>
    <row r="318" spans="1:18" ht="13.5" customHeight="1" x14ac:dyDescent="0.2">
      <c r="A318" s="449" t="s">
        <v>1466</v>
      </c>
      <c r="B318" s="450" t="s">
        <v>1635</v>
      </c>
      <c r="C318" s="451" t="s">
        <v>1393</v>
      </c>
      <c r="D318" s="452">
        <v>41.8</v>
      </c>
      <c r="E318" s="452">
        <v>45.4</v>
      </c>
      <c r="F318" s="452">
        <v>54.4</v>
      </c>
      <c r="G318" s="452">
        <v>62.7</v>
      </c>
      <c r="H318" s="452">
        <v>72.900000000000006</v>
      </c>
      <c r="I318" s="452">
        <v>83.2</v>
      </c>
      <c r="J318" s="452">
        <v>89.2</v>
      </c>
      <c r="K318" s="452">
        <v>86.3</v>
      </c>
      <c r="L318" s="452">
        <v>78.5</v>
      </c>
      <c r="M318" s="452">
        <v>65.599999999999994</v>
      </c>
      <c r="N318" s="452">
        <v>51.7</v>
      </c>
      <c r="O318" s="452">
        <v>42.9</v>
      </c>
      <c r="P318" s="452">
        <v>64.5</v>
      </c>
      <c r="Q318" s="454">
        <v>2</v>
      </c>
      <c r="R318" s="455">
        <f t="shared" si="4"/>
        <v>64.55</v>
      </c>
    </row>
    <row r="319" spans="1:18" ht="13.5" customHeight="1" x14ac:dyDescent="0.2">
      <c r="A319" s="449" t="s">
        <v>1467</v>
      </c>
      <c r="B319" s="450" t="s">
        <v>1635</v>
      </c>
      <c r="C319" s="451" t="s">
        <v>1393</v>
      </c>
      <c r="D319" s="452">
        <v>40.700000000000003</v>
      </c>
      <c r="E319" s="452">
        <v>45.6</v>
      </c>
      <c r="F319" s="452">
        <v>55.6</v>
      </c>
      <c r="G319" s="452">
        <v>65.2</v>
      </c>
      <c r="H319" s="452">
        <v>75.099999999999994</v>
      </c>
      <c r="I319" s="452">
        <v>85.6</v>
      </c>
      <c r="J319" s="452">
        <v>91.6</v>
      </c>
      <c r="K319" s="452">
        <v>89.1</v>
      </c>
      <c r="L319" s="452">
        <v>80.7</v>
      </c>
      <c r="M319" s="452">
        <v>68.3</v>
      </c>
      <c r="N319" s="452">
        <v>53.9</v>
      </c>
      <c r="O319" s="452">
        <v>42.3</v>
      </c>
      <c r="P319" s="452">
        <v>66.099999999999994</v>
      </c>
      <c r="Q319" s="454">
        <v>2</v>
      </c>
      <c r="R319" s="455">
        <f t="shared" si="4"/>
        <v>66.141666666666666</v>
      </c>
    </row>
    <row r="320" spans="1:18" ht="13.5" customHeight="1" x14ac:dyDescent="0.2">
      <c r="A320" s="449" t="s">
        <v>1468</v>
      </c>
      <c r="B320" s="450" t="s">
        <v>1635</v>
      </c>
      <c r="C320" s="451" t="s">
        <v>1393</v>
      </c>
      <c r="D320" s="452">
        <v>39</v>
      </c>
      <c r="E320" s="452">
        <v>45.3</v>
      </c>
      <c r="F320" s="452">
        <v>55.7</v>
      </c>
      <c r="G320" s="452">
        <v>65.900000000000006</v>
      </c>
      <c r="H320" s="452">
        <v>75.400000000000006</v>
      </c>
      <c r="I320" s="452">
        <v>83.9</v>
      </c>
      <c r="J320" s="452">
        <v>89</v>
      </c>
      <c r="K320" s="452">
        <v>88.5</v>
      </c>
      <c r="L320" s="452">
        <v>79.599999999999994</v>
      </c>
      <c r="M320" s="452">
        <v>68.099999999999994</v>
      </c>
      <c r="N320" s="452">
        <v>53.9</v>
      </c>
      <c r="O320" s="452">
        <v>42.3</v>
      </c>
      <c r="P320" s="452">
        <v>65.599999999999994</v>
      </c>
      <c r="Q320" s="454">
        <v>2</v>
      </c>
      <c r="R320" s="455">
        <f t="shared" si="4"/>
        <v>65.55</v>
      </c>
    </row>
    <row r="321" spans="1:18" ht="13.5" customHeight="1" x14ac:dyDescent="0.2">
      <c r="A321" s="449" t="s">
        <v>1469</v>
      </c>
      <c r="B321" s="450" t="s">
        <v>1635</v>
      </c>
      <c r="C321" s="451" t="s">
        <v>1393</v>
      </c>
      <c r="D321" s="452">
        <v>42.2</v>
      </c>
      <c r="E321" s="452">
        <v>48.5</v>
      </c>
      <c r="F321" s="452">
        <v>57.3</v>
      </c>
      <c r="G321" s="452">
        <v>67</v>
      </c>
      <c r="H321" s="452">
        <v>76.3</v>
      </c>
      <c r="I321" s="452">
        <v>85.8</v>
      </c>
      <c r="J321" s="452">
        <v>91.3</v>
      </c>
      <c r="K321" s="452">
        <v>90.4</v>
      </c>
      <c r="L321" s="452">
        <v>81.7</v>
      </c>
      <c r="M321" s="452">
        <v>69.599999999999994</v>
      </c>
      <c r="N321" s="452">
        <v>55.7</v>
      </c>
      <c r="O321" s="452">
        <v>44</v>
      </c>
      <c r="P321" s="452">
        <v>67.5</v>
      </c>
      <c r="Q321" s="454">
        <v>2</v>
      </c>
      <c r="R321" s="455">
        <f t="shared" si="4"/>
        <v>67.483333333333348</v>
      </c>
    </row>
    <row r="322" spans="1:18" ht="13.5" customHeight="1" x14ac:dyDescent="0.2">
      <c r="A322" s="449" t="s">
        <v>1470</v>
      </c>
      <c r="B322" s="450" t="s">
        <v>1635</v>
      </c>
      <c r="C322" s="451" t="s">
        <v>1393</v>
      </c>
      <c r="D322" s="452">
        <v>38.299999999999997</v>
      </c>
      <c r="E322" s="452">
        <v>42.3</v>
      </c>
      <c r="F322" s="452">
        <v>52.2</v>
      </c>
      <c r="G322" s="452">
        <v>64.2</v>
      </c>
      <c r="H322" s="452">
        <v>72.900000000000006</v>
      </c>
      <c r="I322" s="452">
        <v>81.2</v>
      </c>
      <c r="J322" s="452">
        <v>84.4</v>
      </c>
      <c r="K322" s="452">
        <v>84.2</v>
      </c>
      <c r="L322" s="452">
        <v>77.5</v>
      </c>
      <c r="M322" s="452">
        <v>65.599999999999994</v>
      </c>
      <c r="N322" s="452">
        <v>52.9</v>
      </c>
      <c r="O322" s="452">
        <v>41.4</v>
      </c>
      <c r="P322" s="452">
        <v>63.1</v>
      </c>
      <c r="Q322" s="454">
        <v>2</v>
      </c>
      <c r="R322" s="455">
        <f t="shared" si="4"/>
        <v>63.091666666666669</v>
      </c>
    </row>
    <row r="323" spans="1:18" ht="13.5" customHeight="1" x14ac:dyDescent="0.2">
      <c r="A323" s="449" t="s">
        <v>1471</v>
      </c>
      <c r="B323" s="450" t="s">
        <v>1635</v>
      </c>
      <c r="C323" s="451" t="s">
        <v>1393</v>
      </c>
      <c r="D323" s="452">
        <v>43.1</v>
      </c>
      <c r="E323" s="452">
        <v>46.9</v>
      </c>
      <c r="F323" s="452">
        <v>56.2</v>
      </c>
      <c r="G323" s="452">
        <v>67.400000000000006</v>
      </c>
      <c r="H323" s="452">
        <v>73.7</v>
      </c>
      <c r="I323" s="452">
        <v>80.400000000000006</v>
      </c>
      <c r="J323" s="452">
        <v>83.2</v>
      </c>
      <c r="K323" s="452">
        <v>83.4</v>
      </c>
      <c r="L323" s="452">
        <v>77.3</v>
      </c>
      <c r="M323" s="452">
        <v>67.400000000000006</v>
      </c>
      <c r="N323" s="452">
        <v>55.9</v>
      </c>
      <c r="O323" s="452">
        <v>46.2</v>
      </c>
      <c r="P323" s="452">
        <v>65.099999999999994</v>
      </c>
      <c r="Q323" s="454">
        <v>2</v>
      </c>
      <c r="R323" s="455">
        <f t="shared" si="4"/>
        <v>65.091666666666669</v>
      </c>
    </row>
    <row r="324" spans="1:18" ht="13.5" customHeight="1" x14ac:dyDescent="0.2">
      <c r="A324" s="449" t="s">
        <v>1472</v>
      </c>
      <c r="B324" s="450" t="s">
        <v>1635</v>
      </c>
      <c r="C324" s="451" t="s">
        <v>1393</v>
      </c>
      <c r="D324" s="452">
        <v>40.799999999999997</v>
      </c>
      <c r="E324" s="452">
        <v>44.8</v>
      </c>
      <c r="F324" s="453">
        <v>54.2</v>
      </c>
      <c r="G324" s="453">
        <v>65.400000000000006</v>
      </c>
      <c r="H324" s="452">
        <v>73.599999999999994</v>
      </c>
      <c r="I324" s="453">
        <v>81.8</v>
      </c>
      <c r="J324" s="452">
        <v>84.9</v>
      </c>
      <c r="K324" s="452">
        <v>84.9</v>
      </c>
      <c r="L324" s="452">
        <v>78.3</v>
      </c>
      <c r="M324" s="452">
        <v>66.900000000000006</v>
      </c>
      <c r="N324" s="452">
        <v>54.4</v>
      </c>
      <c r="O324" s="452">
        <v>43.5</v>
      </c>
      <c r="P324" s="452">
        <v>64.5</v>
      </c>
      <c r="Q324" s="454">
        <v>2</v>
      </c>
      <c r="R324" s="455">
        <f t="shared" ref="R324:R387" si="5">AVERAGE(D324:O324)</f>
        <v>64.458333333333329</v>
      </c>
    </row>
    <row r="325" spans="1:18" ht="13.5" customHeight="1" x14ac:dyDescent="0.2">
      <c r="A325" s="449" t="s">
        <v>1473</v>
      </c>
      <c r="B325" s="450" t="s">
        <v>1635</v>
      </c>
      <c r="C325" s="451" t="s">
        <v>1393</v>
      </c>
      <c r="D325" s="452">
        <v>42.3</v>
      </c>
      <c r="E325" s="452">
        <v>46.8</v>
      </c>
      <c r="F325" s="453">
        <v>56.6</v>
      </c>
      <c r="G325" s="453">
        <v>67.900000000000006</v>
      </c>
      <c r="H325" s="452">
        <v>76</v>
      </c>
      <c r="I325" s="453">
        <v>84.1</v>
      </c>
      <c r="J325" s="452">
        <v>87.3</v>
      </c>
      <c r="K325" s="452">
        <v>87.4</v>
      </c>
      <c r="L325" s="452">
        <v>80.599999999999994</v>
      </c>
      <c r="M325" s="452">
        <v>69.2</v>
      </c>
      <c r="N325" s="452">
        <v>56.6</v>
      </c>
      <c r="O325" s="452">
        <v>44.9</v>
      </c>
      <c r="P325" s="452">
        <v>66.7</v>
      </c>
      <c r="Q325" s="454">
        <v>2</v>
      </c>
      <c r="R325" s="455">
        <f t="shared" si="5"/>
        <v>66.64166666666668</v>
      </c>
    </row>
    <row r="326" spans="1:18" ht="13.5" customHeight="1" x14ac:dyDescent="0.2">
      <c r="A326" s="449" t="s">
        <v>1474</v>
      </c>
      <c r="B326" s="450" t="s">
        <v>1635</v>
      </c>
      <c r="C326" s="451" t="s">
        <v>1393</v>
      </c>
      <c r="D326" s="452">
        <v>43.4</v>
      </c>
      <c r="E326" s="452">
        <v>48.5</v>
      </c>
      <c r="F326" s="453">
        <v>58.3</v>
      </c>
      <c r="G326" s="453">
        <v>69</v>
      </c>
      <c r="H326" s="452">
        <v>77.5</v>
      </c>
      <c r="I326" s="453">
        <v>85.4</v>
      </c>
      <c r="J326" s="452">
        <v>88.3</v>
      </c>
      <c r="K326" s="452">
        <v>88.2</v>
      </c>
      <c r="L326" s="452">
        <v>81.5</v>
      </c>
      <c r="M326" s="452">
        <v>70.599999999999994</v>
      </c>
      <c r="N326" s="452">
        <v>57.3</v>
      </c>
      <c r="O326" s="452">
        <v>46</v>
      </c>
      <c r="P326" s="452">
        <v>67.8</v>
      </c>
      <c r="Q326" s="454">
        <v>2</v>
      </c>
      <c r="R326" s="455">
        <f t="shared" si="5"/>
        <v>67.833333333333329</v>
      </c>
    </row>
    <row r="327" spans="1:18" ht="13.5" customHeight="1" x14ac:dyDescent="0.2">
      <c r="A327" s="449" t="s">
        <v>1475</v>
      </c>
      <c r="B327" s="450" t="s">
        <v>1635</v>
      </c>
      <c r="C327" s="451" t="s">
        <v>1393</v>
      </c>
      <c r="D327" s="452">
        <v>61.6</v>
      </c>
      <c r="E327" s="452">
        <v>65.2</v>
      </c>
      <c r="F327" s="453">
        <v>71.400000000000006</v>
      </c>
      <c r="G327" s="453">
        <v>78</v>
      </c>
      <c r="H327" s="452">
        <v>85</v>
      </c>
      <c r="I327" s="453">
        <v>89.4</v>
      </c>
      <c r="J327" s="452">
        <v>90.9</v>
      </c>
      <c r="K327" s="452">
        <v>91.3</v>
      </c>
      <c r="L327" s="452">
        <v>87.6</v>
      </c>
      <c r="M327" s="452">
        <v>79.7</v>
      </c>
      <c r="N327" s="452">
        <v>70.099999999999994</v>
      </c>
      <c r="O327" s="452">
        <v>63.1</v>
      </c>
      <c r="P327" s="452">
        <v>77.8</v>
      </c>
      <c r="Q327" s="454">
        <v>2</v>
      </c>
      <c r="R327" s="455">
        <f t="shared" si="5"/>
        <v>77.775000000000006</v>
      </c>
    </row>
    <row r="328" spans="1:18" ht="13.5" customHeight="1" x14ac:dyDescent="0.2">
      <c r="A328" s="449" t="s">
        <v>1476</v>
      </c>
      <c r="B328" s="450" t="s">
        <v>1635</v>
      </c>
      <c r="C328" s="451" t="s">
        <v>1393</v>
      </c>
      <c r="D328" s="452">
        <v>61.4</v>
      </c>
      <c r="E328" s="452">
        <v>64.7</v>
      </c>
      <c r="F328" s="453">
        <v>70.8</v>
      </c>
      <c r="G328" s="453">
        <v>77.2</v>
      </c>
      <c r="H328" s="452">
        <v>84.2</v>
      </c>
      <c r="I328" s="453">
        <v>89</v>
      </c>
      <c r="J328" s="452">
        <v>90.6</v>
      </c>
      <c r="K328" s="452">
        <v>91.2</v>
      </c>
      <c r="L328" s="452">
        <v>87.8</v>
      </c>
      <c r="M328" s="452">
        <v>80.3</v>
      </c>
      <c r="N328" s="452">
        <v>70.5</v>
      </c>
      <c r="O328" s="452">
        <v>63.3</v>
      </c>
      <c r="P328" s="452">
        <v>77.599999999999994</v>
      </c>
      <c r="Q328" s="454">
        <v>2</v>
      </c>
      <c r="R328" s="455">
        <f t="shared" si="5"/>
        <v>77.583333333333329</v>
      </c>
    </row>
    <row r="329" spans="1:18" ht="13.5" customHeight="1" x14ac:dyDescent="0.2">
      <c r="A329" s="449" t="s">
        <v>1477</v>
      </c>
      <c r="B329" s="450" t="s">
        <v>1635</v>
      </c>
      <c r="C329" s="451" t="s">
        <v>1393</v>
      </c>
      <c r="D329" s="452">
        <v>61.8</v>
      </c>
      <c r="E329" s="452">
        <v>65.099999999999994</v>
      </c>
      <c r="F329" s="453">
        <v>70.900000000000006</v>
      </c>
      <c r="G329" s="453">
        <v>77.5</v>
      </c>
      <c r="H329" s="452">
        <v>84.7</v>
      </c>
      <c r="I329" s="453">
        <v>88.9</v>
      </c>
      <c r="J329" s="452">
        <v>90.6</v>
      </c>
      <c r="K329" s="452">
        <v>90.4</v>
      </c>
      <c r="L329" s="452">
        <v>87</v>
      </c>
      <c r="M329" s="452">
        <v>79.5</v>
      </c>
      <c r="N329" s="452">
        <v>70.5</v>
      </c>
      <c r="O329" s="452">
        <v>63.6</v>
      </c>
      <c r="P329" s="452">
        <v>77.5</v>
      </c>
      <c r="Q329" s="454">
        <v>2</v>
      </c>
      <c r="R329" s="455">
        <f t="shared" si="5"/>
        <v>77.541666666666671</v>
      </c>
    </row>
    <row r="330" spans="1:18" ht="13.5" customHeight="1" x14ac:dyDescent="0.2">
      <c r="A330" s="449" t="s">
        <v>1478</v>
      </c>
      <c r="B330" s="450" t="s">
        <v>1635</v>
      </c>
      <c r="C330" s="451" t="s">
        <v>1393</v>
      </c>
      <c r="D330" s="452">
        <v>57.2</v>
      </c>
      <c r="E330" s="452">
        <v>61.4</v>
      </c>
      <c r="F330" s="453">
        <v>68.5</v>
      </c>
      <c r="G330" s="453">
        <v>76.099999999999994</v>
      </c>
      <c r="H330" s="452">
        <v>83.3</v>
      </c>
      <c r="I330" s="453">
        <v>89.6</v>
      </c>
      <c r="J330" s="452">
        <v>92.9</v>
      </c>
      <c r="K330" s="452">
        <v>93.3</v>
      </c>
      <c r="L330" s="452">
        <v>87.6</v>
      </c>
      <c r="M330" s="452">
        <v>77.8</v>
      </c>
      <c r="N330" s="452">
        <v>66.5</v>
      </c>
      <c r="O330" s="452">
        <v>58.4</v>
      </c>
      <c r="P330" s="452">
        <v>76</v>
      </c>
      <c r="Q330" s="454">
        <v>2</v>
      </c>
      <c r="R330" s="455">
        <f t="shared" si="5"/>
        <v>76.05</v>
      </c>
    </row>
    <row r="331" spans="1:18" ht="13.5" customHeight="1" x14ac:dyDescent="0.2">
      <c r="A331" s="449" t="s">
        <v>1479</v>
      </c>
      <c r="B331" s="450" t="s">
        <v>1635</v>
      </c>
      <c r="C331" s="451" t="s">
        <v>1393</v>
      </c>
      <c r="D331" s="452">
        <v>27</v>
      </c>
      <c r="E331" s="452">
        <v>30.5</v>
      </c>
      <c r="F331" s="452">
        <v>39.700000000000003</v>
      </c>
      <c r="G331" s="452">
        <v>52.7</v>
      </c>
      <c r="H331" s="452">
        <v>64.900000000000006</v>
      </c>
      <c r="I331" s="452">
        <v>74.400000000000006</v>
      </c>
      <c r="J331" s="452">
        <v>79.099999999999994</v>
      </c>
      <c r="K331" s="452">
        <v>78.3</v>
      </c>
      <c r="L331" s="452">
        <v>69.7</v>
      </c>
      <c r="M331" s="452">
        <v>56.8</v>
      </c>
      <c r="N331" s="452">
        <v>45.1</v>
      </c>
      <c r="O331" s="452">
        <v>33.799999999999997</v>
      </c>
      <c r="P331" s="452">
        <v>54.3</v>
      </c>
      <c r="Q331" s="454">
        <v>2</v>
      </c>
      <c r="R331" s="455">
        <f t="shared" si="5"/>
        <v>54.333333333333336</v>
      </c>
    </row>
    <row r="332" spans="1:18" ht="13.5" customHeight="1" x14ac:dyDescent="0.2">
      <c r="A332" s="449" t="s">
        <v>1480</v>
      </c>
      <c r="B332" s="450" t="s">
        <v>1635</v>
      </c>
      <c r="C332" s="451" t="s">
        <v>1393</v>
      </c>
      <c r="D332" s="452">
        <v>19</v>
      </c>
      <c r="E332" s="452">
        <v>22.9</v>
      </c>
      <c r="F332" s="452">
        <v>33.5</v>
      </c>
      <c r="G332" s="452">
        <v>46.8</v>
      </c>
      <c r="H332" s="452">
        <v>61.6</v>
      </c>
      <c r="I332" s="452">
        <v>71.2</v>
      </c>
      <c r="J332" s="452">
        <v>75.099999999999994</v>
      </c>
      <c r="K332" s="452">
        <v>73.900000000000006</v>
      </c>
      <c r="L332" s="452">
        <v>65.400000000000006</v>
      </c>
      <c r="M332" s="452">
        <v>51.4</v>
      </c>
      <c r="N332" s="452">
        <v>38.5</v>
      </c>
      <c r="O332" s="452">
        <v>26.5</v>
      </c>
      <c r="P332" s="452">
        <v>48.8</v>
      </c>
      <c r="Q332" s="454">
        <v>2</v>
      </c>
      <c r="R332" s="455">
        <f t="shared" si="5"/>
        <v>48.816666666666663</v>
      </c>
    </row>
    <row r="333" spans="1:18" ht="13.5" customHeight="1" x14ac:dyDescent="0.2">
      <c r="A333" s="449" t="s">
        <v>1481</v>
      </c>
      <c r="B333" s="450" t="s">
        <v>1635</v>
      </c>
      <c r="C333" s="451" t="s">
        <v>1393</v>
      </c>
      <c r="D333" s="452">
        <v>30.8</v>
      </c>
      <c r="E333" s="452">
        <v>33.700000000000003</v>
      </c>
      <c r="F333" s="452">
        <v>41.3</v>
      </c>
      <c r="G333" s="452">
        <v>52.8</v>
      </c>
      <c r="H333" s="452">
        <v>62.8</v>
      </c>
      <c r="I333" s="452">
        <v>72.599999999999994</v>
      </c>
      <c r="J333" s="452">
        <v>77.7</v>
      </c>
      <c r="K333" s="452">
        <v>77.2</v>
      </c>
      <c r="L333" s="452">
        <v>69.400000000000006</v>
      </c>
      <c r="M333" s="452">
        <v>57.9</v>
      </c>
      <c r="N333" s="452">
        <v>47.4</v>
      </c>
      <c r="O333" s="452">
        <v>37.200000000000003</v>
      </c>
      <c r="P333" s="452">
        <v>55.1</v>
      </c>
      <c r="Q333" s="454">
        <v>2</v>
      </c>
      <c r="R333" s="455">
        <f t="shared" si="5"/>
        <v>55.066666666666663</v>
      </c>
    </row>
    <row r="334" spans="1:18" ht="13.5" customHeight="1" x14ac:dyDescent="0.2">
      <c r="A334" s="449" t="s">
        <v>1482</v>
      </c>
      <c r="B334" s="450" t="s">
        <v>1635</v>
      </c>
      <c r="C334" s="451" t="s">
        <v>1393</v>
      </c>
      <c r="D334" s="452">
        <v>42.2</v>
      </c>
      <c r="E334" s="452">
        <v>44.7</v>
      </c>
      <c r="F334" s="452">
        <v>53.5</v>
      </c>
      <c r="G334" s="452">
        <v>65.099999999999994</v>
      </c>
      <c r="H334" s="452">
        <v>73.900000000000006</v>
      </c>
      <c r="I334" s="452">
        <v>82.8</v>
      </c>
      <c r="J334" s="452">
        <v>86.9</v>
      </c>
      <c r="K334" s="452">
        <v>85.3</v>
      </c>
      <c r="L334" s="452">
        <v>78</v>
      </c>
      <c r="M334" s="452">
        <v>66.7</v>
      </c>
      <c r="N334" s="452">
        <v>56.2</v>
      </c>
      <c r="O334" s="452">
        <v>45.5</v>
      </c>
      <c r="P334" s="452">
        <v>65</v>
      </c>
      <c r="Q334" s="454">
        <v>2</v>
      </c>
      <c r="R334" s="455">
        <f t="shared" si="5"/>
        <v>65.066666666666677</v>
      </c>
    </row>
    <row r="335" spans="1:18" ht="13.5" customHeight="1" x14ac:dyDescent="0.2">
      <c r="A335" s="449" t="s">
        <v>1483</v>
      </c>
      <c r="B335" s="450" t="s">
        <v>1635</v>
      </c>
      <c r="C335" s="451" t="s">
        <v>1393</v>
      </c>
      <c r="D335" s="452">
        <v>36.200000000000003</v>
      </c>
      <c r="E335" s="452">
        <v>38.299999999999997</v>
      </c>
      <c r="F335" s="452">
        <v>45.1</v>
      </c>
      <c r="G335" s="452">
        <v>55.8</v>
      </c>
      <c r="H335" s="452">
        <v>65.7</v>
      </c>
      <c r="I335" s="452">
        <v>75.8</v>
      </c>
      <c r="J335" s="452">
        <v>80.8</v>
      </c>
      <c r="K335" s="452">
        <v>79.3</v>
      </c>
      <c r="L335" s="452">
        <v>72.099999999999994</v>
      </c>
      <c r="M335" s="452">
        <v>61.3</v>
      </c>
      <c r="N335" s="452">
        <v>51.1</v>
      </c>
      <c r="O335" s="452">
        <v>41.4</v>
      </c>
      <c r="P335" s="452">
        <v>58.6</v>
      </c>
      <c r="Q335" s="454">
        <v>2</v>
      </c>
      <c r="R335" s="455">
        <f t="shared" si="5"/>
        <v>58.574999999999996</v>
      </c>
    </row>
    <row r="336" spans="1:18" ht="13.5" customHeight="1" x14ac:dyDescent="0.2">
      <c r="A336" s="449" t="s">
        <v>1484</v>
      </c>
      <c r="B336" s="450" t="s">
        <v>1635</v>
      </c>
      <c r="C336" s="451" t="s">
        <v>1393</v>
      </c>
      <c r="D336" s="452">
        <v>31.2</v>
      </c>
      <c r="E336" s="452">
        <v>34</v>
      </c>
      <c r="F336" s="452">
        <v>42.2</v>
      </c>
      <c r="G336" s="452">
        <v>55</v>
      </c>
      <c r="H336" s="452">
        <v>65.2</v>
      </c>
      <c r="I336" s="452">
        <v>73.5</v>
      </c>
      <c r="J336" s="452">
        <v>77.900000000000006</v>
      </c>
      <c r="K336" s="452">
        <v>76.7</v>
      </c>
      <c r="L336" s="452">
        <v>68.900000000000006</v>
      </c>
      <c r="M336" s="452">
        <v>57.8</v>
      </c>
      <c r="N336" s="452">
        <v>47.3</v>
      </c>
      <c r="O336" s="452">
        <v>36.6</v>
      </c>
      <c r="P336" s="452">
        <v>55.5</v>
      </c>
      <c r="Q336" s="454">
        <v>2</v>
      </c>
      <c r="R336" s="455">
        <f t="shared" si="5"/>
        <v>55.524999999999999</v>
      </c>
    </row>
    <row r="337" spans="1:18" ht="13.5" customHeight="1" x14ac:dyDescent="0.2">
      <c r="A337" s="449" t="s">
        <v>1485</v>
      </c>
      <c r="B337" s="450" t="s">
        <v>1635</v>
      </c>
      <c r="C337" s="451" t="s">
        <v>1393</v>
      </c>
      <c r="D337" s="452">
        <v>26.9</v>
      </c>
      <c r="E337" s="452">
        <v>29.1</v>
      </c>
      <c r="F337" s="452">
        <v>38.299999999999997</v>
      </c>
      <c r="G337" s="452">
        <v>51.6</v>
      </c>
      <c r="H337" s="456">
        <v>63.9</v>
      </c>
      <c r="I337" s="452">
        <v>74.3</v>
      </c>
      <c r="J337" s="452">
        <v>78</v>
      </c>
      <c r="K337" s="452">
        <v>76.8</v>
      </c>
      <c r="L337" s="452">
        <v>69.099999999999994</v>
      </c>
      <c r="M337" s="452">
        <v>56.1</v>
      </c>
      <c r="N337" s="452">
        <v>43.1</v>
      </c>
      <c r="O337" s="452">
        <v>32.299999999999997</v>
      </c>
      <c r="P337" s="452">
        <v>53.3</v>
      </c>
      <c r="Q337" s="454">
        <v>2</v>
      </c>
      <c r="R337" s="455">
        <f t="shared" si="5"/>
        <v>53.291666666666664</v>
      </c>
    </row>
    <row r="338" spans="1:18" ht="13.5" customHeight="1" x14ac:dyDescent="0.2">
      <c r="A338" s="449" t="s">
        <v>1486</v>
      </c>
      <c r="B338" s="450" t="s">
        <v>1635</v>
      </c>
      <c r="C338" s="451" t="s">
        <v>1393</v>
      </c>
      <c r="D338" s="452">
        <v>31.9</v>
      </c>
      <c r="E338" s="452">
        <v>34.9</v>
      </c>
      <c r="F338" s="452">
        <v>45.4</v>
      </c>
      <c r="G338" s="452">
        <v>58.7</v>
      </c>
      <c r="H338" s="456">
        <v>69.099999999999994</v>
      </c>
      <c r="I338" s="452">
        <v>78.900000000000006</v>
      </c>
      <c r="J338" s="452">
        <v>82.3</v>
      </c>
      <c r="K338" s="452">
        <v>80.7</v>
      </c>
      <c r="L338" s="452">
        <v>73.7</v>
      </c>
      <c r="M338" s="452">
        <v>61.4</v>
      </c>
      <c r="N338" s="452">
        <v>48.1</v>
      </c>
      <c r="O338" s="452">
        <v>36.1</v>
      </c>
      <c r="P338" s="452">
        <v>58.4</v>
      </c>
      <c r="Q338" s="454">
        <v>2</v>
      </c>
      <c r="R338" s="455">
        <f t="shared" si="5"/>
        <v>58.433333333333337</v>
      </c>
    </row>
    <row r="339" spans="1:18" ht="13.5" customHeight="1" x14ac:dyDescent="0.2">
      <c r="A339" s="449" t="s">
        <v>1487</v>
      </c>
      <c r="B339" s="450" t="s">
        <v>1635</v>
      </c>
      <c r="C339" s="451" t="s">
        <v>1393</v>
      </c>
      <c r="D339" s="452">
        <v>32.299999999999997</v>
      </c>
      <c r="E339" s="452">
        <v>35.299999999999997</v>
      </c>
      <c r="F339" s="452">
        <v>45</v>
      </c>
      <c r="G339" s="452">
        <v>58.1</v>
      </c>
      <c r="H339" s="456">
        <v>68.900000000000006</v>
      </c>
      <c r="I339" s="452">
        <v>79</v>
      </c>
      <c r="J339" s="452">
        <v>82.8</v>
      </c>
      <c r="K339" s="452">
        <v>81</v>
      </c>
      <c r="L339" s="452">
        <v>73.8</v>
      </c>
      <c r="M339" s="452">
        <v>61.2</v>
      </c>
      <c r="N339" s="452">
        <v>48.1</v>
      </c>
      <c r="O339" s="452">
        <v>36.5</v>
      </c>
      <c r="P339" s="452">
        <v>58.5</v>
      </c>
      <c r="Q339" s="454">
        <v>2</v>
      </c>
      <c r="R339" s="455">
        <f t="shared" si="5"/>
        <v>58.500000000000007</v>
      </c>
    </row>
    <row r="340" spans="1:18" ht="13.5" customHeight="1" x14ac:dyDescent="0.2">
      <c r="A340" s="449" t="s">
        <v>1488</v>
      </c>
      <c r="B340" s="450" t="s">
        <v>1635</v>
      </c>
      <c r="C340" s="451" t="s">
        <v>1393</v>
      </c>
      <c r="D340" s="452">
        <v>29.8</v>
      </c>
      <c r="E340" s="452">
        <v>33</v>
      </c>
      <c r="F340" s="452">
        <v>43.4</v>
      </c>
      <c r="G340" s="452">
        <v>57.1</v>
      </c>
      <c r="H340" s="456">
        <v>68.099999999999994</v>
      </c>
      <c r="I340" s="452">
        <v>77.900000000000006</v>
      </c>
      <c r="J340" s="452">
        <v>81.099999999999994</v>
      </c>
      <c r="K340" s="452">
        <v>79.400000000000006</v>
      </c>
      <c r="L340" s="452">
        <v>72.400000000000006</v>
      </c>
      <c r="M340" s="452">
        <v>59.7</v>
      </c>
      <c r="N340" s="452">
        <v>46.5</v>
      </c>
      <c r="O340" s="452">
        <v>34.4</v>
      </c>
      <c r="P340" s="452">
        <v>56.9</v>
      </c>
      <c r="Q340" s="454">
        <v>2</v>
      </c>
      <c r="R340" s="455">
        <f t="shared" si="5"/>
        <v>56.9</v>
      </c>
    </row>
    <row r="341" spans="1:18" ht="13.5" customHeight="1" x14ac:dyDescent="0.2">
      <c r="A341" s="449" t="s">
        <v>1489</v>
      </c>
      <c r="B341" s="450" t="s">
        <v>1635</v>
      </c>
      <c r="C341" s="451" t="s">
        <v>1393</v>
      </c>
      <c r="D341" s="452">
        <v>29.8</v>
      </c>
      <c r="E341" s="452">
        <v>32.799999999999997</v>
      </c>
      <c r="F341" s="452">
        <v>43.4</v>
      </c>
      <c r="G341" s="452">
        <v>57.2</v>
      </c>
      <c r="H341" s="456">
        <v>68.2</v>
      </c>
      <c r="I341" s="452">
        <v>77.900000000000006</v>
      </c>
      <c r="J341" s="452">
        <v>81.099999999999994</v>
      </c>
      <c r="K341" s="452">
        <v>79.400000000000006</v>
      </c>
      <c r="L341" s="452">
        <v>72.2</v>
      </c>
      <c r="M341" s="452">
        <v>59.5</v>
      </c>
      <c r="N341" s="452">
        <v>46.1</v>
      </c>
      <c r="O341" s="452">
        <v>34.4</v>
      </c>
      <c r="P341" s="452">
        <v>56.8</v>
      </c>
      <c r="Q341" s="454">
        <v>2</v>
      </c>
      <c r="R341" s="455">
        <f t="shared" si="5"/>
        <v>56.833333333333336</v>
      </c>
    </row>
    <row r="342" spans="1:18" ht="13.5" customHeight="1" x14ac:dyDescent="0.2">
      <c r="A342" s="449" t="s">
        <v>1490</v>
      </c>
      <c r="B342" s="450" t="s">
        <v>1635</v>
      </c>
      <c r="C342" s="451" t="s">
        <v>1393</v>
      </c>
      <c r="D342" s="452">
        <v>26.1</v>
      </c>
      <c r="E342" s="452">
        <v>29.1</v>
      </c>
      <c r="F342" s="452">
        <v>39.700000000000003</v>
      </c>
      <c r="G342" s="452">
        <v>53.5</v>
      </c>
      <c r="H342" s="456">
        <v>65.5</v>
      </c>
      <c r="I342" s="452">
        <v>75.5</v>
      </c>
      <c r="J342" s="452">
        <v>78.599999999999994</v>
      </c>
      <c r="K342" s="452">
        <v>76.900000000000006</v>
      </c>
      <c r="L342" s="452">
        <v>69.099999999999994</v>
      </c>
      <c r="M342" s="452">
        <v>55.8</v>
      </c>
      <c r="N342" s="452">
        <v>42.3</v>
      </c>
      <c r="O342" s="452">
        <v>31</v>
      </c>
      <c r="P342" s="452">
        <v>53.6</v>
      </c>
      <c r="Q342" s="454">
        <v>2</v>
      </c>
      <c r="R342" s="455">
        <f t="shared" si="5"/>
        <v>53.591666666666661</v>
      </c>
    </row>
    <row r="343" spans="1:18" ht="13.5" customHeight="1" x14ac:dyDescent="0.2">
      <c r="A343" s="449" t="s">
        <v>1491</v>
      </c>
      <c r="B343" s="450" t="s">
        <v>1635</v>
      </c>
      <c r="C343" s="451" t="s">
        <v>1393</v>
      </c>
      <c r="D343" s="452">
        <v>29.8</v>
      </c>
      <c r="E343" s="452">
        <v>32.9</v>
      </c>
      <c r="F343" s="452">
        <v>43.6</v>
      </c>
      <c r="G343" s="452">
        <v>57.3</v>
      </c>
      <c r="H343" s="456">
        <v>67.900000000000006</v>
      </c>
      <c r="I343" s="452">
        <v>77.7</v>
      </c>
      <c r="J343" s="452">
        <v>81</v>
      </c>
      <c r="K343" s="452">
        <v>79.2</v>
      </c>
      <c r="L343" s="452">
        <v>72.3</v>
      </c>
      <c r="M343" s="452">
        <v>59.6</v>
      </c>
      <c r="N343" s="452">
        <v>46.3</v>
      </c>
      <c r="O343" s="452">
        <v>34.299999999999997</v>
      </c>
      <c r="P343" s="452">
        <v>56.8</v>
      </c>
      <c r="Q343" s="454">
        <v>2</v>
      </c>
      <c r="R343" s="455">
        <f t="shared" si="5"/>
        <v>56.824999999999996</v>
      </c>
    </row>
    <row r="344" spans="1:18" ht="13.5" customHeight="1" x14ac:dyDescent="0.2">
      <c r="A344" s="449" t="s">
        <v>1492</v>
      </c>
      <c r="B344" s="450" t="s">
        <v>1635</v>
      </c>
      <c r="C344" s="451" t="s">
        <v>1393</v>
      </c>
      <c r="D344" s="452">
        <v>30.6</v>
      </c>
      <c r="E344" s="452">
        <v>33.1</v>
      </c>
      <c r="F344" s="452">
        <v>42.5</v>
      </c>
      <c r="G344" s="452">
        <v>55.2</v>
      </c>
      <c r="H344" s="452">
        <v>65.900000000000006</v>
      </c>
      <c r="I344" s="452">
        <v>75.3</v>
      </c>
      <c r="J344" s="452">
        <v>78.900000000000006</v>
      </c>
      <c r="K344" s="452">
        <v>77.900000000000006</v>
      </c>
      <c r="L344" s="452">
        <v>70.900000000000006</v>
      </c>
      <c r="M344" s="452">
        <v>58.5</v>
      </c>
      <c r="N344" s="452">
        <v>45.9</v>
      </c>
      <c r="O344" s="452">
        <v>35.200000000000003</v>
      </c>
      <c r="P344" s="452">
        <v>55.8</v>
      </c>
      <c r="Q344" s="454">
        <v>2</v>
      </c>
      <c r="R344" s="455">
        <f t="shared" si="5"/>
        <v>55.824999999999996</v>
      </c>
    </row>
    <row r="345" spans="1:18" ht="13.5" customHeight="1" x14ac:dyDescent="0.2">
      <c r="A345" s="449" t="s">
        <v>1493</v>
      </c>
      <c r="B345" s="450" t="s">
        <v>1635</v>
      </c>
      <c r="C345" s="451" t="s">
        <v>1393</v>
      </c>
      <c r="D345" s="452">
        <v>22.2</v>
      </c>
      <c r="E345" s="452">
        <v>25.2</v>
      </c>
      <c r="F345" s="452">
        <v>34.200000000000003</v>
      </c>
      <c r="G345" s="452">
        <v>47.8</v>
      </c>
      <c r="H345" s="452">
        <v>61.1</v>
      </c>
      <c r="I345" s="452">
        <v>70.8</v>
      </c>
      <c r="J345" s="452">
        <v>74.2</v>
      </c>
      <c r="K345" s="452">
        <v>73.8</v>
      </c>
      <c r="L345" s="452">
        <v>65.8</v>
      </c>
      <c r="M345" s="452">
        <v>52.4</v>
      </c>
      <c r="N345" s="452">
        <v>39.6</v>
      </c>
      <c r="O345" s="452">
        <v>29</v>
      </c>
      <c r="P345" s="452">
        <v>49.7</v>
      </c>
      <c r="Q345" s="454">
        <v>2</v>
      </c>
      <c r="R345" s="455">
        <f t="shared" si="5"/>
        <v>49.675000000000004</v>
      </c>
    </row>
    <row r="346" spans="1:18" ht="13.5" customHeight="1" x14ac:dyDescent="0.2">
      <c r="A346" s="449" t="s">
        <v>1494</v>
      </c>
      <c r="B346" s="450" t="s">
        <v>1635</v>
      </c>
      <c r="C346" s="451" t="s">
        <v>1393</v>
      </c>
      <c r="D346" s="452">
        <v>28.3</v>
      </c>
      <c r="E346" s="452">
        <v>30.6</v>
      </c>
      <c r="F346" s="452">
        <v>40.299999999999997</v>
      </c>
      <c r="G346" s="452">
        <v>53.7</v>
      </c>
      <c r="H346" s="452">
        <v>65.599999999999994</v>
      </c>
      <c r="I346" s="452">
        <v>75.900000000000006</v>
      </c>
      <c r="J346" s="452">
        <v>79.400000000000006</v>
      </c>
      <c r="K346" s="452">
        <v>78</v>
      </c>
      <c r="L346" s="452">
        <v>70.400000000000006</v>
      </c>
      <c r="M346" s="452">
        <v>57.5</v>
      </c>
      <c r="N346" s="452">
        <v>44.3</v>
      </c>
      <c r="O346" s="452">
        <v>33.4</v>
      </c>
      <c r="P346" s="452">
        <v>54.8</v>
      </c>
      <c r="Q346" s="454">
        <v>2</v>
      </c>
      <c r="R346" s="455">
        <f t="shared" si="5"/>
        <v>54.783333333333324</v>
      </c>
    </row>
    <row r="347" spans="1:18" ht="13.5" customHeight="1" x14ac:dyDescent="0.2">
      <c r="A347" s="449" t="s">
        <v>1495</v>
      </c>
      <c r="B347" s="450" t="s">
        <v>1635</v>
      </c>
      <c r="C347" s="451" t="s">
        <v>1393</v>
      </c>
      <c r="D347" s="452">
        <v>18.5</v>
      </c>
      <c r="E347" s="452">
        <v>23.9</v>
      </c>
      <c r="F347" s="452">
        <v>34.299999999999997</v>
      </c>
      <c r="G347" s="452">
        <v>48</v>
      </c>
      <c r="H347" s="452">
        <v>61</v>
      </c>
      <c r="I347" s="452">
        <v>69.8</v>
      </c>
      <c r="J347" s="452">
        <v>74.7</v>
      </c>
      <c r="K347" s="452">
        <v>73.599999999999994</v>
      </c>
      <c r="L347" s="452">
        <v>64.7</v>
      </c>
      <c r="M347" s="452">
        <v>51</v>
      </c>
      <c r="N347" s="452">
        <v>35.6</v>
      </c>
      <c r="O347" s="452">
        <v>23</v>
      </c>
      <c r="P347" s="452">
        <v>48.2</v>
      </c>
      <c r="Q347" s="454">
        <v>2</v>
      </c>
      <c r="R347" s="455">
        <f t="shared" si="5"/>
        <v>48.175000000000004</v>
      </c>
    </row>
    <row r="348" spans="1:18" ht="13.5" customHeight="1" x14ac:dyDescent="0.2">
      <c r="A348" s="449" t="s">
        <v>1496</v>
      </c>
      <c r="B348" s="450" t="s">
        <v>1635</v>
      </c>
      <c r="C348" s="451" t="s">
        <v>1393</v>
      </c>
      <c r="D348" s="452">
        <v>15</v>
      </c>
      <c r="E348" s="452">
        <v>21.9</v>
      </c>
      <c r="F348" s="452">
        <v>34.5</v>
      </c>
      <c r="G348" s="452">
        <v>50.4</v>
      </c>
      <c r="H348" s="452">
        <v>63.3</v>
      </c>
      <c r="I348" s="452">
        <v>72.400000000000006</v>
      </c>
      <c r="J348" s="452">
        <v>76.2</v>
      </c>
      <c r="K348" s="452">
        <v>75</v>
      </c>
      <c r="L348" s="452">
        <v>65.400000000000006</v>
      </c>
      <c r="M348" s="452">
        <v>50.6</v>
      </c>
      <c r="N348" s="452">
        <v>33.799999999999997</v>
      </c>
      <c r="O348" s="452">
        <v>20</v>
      </c>
      <c r="P348" s="452">
        <v>48.2</v>
      </c>
      <c r="Q348" s="454">
        <v>2</v>
      </c>
      <c r="R348" s="455">
        <f t="shared" si="5"/>
        <v>48.208333333333336</v>
      </c>
    </row>
    <row r="349" spans="1:18" ht="13.5" customHeight="1" x14ac:dyDescent="0.2">
      <c r="A349" s="449" t="s">
        <v>1497</v>
      </c>
      <c r="B349" s="450" t="s">
        <v>1635</v>
      </c>
      <c r="C349" s="451" t="s">
        <v>1393</v>
      </c>
      <c r="D349" s="452">
        <v>22.8</v>
      </c>
      <c r="E349" s="452">
        <v>28.5</v>
      </c>
      <c r="F349" s="452">
        <v>40.6</v>
      </c>
      <c r="G349" s="452">
        <v>56.7</v>
      </c>
      <c r="H349" s="452">
        <v>68.3</v>
      </c>
      <c r="I349" s="452">
        <v>77.8</v>
      </c>
      <c r="J349" s="452">
        <v>81.900000000000006</v>
      </c>
      <c r="K349" s="452">
        <v>79.8</v>
      </c>
      <c r="L349" s="452">
        <v>71.5</v>
      </c>
      <c r="M349" s="452">
        <v>57.8</v>
      </c>
      <c r="N349" s="452">
        <v>41</v>
      </c>
      <c r="O349" s="452">
        <v>27.7</v>
      </c>
      <c r="P349" s="452">
        <v>54.5</v>
      </c>
      <c r="Q349" s="454">
        <v>2</v>
      </c>
      <c r="R349" s="455">
        <f t="shared" si="5"/>
        <v>54.533333333333339</v>
      </c>
    </row>
    <row r="350" spans="1:18" ht="13.5" customHeight="1" x14ac:dyDescent="0.2">
      <c r="A350" s="449" t="s">
        <v>1498</v>
      </c>
      <c r="B350" s="450" t="s">
        <v>1635</v>
      </c>
      <c r="C350" s="451" t="s">
        <v>1393</v>
      </c>
      <c r="D350" s="452">
        <v>21.8</v>
      </c>
      <c r="E350" s="452">
        <v>26.8</v>
      </c>
      <c r="F350" s="452">
        <v>39.1</v>
      </c>
      <c r="G350" s="452">
        <v>55.3</v>
      </c>
      <c r="H350" s="452">
        <v>67</v>
      </c>
      <c r="I350" s="452">
        <v>76.400000000000006</v>
      </c>
      <c r="J350" s="452">
        <v>79</v>
      </c>
      <c r="K350" s="452">
        <v>77</v>
      </c>
      <c r="L350" s="452">
        <v>70.3</v>
      </c>
      <c r="M350" s="452">
        <v>57.4</v>
      </c>
      <c r="N350" s="452">
        <v>40.700000000000003</v>
      </c>
      <c r="O350" s="452">
        <v>27.1</v>
      </c>
      <c r="P350" s="452">
        <v>53.2</v>
      </c>
      <c r="Q350" s="454">
        <v>2</v>
      </c>
      <c r="R350" s="455">
        <f t="shared" si="5"/>
        <v>53.158333333333331</v>
      </c>
    </row>
    <row r="351" spans="1:18" ht="13.5" customHeight="1" x14ac:dyDescent="0.2">
      <c r="A351" s="449" t="s">
        <v>1499</v>
      </c>
      <c r="B351" s="450" t="s">
        <v>1635</v>
      </c>
      <c r="C351" s="451" t="s">
        <v>1393</v>
      </c>
      <c r="D351" s="452">
        <v>20.399999999999999</v>
      </c>
      <c r="E351" s="452">
        <v>26.3</v>
      </c>
      <c r="F351" s="452">
        <v>38.200000000000003</v>
      </c>
      <c r="G351" s="452">
        <v>55</v>
      </c>
      <c r="H351" s="452">
        <v>67.599999999999994</v>
      </c>
      <c r="I351" s="452">
        <v>76.400000000000006</v>
      </c>
      <c r="J351" s="452">
        <v>80.7</v>
      </c>
      <c r="K351" s="452">
        <v>78.8</v>
      </c>
      <c r="L351" s="452">
        <v>70.3</v>
      </c>
      <c r="M351" s="452">
        <v>56.2</v>
      </c>
      <c r="N351" s="452">
        <v>38.9</v>
      </c>
      <c r="O351" s="452">
        <v>25.4</v>
      </c>
      <c r="P351" s="452">
        <v>52.9</v>
      </c>
      <c r="Q351" s="454">
        <v>2</v>
      </c>
      <c r="R351" s="455">
        <f t="shared" si="5"/>
        <v>52.849999999999994</v>
      </c>
    </row>
    <row r="352" spans="1:18" ht="13.5" customHeight="1" x14ac:dyDescent="0.2">
      <c r="A352" s="449" t="s">
        <v>1500</v>
      </c>
      <c r="B352" s="450" t="s">
        <v>1635</v>
      </c>
      <c r="C352" s="451" t="s">
        <v>1393</v>
      </c>
      <c r="D352" s="452">
        <v>56.5</v>
      </c>
      <c r="E352" s="452">
        <v>60.8</v>
      </c>
      <c r="F352" s="452">
        <v>68.099999999999994</v>
      </c>
      <c r="G352" s="452">
        <v>75.7</v>
      </c>
      <c r="H352" s="452">
        <v>83</v>
      </c>
      <c r="I352" s="452">
        <v>89</v>
      </c>
      <c r="J352" s="452">
        <v>91.1</v>
      </c>
      <c r="K352" s="452">
        <v>91.2</v>
      </c>
      <c r="L352" s="452">
        <v>86.5</v>
      </c>
      <c r="M352" s="452">
        <v>77.099999999999994</v>
      </c>
      <c r="N352" s="452">
        <v>66.3</v>
      </c>
      <c r="O352" s="452">
        <v>58.1</v>
      </c>
      <c r="P352" s="452">
        <v>75.3</v>
      </c>
      <c r="Q352" s="454">
        <v>2</v>
      </c>
      <c r="R352" s="455">
        <f t="shared" si="5"/>
        <v>75.283333333333331</v>
      </c>
    </row>
    <row r="353" spans="1:18" ht="13.5" customHeight="1" x14ac:dyDescent="0.2">
      <c r="A353" s="449" t="s">
        <v>1501</v>
      </c>
      <c r="B353" s="450" t="s">
        <v>1635</v>
      </c>
      <c r="C353" s="451" t="s">
        <v>1393</v>
      </c>
      <c r="D353" s="452">
        <v>57.1</v>
      </c>
      <c r="E353" s="452">
        <v>61.4</v>
      </c>
      <c r="F353" s="452">
        <v>68.8</v>
      </c>
      <c r="G353" s="452">
        <v>76.2</v>
      </c>
      <c r="H353" s="452">
        <v>83.4</v>
      </c>
      <c r="I353" s="452">
        <v>88.8</v>
      </c>
      <c r="J353" s="452">
        <v>91.4</v>
      </c>
      <c r="K353" s="452">
        <v>91.1</v>
      </c>
      <c r="L353" s="452">
        <v>86.5</v>
      </c>
      <c r="M353" s="452">
        <v>77.3</v>
      </c>
      <c r="N353" s="452">
        <v>66.900000000000006</v>
      </c>
      <c r="O353" s="452">
        <v>58.5</v>
      </c>
      <c r="P353" s="452">
        <v>75.599999999999994</v>
      </c>
      <c r="Q353" s="454">
        <v>2</v>
      </c>
      <c r="R353" s="455">
        <f t="shared" si="5"/>
        <v>75.61666666666666</v>
      </c>
    </row>
    <row r="354" spans="1:18" ht="13.5" customHeight="1" x14ac:dyDescent="0.2">
      <c r="A354" s="449" t="s">
        <v>1502</v>
      </c>
      <c r="B354" s="450" t="s">
        <v>1635</v>
      </c>
      <c r="C354" s="451" t="s">
        <v>1393</v>
      </c>
      <c r="D354" s="452">
        <v>51.3</v>
      </c>
      <c r="E354" s="452">
        <v>55.8</v>
      </c>
      <c r="F354" s="452">
        <v>64.3</v>
      </c>
      <c r="G354" s="452">
        <v>73</v>
      </c>
      <c r="H354" s="452">
        <v>80.599999999999994</v>
      </c>
      <c r="I354" s="452">
        <v>87.4</v>
      </c>
      <c r="J354" s="452">
        <v>90.1</v>
      </c>
      <c r="K354" s="452">
        <v>90.1</v>
      </c>
      <c r="L354" s="452">
        <v>84.2</v>
      </c>
      <c r="M354" s="452">
        <v>74.2</v>
      </c>
      <c r="N354" s="452">
        <v>62.9</v>
      </c>
      <c r="O354" s="452">
        <v>52.8</v>
      </c>
      <c r="P354" s="452">
        <v>72.2</v>
      </c>
      <c r="Q354" s="454">
        <v>2</v>
      </c>
      <c r="R354" s="455">
        <f t="shared" si="5"/>
        <v>72.225000000000009</v>
      </c>
    </row>
    <row r="355" spans="1:18" ht="13.5" customHeight="1" x14ac:dyDescent="0.2">
      <c r="A355" s="449" t="s">
        <v>1503</v>
      </c>
      <c r="B355" s="450" t="s">
        <v>1635</v>
      </c>
      <c r="C355" s="451" t="s">
        <v>1393</v>
      </c>
      <c r="D355" s="452">
        <v>37.6</v>
      </c>
      <c r="E355" s="452">
        <v>43.9</v>
      </c>
      <c r="F355" s="452">
        <v>54.5</v>
      </c>
      <c r="G355" s="452">
        <v>65.400000000000006</v>
      </c>
      <c r="H355" s="452">
        <v>74</v>
      </c>
      <c r="I355" s="452">
        <v>82.2</v>
      </c>
      <c r="J355" s="452">
        <v>86.6</v>
      </c>
      <c r="K355" s="452">
        <v>86.5</v>
      </c>
      <c r="L355" s="452">
        <v>77.8</v>
      </c>
      <c r="M355" s="452">
        <v>66.7</v>
      </c>
      <c r="N355" s="452">
        <v>53.2</v>
      </c>
      <c r="O355" s="452">
        <v>41.4</v>
      </c>
      <c r="P355" s="452">
        <v>64.2</v>
      </c>
      <c r="Q355" s="454">
        <v>2</v>
      </c>
      <c r="R355" s="455">
        <f t="shared" si="5"/>
        <v>64.149999999999991</v>
      </c>
    </row>
    <row r="356" spans="1:18" ht="13.5" customHeight="1" x14ac:dyDescent="0.2">
      <c r="A356" s="449" t="s">
        <v>1504</v>
      </c>
      <c r="B356" s="450" t="s">
        <v>1635</v>
      </c>
      <c r="C356" s="451" t="s">
        <v>1393</v>
      </c>
      <c r="D356" s="452">
        <v>37.1</v>
      </c>
      <c r="E356" s="452">
        <v>43.4</v>
      </c>
      <c r="F356" s="452">
        <v>54.2</v>
      </c>
      <c r="G356" s="452">
        <v>64.8</v>
      </c>
      <c r="H356" s="452">
        <v>74.2</v>
      </c>
      <c r="I356" s="452">
        <v>82.7</v>
      </c>
      <c r="J356" s="452">
        <v>87.2</v>
      </c>
      <c r="K356" s="452">
        <v>86.8</v>
      </c>
      <c r="L356" s="452">
        <v>78.099999999999994</v>
      </c>
      <c r="M356" s="452">
        <v>66.5</v>
      </c>
      <c r="N356" s="452">
        <v>52.5</v>
      </c>
      <c r="O356" s="452">
        <v>40.799999999999997</v>
      </c>
      <c r="P356" s="452">
        <v>64</v>
      </c>
      <c r="Q356" s="454">
        <v>2</v>
      </c>
      <c r="R356" s="455">
        <f t="shared" si="5"/>
        <v>64.024999999999991</v>
      </c>
    </row>
    <row r="357" spans="1:18" ht="13.5" customHeight="1" x14ac:dyDescent="0.2">
      <c r="A357" s="449" t="s">
        <v>1505</v>
      </c>
      <c r="B357" s="450" t="s">
        <v>1635</v>
      </c>
      <c r="C357" s="451" t="s">
        <v>1393</v>
      </c>
      <c r="D357" s="452">
        <v>42.3</v>
      </c>
      <c r="E357" s="452">
        <v>48.2</v>
      </c>
      <c r="F357" s="452">
        <v>56.8</v>
      </c>
      <c r="G357" s="452">
        <v>66.599999999999994</v>
      </c>
      <c r="H357" s="452">
        <v>74.5</v>
      </c>
      <c r="I357" s="452">
        <v>82.9</v>
      </c>
      <c r="J357" s="452">
        <v>87.4</v>
      </c>
      <c r="K357" s="452">
        <v>87.9</v>
      </c>
      <c r="L357" s="452">
        <v>79.2</v>
      </c>
      <c r="M357" s="452">
        <v>68.400000000000006</v>
      </c>
      <c r="N357" s="452">
        <v>55.7</v>
      </c>
      <c r="O357" s="452">
        <v>44.8</v>
      </c>
      <c r="P357" s="452">
        <v>66.2</v>
      </c>
      <c r="Q357" s="454">
        <v>2</v>
      </c>
      <c r="R357" s="455">
        <f t="shared" si="5"/>
        <v>66.224999999999994</v>
      </c>
    </row>
    <row r="358" spans="1:18" ht="13.5" customHeight="1" x14ac:dyDescent="0.2">
      <c r="A358" s="449" t="s">
        <v>1506</v>
      </c>
      <c r="B358" s="450" t="s">
        <v>1635</v>
      </c>
      <c r="C358" s="451" t="s">
        <v>1393</v>
      </c>
      <c r="D358" s="452">
        <v>39.200000000000003</v>
      </c>
      <c r="E358" s="452">
        <v>45.1</v>
      </c>
      <c r="F358" s="452">
        <v>55.5</v>
      </c>
      <c r="G358" s="452">
        <v>67</v>
      </c>
      <c r="H358" s="452">
        <v>75.7</v>
      </c>
      <c r="I358" s="452">
        <v>84.3</v>
      </c>
      <c r="J358" s="452">
        <v>88.1</v>
      </c>
      <c r="K358" s="452">
        <v>87.3</v>
      </c>
      <c r="L358" s="452">
        <v>79.400000000000006</v>
      </c>
      <c r="M358" s="452">
        <v>68.2</v>
      </c>
      <c r="N358" s="452">
        <v>54.7</v>
      </c>
      <c r="O358" s="452">
        <v>42.8</v>
      </c>
      <c r="P358" s="452">
        <v>65.599999999999994</v>
      </c>
      <c r="Q358" s="454">
        <v>2</v>
      </c>
      <c r="R358" s="455">
        <f t="shared" si="5"/>
        <v>65.608333333333334</v>
      </c>
    </row>
    <row r="359" spans="1:18" ht="13.5" customHeight="1" x14ac:dyDescent="0.2">
      <c r="A359" s="449" t="s">
        <v>1507</v>
      </c>
      <c r="B359" s="450" t="s">
        <v>1635</v>
      </c>
      <c r="C359" s="451" t="s">
        <v>1393</v>
      </c>
      <c r="D359" s="452">
        <v>39.6</v>
      </c>
      <c r="E359" s="452">
        <v>45.5</v>
      </c>
      <c r="F359" s="452">
        <v>56.3</v>
      </c>
      <c r="G359" s="452">
        <v>67.5</v>
      </c>
      <c r="H359" s="452">
        <v>75.8</v>
      </c>
      <c r="I359" s="452">
        <v>84.1</v>
      </c>
      <c r="J359" s="452">
        <v>88</v>
      </c>
      <c r="K359" s="452">
        <v>87.2</v>
      </c>
      <c r="L359" s="452">
        <v>79.400000000000006</v>
      </c>
      <c r="M359" s="452">
        <v>68.599999999999994</v>
      </c>
      <c r="N359" s="452">
        <v>55.3</v>
      </c>
      <c r="O359" s="452">
        <v>43.3</v>
      </c>
      <c r="P359" s="452">
        <v>65.900000000000006</v>
      </c>
      <c r="Q359" s="454">
        <v>2</v>
      </c>
      <c r="R359" s="455">
        <f t="shared" si="5"/>
        <v>65.883333333333326</v>
      </c>
    </row>
    <row r="360" spans="1:18" ht="13.5" customHeight="1" x14ac:dyDescent="0.2">
      <c r="A360" s="449" t="s">
        <v>1508</v>
      </c>
      <c r="B360" s="450" t="s">
        <v>1635</v>
      </c>
      <c r="C360" s="451" t="s">
        <v>1393</v>
      </c>
      <c r="D360" s="452">
        <v>34.9</v>
      </c>
      <c r="E360" s="452">
        <v>40.1</v>
      </c>
      <c r="F360" s="452">
        <v>48</v>
      </c>
      <c r="G360" s="452">
        <v>56.1</v>
      </c>
      <c r="H360" s="452">
        <v>66.400000000000006</v>
      </c>
      <c r="I360" s="452">
        <v>75.099999999999994</v>
      </c>
      <c r="J360" s="452">
        <v>85.7</v>
      </c>
      <c r="K360" s="452">
        <v>84.8</v>
      </c>
      <c r="L360" s="452">
        <v>73</v>
      </c>
      <c r="M360" s="452">
        <v>58.1</v>
      </c>
      <c r="N360" s="452">
        <v>44.8</v>
      </c>
      <c r="O360" s="452">
        <v>35.299999999999997</v>
      </c>
      <c r="P360" s="452">
        <v>58.5</v>
      </c>
      <c r="Q360" s="454">
        <v>2</v>
      </c>
      <c r="R360" s="455">
        <f t="shared" si="5"/>
        <v>58.524999999999999</v>
      </c>
    </row>
    <row r="361" spans="1:18" ht="13.5" customHeight="1" x14ac:dyDescent="0.2">
      <c r="A361" s="449" t="s">
        <v>1509</v>
      </c>
      <c r="B361" s="450" t="s">
        <v>1635</v>
      </c>
      <c r="C361" s="451" t="s">
        <v>1393</v>
      </c>
      <c r="D361" s="452">
        <v>21.7</v>
      </c>
      <c r="E361" s="452">
        <v>28.4</v>
      </c>
      <c r="F361" s="452">
        <v>41.4</v>
      </c>
      <c r="G361" s="452">
        <v>56.4</v>
      </c>
      <c r="H361" s="452">
        <v>66.5</v>
      </c>
      <c r="I361" s="452">
        <v>74.7</v>
      </c>
      <c r="J361" s="452">
        <v>83.9</v>
      </c>
      <c r="K361" s="452">
        <v>83.7</v>
      </c>
      <c r="L361" s="452">
        <v>72.099999999999994</v>
      </c>
      <c r="M361" s="452">
        <v>55.9</v>
      </c>
      <c r="N361" s="452">
        <v>39.4</v>
      </c>
      <c r="O361" s="452">
        <v>26.3</v>
      </c>
      <c r="P361" s="452">
        <v>54.2</v>
      </c>
      <c r="Q361" s="454">
        <v>2</v>
      </c>
      <c r="R361" s="455">
        <f t="shared" si="5"/>
        <v>54.199999999999989</v>
      </c>
    </row>
    <row r="362" spans="1:18" ht="13.5" customHeight="1" x14ac:dyDescent="0.2">
      <c r="A362" s="449" t="s">
        <v>1510</v>
      </c>
      <c r="B362" s="450" t="s">
        <v>1635</v>
      </c>
      <c r="C362" s="451" t="s">
        <v>1393</v>
      </c>
      <c r="D362" s="452">
        <v>34.1</v>
      </c>
      <c r="E362" s="452">
        <v>38.1</v>
      </c>
      <c r="F362" s="452">
        <v>45.2</v>
      </c>
      <c r="G362" s="452">
        <v>53.9</v>
      </c>
      <c r="H362" s="452">
        <v>63.7</v>
      </c>
      <c r="I362" s="452">
        <v>71.099999999999994</v>
      </c>
      <c r="J362" s="452">
        <v>82.7</v>
      </c>
      <c r="K362" s="452">
        <v>81.5</v>
      </c>
      <c r="L362" s="452">
        <v>70.5</v>
      </c>
      <c r="M362" s="452">
        <v>56.5</v>
      </c>
      <c r="N362" s="452">
        <v>42.7</v>
      </c>
      <c r="O362" s="452">
        <v>35</v>
      </c>
      <c r="P362" s="452">
        <v>56.2</v>
      </c>
      <c r="Q362" s="454">
        <v>2</v>
      </c>
      <c r="R362" s="455">
        <f t="shared" si="5"/>
        <v>56.25</v>
      </c>
    </row>
    <row r="363" spans="1:18" ht="13.5" customHeight="1" x14ac:dyDescent="0.2">
      <c r="A363" s="449" t="s">
        <v>1511</v>
      </c>
      <c r="B363" s="450" t="s">
        <v>1635</v>
      </c>
      <c r="C363" s="451" t="s">
        <v>1393</v>
      </c>
      <c r="D363" s="452">
        <v>26.6</v>
      </c>
      <c r="E363" s="452">
        <v>33.1</v>
      </c>
      <c r="F363" s="452">
        <v>43.8</v>
      </c>
      <c r="G363" s="452">
        <v>56.9</v>
      </c>
      <c r="H363" s="452">
        <v>66.400000000000006</v>
      </c>
      <c r="I363" s="452">
        <v>74</v>
      </c>
      <c r="J363" s="452">
        <v>84.3</v>
      </c>
      <c r="K363" s="452">
        <v>83.5</v>
      </c>
      <c r="L363" s="452">
        <v>72</v>
      </c>
      <c r="M363" s="452">
        <v>57.3</v>
      </c>
      <c r="N363" s="452">
        <v>41.6</v>
      </c>
      <c r="O363" s="452">
        <v>30.6</v>
      </c>
      <c r="P363" s="452">
        <v>55.8</v>
      </c>
      <c r="Q363" s="454">
        <v>2</v>
      </c>
      <c r="R363" s="455">
        <f t="shared" si="5"/>
        <v>55.841666666666669</v>
      </c>
    </row>
    <row r="364" spans="1:18" ht="13.5" customHeight="1" x14ac:dyDescent="0.2">
      <c r="A364" s="449" t="s">
        <v>1512</v>
      </c>
      <c r="B364" s="450" t="s">
        <v>1635</v>
      </c>
      <c r="C364" s="451" t="s">
        <v>1393</v>
      </c>
      <c r="D364" s="452">
        <v>31.2</v>
      </c>
      <c r="E364" s="452">
        <v>37.6</v>
      </c>
      <c r="F364" s="452">
        <v>46.8</v>
      </c>
      <c r="G364" s="452">
        <v>55.6</v>
      </c>
      <c r="H364" s="452">
        <v>65.599999999999994</v>
      </c>
      <c r="I364" s="452">
        <v>73.3</v>
      </c>
      <c r="J364" s="452">
        <v>84.6</v>
      </c>
      <c r="K364" s="452">
        <v>83.3</v>
      </c>
      <c r="L364" s="452">
        <v>72.2</v>
      </c>
      <c r="M364" s="452">
        <v>57</v>
      </c>
      <c r="N364" s="452">
        <v>41.8</v>
      </c>
      <c r="O364" s="452">
        <v>31.6</v>
      </c>
      <c r="P364" s="452">
        <v>56.7</v>
      </c>
      <c r="Q364" s="454">
        <v>2</v>
      </c>
      <c r="R364" s="455">
        <f t="shared" si="5"/>
        <v>56.716666666666661</v>
      </c>
    </row>
    <row r="365" spans="1:18" ht="13.5" customHeight="1" x14ac:dyDescent="0.2">
      <c r="A365" s="449" t="s">
        <v>1513</v>
      </c>
      <c r="B365" s="450" t="s">
        <v>1635</v>
      </c>
      <c r="C365" s="451" t="s">
        <v>1393</v>
      </c>
      <c r="D365" s="452">
        <v>30.2</v>
      </c>
      <c r="E365" s="452">
        <v>35.6</v>
      </c>
      <c r="F365" s="452">
        <v>44.4</v>
      </c>
      <c r="G365" s="452">
        <v>54.4</v>
      </c>
      <c r="H365" s="452">
        <v>64</v>
      </c>
      <c r="I365" s="452">
        <v>70</v>
      </c>
      <c r="J365" s="452">
        <v>80.7</v>
      </c>
      <c r="K365" s="452">
        <v>80.3</v>
      </c>
      <c r="L365" s="452">
        <v>69.5</v>
      </c>
      <c r="M365" s="452">
        <v>53.9</v>
      </c>
      <c r="N365" s="452">
        <v>39.1</v>
      </c>
      <c r="O365" s="452">
        <v>30</v>
      </c>
      <c r="P365" s="452">
        <v>54.4</v>
      </c>
      <c r="Q365" s="454">
        <v>2</v>
      </c>
      <c r="R365" s="455">
        <f t="shared" si="5"/>
        <v>54.341666666666669</v>
      </c>
    </row>
    <row r="366" spans="1:18" ht="13.5" customHeight="1" x14ac:dyDescent="0.2">
      <c r="A366" s="449" t="s">
        <v>1514</v>
      </c>
      <c r="B366" s="450" t="s">
        <v>1635</v>
      </c>
      <c r="C366" s="451" t="s">
        <v>1393</v>
      </c>
      <c r="D366" s="452">
        <v>31.5</v>
      </c>
      <c r="E366" s="452">
        <v>37.6</v>
      </c>
      <c r="F366" s="452">
        <v>48</v>
      </c>
      <c r="G366" s="452">
        <v>55.9</v>
      </c>
      <c r="H366" s="452">
        <v>65.599999999999994</v>
      </c>
      <c r="I366" s="452">
        <v>72.400000000000006</v>
      </c>
      <c r="J366" s="452">
        <v>84.7</v>
      </c>
      <c r="K366" s="452">
        <v>83.5</v>
      </c>
      <c r="L366" s="452">
        <v>72.2</v>
      </c>
      <c r="M366" s="452">
        <v>56</v>
      </c>
      <c r="N366" s="452">
        <v>39.9</v>
      </c>
      <c r="O366" s="452">
        <v>30.8</v>
      </c>
      <c r="P366" s="452">
        <v>56.5</v>
      </c>
      <c r="Q366" s="454">
        <v>2</v>
      </c>
      <c r="R366" s="455">
        <f t="shared" si="5"/>
        <v>56.508333333333326</v>
      </c>
    </row>
    <row r="367" spans="1:18" ht="13.5" customHeight="1" x14ac:dyDescent="0.2">
      <c r="A367" s="449" t="s">
        <v>1515</v>
      </c>
      <c r="B367" s="450" t="s">
        <v>1635</v>
      </c>
      <c r="C367" s="451" t="s">
        <v>1393</v>
      </c>
      <c r="D367" s="452">
        <v>34.700000000000003</v>
      </c>
      <c r="E367" s="452">
        <v>39.700000000000003</v>
      </c>
      <c r="F367" s="452">
        <v>50.4</v>
      </c>
      <c r="G367" s="452">
        <v>61.8</v>
      </c>
      <c r="H367" s="452">
        <v>72</v>
      </c>
      <c r="I367" s="452">
        <v>81.900000000000006</v>
      </c>
      <c r="J367" s="452">
        <v>86.5</v>
      </c>
      <c r="K367" s="452">
        <v>84.7</v>
      </c>
      <c r="L367" s="452">
        <v>77.599999999999994</v>
      </c>
      <c r="M367" s="452">
        <v>64.3</v>
      </c>
      <c r="N367" s="452">
        <v>49.1</v>
      </c>
      <c r="O367" s="452">
        <v>37.4</v>
      </c>
      <c r="P367" s="452">
        <v>61.7</v>
      </c>
      <c r="Q367" s="454">
        <v>2</v>
      </c>
      <c r="R367" s="455">
        <f t="shared" si="5"/>
        <v>61.67499999999999</v>
      </c>
    </row>
    <row r="368" spans="1:18" ht="13.5" customHeight="1" x14ac:dyDescent="0.2">
      <c r="A368" s="449" t="s">
        <v>1516</v>
      </c>
      <c r="B368" s="450" t="s">
        <v>1635</v>
      </c>
      <c r="C368" s="451" t="s">
        <v>1393</v>
      </c>
      <c r="D368" s="452">
        <v>34.1</v>
      </c>
      <c r="E368" s="452">
        <v>39.799999999999997</v>
      </c>
      <c r="F368" s="452">
        <v>51.5</v>
      </c>
      <c r="G368" s="452">
        <v>63.2</v>
      </c>
      <c r="H368" s="452">
        <v>73.5</v>
      </c>
      <c r="I368" s="452">
        <v>82.9</v>
      </c>
      <c r="J368" s="452">
        <v>87.8</v>
      </c>
      <c r="K368" s="452">
        <v>86.1</v>
      </c>
      <c r="L368" s="452">
        <v>78.3</v>
      </c>
      <c r="M368" s="452">
        <v>65.400000000000006</v>
      </c>
      <c r="N368" s="452">
        <v>49.7</v>
      </c>
      <c r="O368" s="452">
        <v>37.799999999999997</v>
      </c>
      <c r="P368" s="452">
        <v>62.5</v>
      </c>
      <c r="Q368" s="454">
        <v>2</v>
      </c>
      <c r="R368" s="455">
        <f t="shared" si="5"/>
        <v>62.508333333333326</v>
      </c>
    </row>
    <row r="369" spans="1:18" ht="13.5" customHeight="1" x14ac:dyDescent="0.2">
      <c r="A369" s="449" t="s">
        <v>1517</v>
      </c>
      <c r="B369" s="450" t="s">
        <v>1635</v>
      </c>
      <c r="C369" s="451" t="s">
        <v>1393</v>
      </c>
      <c r="D369" s="452">
        <v>31.9</v>
      </c>
      <c r="E369" s="452">
        <v>37.1</v>
      </c>
      <c r="F369" s="452">
        <v>48.3</v>
      </c>
      <c r="G369" s="452">
        <v>60.8</v>
      </c>
      <c r="H369" s="452">
        <v>71.7</v>
      </c>
      <c r="I369" s="452">
        <v>80.900000000000006</v>
      </c>
      <c r="J369" s="452">
        <v>85.5</v>
      </c>
      <c r="K369" s="452">
        <v>83.5</v>
      </c>
      <c r="L369" s="452">
        <v>76.3</v>
      </c>
      <c r="M369" s="452">
        <v>63.2</v>
      </c>
      <c r="N369" s="452">
        <v>47.2</v>
      </c>
      <c r="O369" s="452">
        <v>34.799999999999997</v>
      </c>
      <c r="P369" s="452">
        <v>60.1</v>
      </c>
      <c r="Q369" s="454">
        <v>2</v>
      </c>
      <c r="R369" s="455">
        <f t="shared" si="5"/>
        <v>60.1</v>
      </c>
    </row>
    <row r="370" spans="1:18" ht="13.5" customHeight="1" x14ac:dyDescent="0.2">
      <c r="A370" s="449" t="s">
        <v>1518</v>
      </c>
      <c r="B370" s="450" t="s">
        <v>1635</v>
      </c>
      <c r="C370" s="451" t="s">
        <v>1393</v>
      </c>
      <c r="D370" s="452">
        <v>38.700000000000003</v>
      </c>
      <c r="E370" s="452">
        <v>43</v>
      </c>
      <c r="F370" s="452">
        <v>52.1</v>
      </c>
      <c r="G370" s="452">
        <v>60.8</v>
      </c>
      <c r="H370" s="452">
        <v>71.099999999999994</v>
      </c>
      <c r="I370" s="452">
        <v>80.7</v>
      </c>
      <c r="J370" s="453">
        <v>87.2</v>
      </c>
      <c r="K370" s="452">
        <v>85.1</v>
      </c>
      <c r="L370" s="452">
        <v>77.3</v>
      </c>
      <c r="M370" s="452">
        <v>63.7</v>
      </c>
      <c r="N370" s="452">
        <v>49.9</v>
      </c>
      <c r="O370" s="452">
        <v>40</v>
      </c>
      <c r="P370" s="452">
        <v>62.5</v>
      </c>
      <c r="Q370" s="454">
        <v>2</v>
      </c>
      <c r="R370" s="455">
        <f t="shared" si="5"/>
        <v>62.466666666666669</v>
      </c>
    </row>
    <row r="371" spans="1:18" ht="13.5" customHeight="1" x14ac:dyDescent="0.2">
      <c r="A371" s="449" t="s">
        <v>1519</v>
      </c>
      <c r="B371" s="450" t="s">
        <v>1635</v>
      </c>
      <c r="C371" s="451" t="s">
        <v>1393</v>
      </c>
      <c r="D371" s="452">
        <v>31.7</v>
      </c>
      <c r="E371" s="452">
        <v>37.700000000000003</v>
      </c>
      <c r="F371" s="452">
        <v>49.9</v>
      </c>
      <c r="G371" s="452">
        <v>62.7</v>
      </c>
      <c r="H371" s="452">
        <v>73</v>
      </c>
      <c r="I371" s="452">
        <v>82.3</v>
      </c>
      <c r="J371" s="453">
        <v>86.2</v>
      </c>
      <c r="K371" s="452">
        <v>84.4</v>
      </c>
      <c r="L371" s="452">
        <v>77.2</v>
      </c>
      <c r="M371" s="452">
        <v>64.5</v>
      </c>
      <c r="N371" s="452">
        <v>48.4</v>
      </c>
      <c r="O371" s="452">
        <v>35.9</v>
      </c>
      <c r="P371" s="452">
        <v>61.2</v>
      </c>
      <c r="Q371" s="454">
        <v>2</v>
      </c>
      <c r="R371" s="455">
        <f t="shared" si="5"/>
        <v>61.158333333333331</v>
      </c>
    </row>
    <row r="372" spans="1:18" ht="13.5" customHeight="1" x14ac:dyDescent="0.2">
      <c r="A372" s="449" t="s">
        <v>1520</v>
      </c>
      <c r="B372" s="450" t="s">
        <v>1635</v>
      </c>
      <c r="C372" s="451" t="s">
        <v>1393</v>
      </c>
      <c r="D372" s="452">
        <v>39.799999999999997</v>
      </c>
      <c r="E372" s="452">
        <v>44</v>
      </c>
      <c r="F372" s="452">
        <v>52.2</v>
      </c>
      <c r="G372" s="452">
        <v>60</v>
      </c>
      <c r="H372" s="452">
        <v>70.8</v>
      </c>
      <c r="I372" s="452">
        <v>80.8</v>
      </c>
      <c r="J372" s="453">
        <v>88.7</v>
      </c>
      <c r="K372" s="452">
        <v>86.5</v>
      </c>
      <c r="L372" s="452">
        <v>77.2</v>
      </c>
      <c r="M372" s="452">
        <v>63</v>
      </c>
      <c r="N372" s="452">
        <v>49.2</v>
      </c>
      <c r="O372" s="452">
        <v>40.1</v>
      </c>
      <c r="P372" s="452">
        <v>62.7</v>
      </c>
      <c r="Q372" s="454">
        <v>2</v>
      </c>
      <c r="R372" s="455">
        <f t="shared" si="5"/>
        <v>62.69166666666667</v>
      </c>
    </row>
    <row r="373" spans="1:18" ht="13.5" customHeight="1" x14ac:dyDescent="0.2">
      <c r="A373" s="449" t="s">
        <v>1521</v>
      </c>
      <c r="B373" s="450" t="s">
        <v>1635</v>
      </c>
      <c r="C373" s="451" t="s">
        <v>1393</v>
      </c>
      <c r="D373" s="452">
        <v>35.5</v>
      </c>
      <c r="E373" s="452">
        <v>39.5</v>
      </c>
      <c r="F373" s="452">
        <v>48.6</v>
      </c>
      <c r="G373" s="452">
        <v>58.8</v>
      </c>
      <c r="H373" s="452">
        <v>69.900000000000006</v>
      </c>
      <c r="I373" s="452">
        <v>79.400000000000006</v>
      </c>
      <c r="J373" s="453">
        <v>87.3</v>
      </c>
      <c r="K373" s="452">
        <v>86.1</v>
      </c>
      <c r="L373" s="452">
        <v>76.7</v>
      </c>
      <c r="M373" s="452">
        <v>62</v>
      </c>
      <c r="N373" s="452">
        <v>47.4</v>
      </c>
      <c r="O373" s="452">
        <v>37.200000000000003</v>
      </c>
      <c r="P373" s="452">
        <v>60.7</v>
      </c>
      <c r="Q373" s="454">
        <v>2</v>
      </c>
      <c r="R373" s="455">
        <f t="shared" si="5"/>
        <v>60.70000000000001</v>
      </c>
    </row>
    <row r="374" spans="1:18" ht="13.5" customHeight="1" x14ac:dyDescent="0.2">
      <c r="A374" s="449" t="s">
        <v>1522</v>
      </c>
      <c r="B374" s="450" t="s">
        <v>1635</v>
      </c>
      <c r="C374" s="451" t="s">
        <v>1393</v>
      </c>
      <c r="D374" s="452">
        <v>38.9</v>
      </c>
      <c r="E374" s="452">
        <v>41.6</v>
      </c>
      <c r="F374" s="452">
        <v>49.8</v>
      </c>
      <c r="G374" s="452">
        <v>56</v>
      </c>
      <c r="H374" s="452">
        <v>67</v>
      </c>
      <c r="I374" s="452">
        <v>77.7</v>
      </c>
      <c r="J374" s="453">
        <v>86.9</v>
      </c>
      <c r="K374" s="452">
        <v>84.6</v>
      </c>
      <c r="L374" s="452">
        <v>75.599999999999994</v>
      </c>
      <c r="M374" s="452">
        <v>62.1</v>
      </c>
      <c r="N374" s="452">
        <v>48.1</v>
      </c>
      <c r="O374" s="452">
        <v>38.799999999999997</v>
      </c>
      <c r="P374" s="452">
        <v>60.6</v>
      </c>
      <c r="Q374" s="454">
        <v>2</v>
      </c>
      <c r="R374" s="455">
        <f t="shared" si="5"/>
        <v>60.591666666666669</v>
      </c>
    </row>
    <row r="375" spans="1:18" ht="13.5" customHeight="1" x14ac:dyDescent="0.2">
      <c r="A375" s="449" t="s">
        <v>1523</v>
      </c>
      <c r="B375" s="450" t="s">
        <v>1635</v>
      </c>
      <c r="C375" s="451" t="s">
        <v>1393</v>
      </c>
      <c r="D375" s="452">
        <v>57.6</v>
      </c>
      <c r="E375" s="452">
        <v>61.9</v>
      </c>
      <c r="F375" s="452">
        <v>69.8</v>
      </c>
      <c r="G375" s="452">
        <v>77.099999999999994</v>
      </c>
      <c r="H375" s="452">
        <v>88.2</v>
      </c>
      <c r="I375" s="452">
        <v>97.7</v>
      </c>
      <c r="J375" s="457">
        <v>103.7</v>
      </c>
      <c r="K375" s="452">
        <v>101.8</v>
      </c>
      <c r="L375" s="452">
        <v>94</v>
      </c>
      <c r="M375" s="452">
        <v>80.2</v>
      </c>
      <c r="N375" s="452">
        <v>66</v>
      </c>
      <c r="O375" s="452">
        <v>56.3</v>
      </c>
      <c r="P375" s="452">
        <v>79.5</v>
      </c>
      <c r="Q375" s="454">
        <v>2</v>
      </c>
      <c r="R375" s="455">
        <f t="shared" si="5"/>
        <v>79.524999999999991</v>
      </c>
    </row>
    <row r="376" spans="1:18" ht="13.5" customHeight="1" x14ac:dyDescent="0.2">
      <c r="A376" s="449" t="s">
        <v>1524</v>
      </c>
      <c r="B376" s="450" t="s">
        <v>1635</v>
      </c>
      <c r="C376" s="451" t="s">
        <v>1393</v>
      </c>
      <c r="D376" s="452">
        <v>43.4</v>
      </c>
      <c r="E376" s="452">
        <v>50.5</v>
      </c>
      <c r="F376" s="452">
        <v>59.3</v>
      </c>
      <c r="G376" s="452">
        <v>64.7</v>
      </c>
      <c r="H376" s="452">
        <v>75.400000000000006</v>
      </c>
      <c r="I376" s="452">
        <v>84.8</v>
      </c>
      <c r="J376" s="453">
        <v>95.4</v>
      </c>
      <c r="K376" s="452">
        <v>92.8</v>
      </c>
      <c r="L376" s="452">
        <v>83.9</v>
      </c>
      <c r="M376" s="452">
        <v>69.3</v>
      </c>
      <c r="N376" s="452">
        <v>53.9</v>
      </c>
      <c r="O376" s="452">
        <v>43.4</v>
      </c>
      <c r="P376" s="452">
        <v>68.099999999999994</v>
      </c>
      <c r="Q376" s="454">
        <v>2</v>
      </c>
      <c r="R376" s="455">
        <f t="shared" si="5"/>
        <v>68.066666666666649</v>
      </c>
    </row>
    <row r="377" spans="1:18" ht="13.5" customHeight="1" x14ac:dyDescent="0.2">
      <c r="A377" s="449" t="s">
        <v>1525</v>
      </c>
      <c r="B377" s="450" t="s">
        <v>1635</v>
      </c>
      <c r="C377" s="451" t="s">
        <v>1393</v>
      </c>
      <c r="D377" s="452">
        <v>55.2</v>
      </c>
      <c r="E377" s="452">
        <v>58.3</v>
      </c>
      <c r="F377" s="452">
        <v>65.8</v>
      </c>
      <c r="G377" s="452">
        <v>72</v>
      </c>
      <c r="H377" s="452">
        <v>82.9</v>
      </c>
      <c r="I377" s="452">
        <v>92.2</v>
      </c>
      <c r="J377" s="452">
        <v>99</v>
      </c>
      <c r="K377" s="452">
        <v>97.3</v>
      </c>
      <c r="L377" s="452">
        <v>89.6</v>
      </c>
      <c r="M377" s="452">
        <v>76.400000000000006</v>
      </c>
      <c r="N377" s="452">
        <v>63.3</v>
      </c>
      <c r="O377" s="452">
        <v>54.1</v>
      </c>
      <c r="P377" s="452">
        <v>75.5</v>
      </c>
      <c r="Q377" s="454">
        <v>2</v>
      </c>
      <c r="R377" s="455">
        <f t="shared" si="5"/>
        <v>75.50833333333334</v>
      </c>
    </row>
    <row r="378" spans="1:18" ht="13.5" customHeight="1" x14ac:dyDescent="0.2">
      <c r="A378" s="449" t="s">
        <v>1526</v>
      </c>
      <c r="B378" s="450" t="s">
        <v>1635</v>
      </c>
      <c r="C378" s="451" t="s">
        <v>1393</v>
      </c>
      <c r="D378" s="452">
        <v>45.5</v>
      </c>
      <c r="E378" s="452">
        <v>50.3</v>
      </c>
      <c r="F378" s="452">
        <v>57.7</v>
      </c>
      <c r="G378" s="452">
        <v>62.3</v>
      </c>
      <c r="H378" s="452">
        <v>72.599999999999994</v>
      </c>
      <c r="I378" s="452">
        <v>81.900000000000006</v>
      </c>
      <c r="J378" s="452">
        <v>91.7</v>
      </c>
      <c r="K378" s="452">
        <v>89.7</v>
      </c>
      <c r="L378" s="452">
        <v>81.8</v>
      </c>
      <c r="M378" s="452">
        <v>68.5</v>
      </c>
      <c r="N378" s="452">
        <v>54.8</v>
      </c>
      <c r="O378" s="452">
        <v>45.2</v>
      </c>
      <c r="P378" s="452">
        <v>66.8</v>
      </c>
      <c r="Q378" s="454">
        <v>2</v>
      </c>
      <c r="R378" s="455">
        <f t="shared" si="5"/>
        <v>66.833333333333329</v>
      </c>
    </row>
    <row r="379" spans="1:18" ht="13.5" customHeight="1" x14ac:dyDescent="0.2">
      <c r="A379" s="449" t="s">
        <v>1527</v>
      </c>
      <c r="B379" s="450" t="s">
        <v>1635</v>
      </c>
      <c r="C379" s="451" t="s">
        <v>1393</v>
      </c>
      <c r="D379" s="452">
        <v>44.5</v>
      </c>
      <c r="E379" s="452">
        <v>48.3</v>
      </c>
      <c r="F379" s="452">
        <v>56.5</v>
      </c>
      <c r="G379" s="452">
        <v>62.7</v>
      </c>
      <c r="H379" s="452">
        <v>73.5</v>
      </c>
      <c r="I379" s="452">
        <v>83.5</v>
      </c>
      <c r="J379" s="452">
        <v>91.4</v>
      </c>
      <c r="K379" s="452">
        <v>89.2</v>
      </c>
      <c r="L379" s="452">
        <v>80.599999999999994</v>
      </c>
      <c r="M379" s="452">
        <v>67.599999999999994</v>
      </c>
      <c r="N379" s="452">
        <v>53.7</v>
      </c>
      <c r="O379" s="452">
        <v>43.8</v>
      </c>
      <c r="P379" s="452">
        <v>66.3</v>
      </c>
      <c r="Q379" s="454">
        <v>2</v>
      </c>
      <c r="R379" s="455">
        <f t="shared" si="5"/>
        <v>66.275000000000006</v>
      </c>
    </row>
    <row r="380" spans="1:18" ht="13.5" customHeight="1" x14ac:dyDescent="0.2">
      <c r="A380" s="449" t="s">
        <v>1528</v>
      </c>
      <c r="B380" s="450" t="s">
        <v>1635</v>
      </c>
      <c r="C380" s="451" t="s">
        <v>1393</v>
      </c>
      <c r="D380" s="452">
        <v>41.4</v>
      </c>
      <c r="E380" s="452">
        <v>47</v>
      </c>
      <c r="F380" s="452">
        <v>55.3</v>
      </c>
      <c r="G380" s="452">
        <v>60.4</v>
      </c>
      <c r="H380" s="452">
        <v>71.3</v>
      </c>
      <c r="I380" s="452">
        <v>81.5</v>
      </c>
      <c r="J380" s="452">
        <v>92.8</v>
      </c>
      <c r="K380" s="452">
        <v>90.4</v>
      </c>
      <c r="L380" s="452">
        <v>81.099999999999994</v>
      </c>
      <c r="M380" s="452">
        <v>66.099999999999994</v>
      </c>
      <c r="N380" s="452">
        <v>51.3</v>
      </c>
      <c r="O380" s="452">
        <v>41.1</v>
      </c>
      <c r="P380" s="452">
        <v>65</v>
      </c>
      <c r="Q380" s="454">
        <v>2</v>
      </c>
      <c r="R380" s="455">
        <f t="shared" si="5"/>
        <v>64.975000000000009</v>
      </c>
    </row>
    <row r="381" spans="1:18" ht="13.5" customHeight="1" x14ac:dyDescent="0.2">
      <c r="A381" s="449" t="s">
        <v>1529</v>
      </c>
      <c r="B381" s="450" t="s">
        <v>1635</v>
      </c>
      <c r="C381" s="451" t="s">
        <v>1393</v>
      </c>
      <c r="D381" s="452">
        <v>30.5</v>
      </c>
      <c r="E381" s="452">
        <v>34</v>
      </c>
      <c r="F381" s="452">
        <v>43</v>
      </c>
      <c r="G381" s="452">
        <v>57</v>
      </c>
      <c r="H381" s="452">
        <v>68.099999999999994</v>
      </c>
      <c r="I381" s="452">
        <v>77</v>
      </c>
      <c r="J381" s="452">
        <v>81.400000000000006</v>
      </c>
      <c r="K381" s="452">
        <v>80.599999999999994</v>
      </c>
      <c r="L381" s="452">
        <v>72.3</v>
      </c>
      <c r="M381" s="452">
        <v>59.8</v>
      </c>
      <c r="N381" s="452">
        <v>47.8</v>
      </c>
      <c r="O381" s="452">
        <v>36.299999999999997</v>
      </c>
      <c r="P381" s="452">
        <v>57.3</v>
      </c>
      <c r="Q381" s="454">
        <v>2</v>
      </c>
      <c r="R381" s="455">
        <f t="shared" si="5"/>
        <v>57.316666666666656</v>
      </c>
    </row>
    <row r="382" spans="1:18" ht="13.5" customHeight="1" x14ac:dyDescent="0.2">
      <c r="A382" s="449" t="s">
        <v>1530</v>
      </c>
      <c r="B382" s="450" t="s">
        <v>1635</v>
      </c>
      <c r="C382" s="451" t="s">
        <v>1393</v>
      </c>
      <c r="D382" s="452">
        <v>42.4</v>
      </c>
      <c r="E382" s="452">
        <v>44</v>
      </c>
      <c r="F382" s="452">
        <v>51.4</v>
      </c>
      <c r="G382" s="452">
        <v>62</v>
      </c>
      <c r="H382" s="452">
        <v>71</v>
      </c>
      <c r="I382" s="452">
        <v>79.900000000000006</v>
      </c>
      <c r="J382" s="452">
        <v>84.8</v>
      </c>
      <c r="K382" s="452">
        <v>83.4</v>
      </c>
      <c r="L382" s="452">
        <v>76.900000000000006</v>
      </c>
      <c r="M382" s="452">
        <v>66.2</v>
      </c>
      <c r="N382" s="452">
        <v>55.9</v>
      </c>
      <c r="O382" s="452">
        <v>46.1</v>
      </c>
      <c r="P382" s="452">
        <v>63.7</v>
      </c>
      <c r="Q382" s="454">
        <v>2</v>
      </c>
      <c r="R382" s="455">
        <f t="shared" si="5"/>
        <v>63.666666666666679</v>
      </c>
    </row>
    <row r="383" spans="1:18" ht="13.5" customHeight="1" x14ac:dyDescent="0.2">
      <c r="A383" s="449" t="s">
        <v>1531</v>
      </c>
      <c r="B383" s="450" t="s">
        <v>1635</v>
      </c>
      <c r="C383" s="451" t="s">
        <v>1393</v>
      </c>
      <c r="D383" s="452">
        <v>39.6</v>
      </c>
      <c r="E383" s="452">
        <v>42.1</v>
      </c>
      <c r="F383" s="452">
        <v>50.5</v>
      </c>
      <c r="G383" s="452">
        <v>62</v>
      </c>
      <c r="H383" s="452">
        <v>72</v>
      </c>
      <c r="I383" s="452">
        <v>81.3</v>
      </c>
      <c r="J383" s="452">
        <v>85.7</v>
      </c>
      <c r="K383" s="452">
        <v>84.2</v>
      </c>
      <c r="L383" s="452">
        <v>76.7</v>
      </c>
      <c r="M383" s="452">
        <v>65.2</v>
      </c>
      <c r="N383" s="452">
        <v>54.6</v>
      </c>
      <c r="O383" s="452">
        <v>43.8</v>
      </c>
      <c r="P383" s="452">
        <v>63.1</v>
      </c>
      <c r="Q383" s="454">
        <v>2</v>
      </c>
      <c r="R383" s="455">
        <f t="shared" si="5"/>
        <v>63.141666666666673</v>
      </c>
    </row>
    <row r="384" spans="1:18" ht="13.5" customHeight="1" x14ac:dyDescent="0.2">
      <c r="A384" s="449" t="s">
        <v>1532</v>
      </c>
      <c r="B384" s="450" t="s">
        <v>1635</v>
      </c>
      <c r="C384" s="451" t="s">
        <v>1393</v>
      </c>
      <c r="D384" s="452">
        <v>48.1</v>
      </c>
      <c r="E384" s="452">
        <v>53.7</v>
      </c>
      <c r="F384" s="452">
        <v>61.2</v>
      </c>
      <c r="G384" s="452">
        <v>69.400000000000006</v>
      </c>
      <c r="H384" s="452">
        <v>79.8</v>
      </c>
      <c r="I384" s="452">
        <v>88.8</v>
      </c>
      <c r="J384" s="452">
        <v>90.5</v>
      </c>
      <c r="K384" s="452">
        <v>87.8</v>
      </c>
      <c r="L384" s="452">
        <v>81.400000000000006</v>
      </c>
      <c r="M384" s="452">
        <v>69.900000000000006</v>
      </c>
      <c r="N384" s="452">
        <v>56.6</v>
      </c>
      <c r="O384" s="452">
        <v>47.1</v>
      </c>
      <c r="P384" s="452">
        <v>69.5</v>
      </c>
      <c r="Q384" s="454">
        <v>2</v>
      </c>
      <c r="R384" s="455">
        <f t="shared" si="5"/>
        <v>69.524999999999991</v>
      </c>
    </row>
    <row r="385" spans="1:18" ht="13.5" customHeight="1" x14ac:dyDescent="0.2">
      <c r="A385" s="449" t="s">
        <v>1533</v>
      </c>
      <c r="B385" s="450" t="s">
        <v>1635</v>
      </c>
      <c r="C385" s="451" t="s">
        <v>1393</v>
      </c>
      <c r="D385" s="452">
        <v>44.1</v>
      </c>
      <c r="E385" s="452">
        <v>48.7</v>
      </c>
      <c r="F385" s="452">
        <v>56.4</v>
      </c>
      <c r="G385" s="452">
        <v>64</v>
      </c>
      <c r="H385" s="452">
        <v>74.3</v>
      </c>
      <c r="I385" s="452">
        <v>83.9</v>
      </c>
      <c r="J385" s="452">
        <v>87.5</v>
      </c>
      <c r="K385" s="452">
        <v>84.3</v>
      </c>
      <c r="L385" s="452">
        <v>78.5</v>
      </c>
      <c r="M385" s="452">
        <v>67</v>
      </c>
      <c r="N385" s="452">
        <v>54.2</v>
      </c>
      <c r="O385" s="452">
        <v>44</v>
      </c>
      <c r="P385" s="452">
        <v>65.599999999999994</v>
      </c>
      <c r="Q385" s="454">
        <v>2</v>
      </c>
      <c r="R385" s="455">
        <f t="shared" si="5"/>
        <v>65.575000000000003</v>
      </c>
    </row>
    <row r="386" spans="1:18" ht="13.5" customHeight="1" x14ac:dyDescent="0.2">
      <c r="A386" s="449" t="s">
        <v>1534</v>
      </c>
      <c r="B386" s="450" t="s">
        <v>1635</v>
      </c>
      <c r="C386" s="451" t="s">
        <v>1393</v>
      </c>
      <c r="D386" s="452">
        <v>55.6</v>
      </c>
      <c r="E386" s="452">
        <v>61.3</v>
      </c>
      <c r="F386" s="452">
        <v>68.400000000000006</v>
      </c>
      <c r="G386" s="452">
        <v>77</v>
      </c>
      <c r="H386" s="452">
        <v>86.1</v>
      </c>
      <c r="I386" s="452">
        <v>93.7</v>
      </c>
      <c r="J386" s="452">
        <v>93.9</v>
      </c>
      <c r="K386" s="452">
        <v>91.9</v>
      </c>
      <c r="L386" s="452">
        <v>86</v>
      </c>
      <c r="M386" s="452">
        <v>76</v>
      </c>
      <c r="N386" s="452">
        <v>64</v>
      </c>
      <c r="O386" s="452">
        <v>55.3</v>
      </c>
      <c r="P386" s="452">
        <v>75.8</v>
      </c>
      <c r="Q386" s="454">
        <v>2</v>
      </c>
      <c r="R386" s="455">
        <f t="shared" si="5"/>
        <v>75.766666666666666</v>
      </c>
    </row>
    <row r="387" spans="1:18" ht="13.5" customHeight="1" x14ac:dyDescent="0.2">
      <c r="A387" s="449" t="s">
        <v>1535</v>
      </c>
      <c r="B387" s="450" t="s">
        <v>1635</v>
      </c>
      <c r="C387" s="451" t="s">
        <v>1393</v>
      </c>
      <c r="D387" s="452">
        <v>31</v>
      </c>
      <c r="E387" s="452">
        <v>34.1</v>
      </c>
      <c r="F387" s="452">
        <v>43.8</v>
      </c>
      <c r="G387" s="452">
        <v>57.8</v>
      </c>
      <c r="H387" s="452">
        <v>68.7</v>
      </c>
      <c r="I387" s="452">
        <v>77.599999999999994</v>
      </c>
      <c r="J387" s="452">
        <v>81.3</v>
      </c>
      <c r="K387" s="452">
        <v>80</v>
      </c>
      <c r="L387" s="452">
        <v>72</v>
      </c>
      <c r="M387" s="452">
        <v>59.3</v>
      </c>
      <c r="N387" s="452">
        <v>47.7</v>
      </c>
      <c r="O387" s="452">
        <v>35.9</v>
      </c>
      <c r="P387" s="452">
        <v>57.4</v>
      </c>
      <c r="Q387" s="454">
        <v>2</v>
      </c>
      <c r="R387" s="455">
        <f t="shared" si="5"/>
        <v>57.43333333333333</v>
      </c>
    </row>
    <row r="388" spans="1:18" ht="13.5" customHeight="1" x14ac:dyDescent="0.2">
      <c r="A388" s="449" t="s">
        <v>1536</v>
      </c>
      <c r="B388" s="450" t="s">
        <v>1635</v>
      </c>
      <c r="C388" s="451" t="s">
        <v>1393</v>
      </c>
      <c r="D388" s="452">
        <v>29.2</v>
      </c>
      <c r="E388" s="452">
        <v>31.7</v>
      </c>
      <c r="F388" s="452">
        <v>40.5</v>
      </c>
      <c r="G388" s="452">
        <v>54.1</v>
      </c>
      <c r="H388" s="452">
        <v>65.2</v>
      </c>
      <c r="I388" s="452">
        <v>73.599999999999994</v>
      </c>
      <c r="J388" s="452">
        <v>77.099999999999994</v>
      </c>
      <c r="K388" s="452">
        <v>76.2</v>
      </c>
      <c r="L388" s="452">
        <v>68.400000000000006</v>
      </c>
      <c r="M388" s="452">
        <v>56.4</v>
      </c>
      <c r="N388" s="452">
        <v>44.8</v>
      </c>
      <c r="O388" s="452">
        <v>33.5</v>
      </c>
      <c r="P388" s="452">
        <v>54.2</v>
      </c>
      <c r="Q388" s="454">
        <v>2</v>
      </c>
      <c r="R388" s="455">
        <f t="shared" ref="R388:R451" si="6">AVERAGE(D388:O388)</f>
        <v>54.224999999999994</v>
      </c>
    </row>
    <row r="389" spans="1:18" ht="13.5" customHeight="1" x14ac:dyDescent="0.2">
      <c r="A389" s="449" t="s">
        <v>1537</v>
      </c>
      <c r="B389" s="450" t="s">
        <v>1635</v>
      </c>
      <c r="C389" s="451" t="s">
        <v>1393</v>
      </c>
      <c r="D389" s="452">
        <v>31.5</v>
      </c>
      <c r="E389" s="452">
        <v>32.9</v>
      </c>
      <c r="F389" s="452">
        <v>41.3</v>
      </c>
      <c r="G389" s="452">
        <v>54.7</v>
      </c>
      <c r="H389" s="452">
        <v>66.099999999999994</v>
      </c>
      <c r="I389" s="452">
        <v>75.3</v>
      </c>
      <c r="J389" s="452">
        <v>78.900000000000006</v>
      </c>
      <c r="K389" s="452">
        <v>78.099999999999994</v>
      </c>
      <c r="L389" s="452">
        <v>71.099999999999994</v>
      </c>
      <c r="M389" s="452">
        <v>58.7</v>
      </c>
      <c r="N389" s="452">
        <v>47.4</v>
      </c>
      <c r="O389" s="452">
        <v>36.1</v>
      </c>
      <c r="P389" s="452">
        <v>56</v>
      </c>
      <c r="Q389" s="454">
        <v>2</v>
      </c>
      <c r="R389" s="455">
        <f t="shared" si="6"/>
        <v>56.008333333333347</v>
      </c>
    </row>
    <row r="390" spans="1:18" ht="13.5" customHeight="1" x14ac:dyDescent="0.2">
      <c r="A390" s="449" t="s">
        <v>1538</v>
      </c>
      <c r="B390" s="450" t="s">
        <v>1635</v>
      </c>
      <c r="C390" s="451" t="s">
        <v>1393</v>
      </c>
      <c r="D390" s="452">
        <v>38.9</v>
      </c>
      <c r="E390" s="452">
        <v>40.4</v>
      </c>
      <c r="F390" s="452">
        <v>47.3</v>
      </c>
      <c r="G390" s="452">
        <v>58</v>
      </c>
      <c r="H390" s="452">
        <v>67.599999999999994</v>
      </c>
      <c r="I390" s="452">
        <v>76.599999999999994</v>
      </c>
      <c r="J390" s="452">
        <v>81.8</v>
      </c>
      <c r="K390" s="452">
        <v>80.5</v>
      </c>
      <c r="L390" s="452">
        <v>73.8</v>
      </c>
      <c r="M390" s="452">
        <v>63.2</v>
      </c>
      <c r="N390" s="452">
        <v>53.3</v>
      </c>
      <c r="O390" s="452">
        <v>43.9</v>
      </c>
      <c r="P390" s="452">
        <v>60.5</v>
      </c>
      <c r="Q390" s="454">
        <v>2</v>
      </c>
      <c r="R390" s="455">
        <f t="shared" si="6"/>
        <v>60.441666666666663</v>
      </c>
    </row>
    <row r="391" spans="1:18" ht="13.5" customHeight="1" x14ac:dyDescent="0.2">
      <c r="A391" s="449" t="s">
        <v>1539</v>
      </c>
      <c r="B391" s="450" t="s">
        <v>1635</v>
      </c>
      <c r="C391" s="451" t="s">
        <v>1393</v>
      </c>
      <c r="D391" s="452">
        <v>24.3</v>
      </c>
      <c r="E391" s="452">
        <v>27.4</v>
      </c>
      <c r="F391" s="452">
        <v>37.9</v>
      </c>
      <c r="G391" s="452">
        <v>53.7</v>
      </c>
      <c r="H391" s="452">
        <v>66.900000000000006</v>
      </c>
      <c r="I391" s="452">
        <v>75.7</v>
      </c>
      <c r="J391" s="452">
        <v>79.400000000000006</v>
      </c>
      <c r="K391" s="452">
        <v>78.099999999999994</v>
      </c>
      <c r="L391" s="452">
        <v>70.099999999999994</v>
      </c>
      <c r="M391" s="452">
        <v>56.5</v>
      </c>
      <c r="N391" s="452">
        <v>44.2</v>
      </c>
      <c r="O391" s="452">
        <v>31.3</v>
      </c>
      <c r="P391" s="452">
        <v>53.8</v>
      </c>
      <c r="Q391" s="454">
        <v>2</v>
      </c>
      <c r="R391" s="455">
        <f t="shared" si="6"/>
        <v>53.791666666666679</v>
      </c>
    </row>
    <row r="392" spans="1:18" ht="13.5" customHeight="1" x14ac:dyDescent="0.2">
      <c r="A392" s="449" t="s">
        <v>1540</v>
      </c>
      <c r="B392" s="450" t="s">
        <v>1635</v>
      </c>
      <c r="C392" s="451" t="s">
        <v>1393</v>
      </c>
      <c r="D392" s="452">
        <v>39.6</v>
      </c>
      <c r="E392" s="452">
        <v>41.6</v>
      </c>
      <c r="F392" s="452">
        <v>49</v>
      </c>
      <c r="G392" s="452">
        <v>60.5</v>
      </c>
      <c r="H392" s="452">
        <v>70.3</v>
      </c>
      <c r="I392" s="452">
        <v>79.8</v>
      </c>
      <c r="J392" s="452">
        <v>84.7</v>
      </c>
      <c r="K392" s="452">
        <v>83.2</v>
      </c>
      <c r="L392" s="452">
        <v>75.900000000000006</v>
      </c>
      <c r="M392" s="452">
        <v>64.7</v>
      </c>
      <c r="N392" s="452">
        <v>54.1</v>
      </c>
      <c r="O392" s="452">
        <v>44.1</v>
      </c>
      <c r="P392" s="452">
        <v>62.3</v>
      </c>
      <c r="Q392" s="454">
        <v>2</v>
      </c>
      <c r="R392" s="455">
        <f t="shared" si="6"/>
        <v>62.291666666666679</v>
      </c>
    </row>
    <row r="393" spans="1:18" ht="13.5" customHeight="1" x14ac:dyDescent="0.2">
      <c r="A393" s="449" t="s">
        <v>1541</v>
      </c>
      <c r="B393" s="450" t="s">
        <v>1635</v>
      </c>
      <c r="C393" s="451" t="s">
        <v>1393</v>
      </c>
      <c r="D393" s="452">
        <v>39.200000000000003</v>
      </c>
      <c r="E393" s="452">
        <v>41</v>
      </c>
      <c r="F393" s="452">
        <v>48.2</v>
      </c>
      <c r="G393" s="452">
        <v>58.5</v>
      </c>
      <c r="H393" s="452">
        <v>67.8</v>
      </c>
      <c r="I393" s="452">
        <v>77.2</v>
      </c>
      <c r="J393" s="452">
        <v>82.4</v>
      </c>
      <c r="K393" s="452">
        <v>81.400000000000006</v>
      </c>
      <c r="L393" s="452">
        <v>75</v>
      </c>
      <c r="M393" s="452">
        <v>63.8</v>
      </c>
      <c r="N393" s="452">
        <v>53.5</v>
      </c>
      <c r="O393" s="452">
        <v>43.6</v>
      </c>
      <c r="P393" s="452">
        <v>61</v>
      </c>
      <c r="Q393" s="454">
        <v>2</v>
      </c>
      <c r="R393" s="455">
        <f t="shared" si="6"/>
        <v>60.966666666666661</v>
      </c>
    </row>
    <row r="394" spans="1:18" ht="13.5" customHeight="1" x14ac:dyDescent="0.2">
      <c r="A394" s="449" t="s">
        <v>1542</v>
      </c>
      <c r="B394" s="450" t="s">
        <v>1635</v>
      </c>
      <c r="C394" s="451" t="s">
        <v>1393</v>
      </c>
      <c r="D394" s="452">
        <v>31.9</v>
      </c>
      <c r="E394" s="452">
        <v>33.799999999999997</v>
      </c>
      <c r="F394" s="452">
        <v>42.1</v>
      </c>
      <c r="G394" s="452">
        <v>55.6</v>
      </c>
      <c r="H394" s="452">
        <v>67.099999999999994</v>
      </c>
      <c r="I394" s="452">
        <v>76.400000000000006</v>
      </c>
      <c r="J394" s="452">
        <v>80</v>
      </c>
      <c r="K394" s="452">
        <v>78.8</v>
      </c>
      <c r="L394" s="452">
        <v>71.5</v>
      </c>
      <c r="M394" s="452">
        <v>59.3</v>
      </c>
      <c r="N394" s="452">
        <v>47.7</v>
      </c>
      <c r="O394" s="452">
        <v>36.6</v>
      </c>
      <c r="P394" s="452">
        <v>56.7</v>
      </c>
      <c r="Q394" s="454">
        <v>2</v>
      </c>
      <c r="R394" s="455">
        <f t="shared" si="6"/>
        <v>56.733333333333341</v>
      </c>
    </row>
    <row r="395" spans="1:18" ht="13.5" customHeight="1" x14ac:dyDescent="0.2">
      <c r="A395" s="449" t="s">
        <v>1543</v>
      </c>
      <c r="B395" s="450" t="s">
        <v>1635</v>
      </c>
      <c r="C395" s="451" t="s">
        <v>1393</v>
      </c>
      <c r="D395" s="452">
        <v>31.3</v>
      </c>
      <c r="E395" s="452">
        <v>33.200000000000003</v>
      </c>
      <c r="F395" s="452">
        <v>42.1</v>
      </c>
      <c r="G395" s="452">
        <v>56.5</v>
      </c>
      <c r="H395" s="452">
        <v>68</v>
      </c>
      <c r="I395" s="452">
        <v>77.099999999999994</v>
      </c>
      <c r="J395" s="452">
        <v>80.599999999999994</v>
      </c>
      <c r="K395" s="452">
        <v>79.7</v>
      </c>
      <c r="L395" s="452">
        <v>72</v>
      </c>
      <c r="M395" s="452">
        <v>59.4</v>
      </c>
      <c r="N395" s="452">
        <v>47.9</v>
      </c>
      <c r="O395" s="452">
        <v>36.4</v>
      </c>
      <c r="P395" s="452">
        <v>57</v>
      </c>
      <c r="Q395" s="454">
        <v>2</v>
      </c>
      <c r="R395" s="455">
        <f t="shared" si="6"/>
        <v>57.016666666666659</v>
      </c>
    </row>
    <row r="396" spans="1:18" ht="13.5" customHeight="1" x14ac:dyDescent="0.2">
      <c r="A396" s="449" t="s">
        <v>1544</v>
      </c>
      <c r="B396" s="450" t="s">
        <v>1635</v>
      </c>
      <c r="C396" s="451" t="s">
        <v>1393</v>
      </c>
      <c r="D396" s="452">
        <v>47.5</v>
      </c>
      <c r="E396" s="452">
        <v>50.3</v>
      </c>
      <c r="F396" s="452">
        <v>57.7</v>
      </c>
      <c r="G396" s="452">
        <v>67.3</v>
      </c>
      <c r="H396" s="452">
        <v>74</v>
      </c>
      <c r="I396" s="452">
        <v>80</v>
      </c>
      <c r="J396" s="452">
        <v>83</v>
      </c>
      <c r="K396" s="452">
        <v>82.1</v>
      </c>
      <c r="L396" s="452">
        <v>76.2</v>
      </c>
      <c r="M396" s="452">
        <v>67.400000000000006</v>
      </c>
      <c r="N396" s="452">
        <v>57.9</v>
      </c>
      <c r="O396" s="452">
        <v>48.8</v>
      </c>
      <c r="P396" s="452">
        <v>66</v>
      </c>
      <c r="Q396" s="454">
        <v>2</v>
      </c>
      <c r="R396" s="455">
        <f t="shared" si="6"/>
        <v>66.016666666666666</v>
      </c>
    </row>
    <row r="397" spans="1:18" ht="13.5" customHeight="1" x14ac:dyDescent="0.2">
      <c r="A397" s="449" t="s">
        <v>1545</v>
      </c>
      <c r="B397" s="450" t="s">
        <v>1635</v>
      </c>
      <c r="C397" s="451" t="s">
        <v>1393</v>
      </c>
      <c r="D397" s="452">
        <v>51.5</v>
      </c>
      <c r="E397" s="452">
        <v>55</v>
      </c>
      <c r="F397" s="452">
        <v>62.9</v>
      </c>
      <c r="G397" s="452">
        <v>71.900000000000006</v>
      </c>
      <c r="H397" s="452">
        <v>78.7</v>
      </c>
      <c r="I397" s="452">
        <v>85.5</v>
      </c>
      <c r="J397" s="452">
        <v>88.6</v>
      </c>
      <c r="K397" s="452">
        <v>87.4</v>
      </c>
      <c r="L397" s="452">
        <v>81.3</v>
      </c>
      <c r="M397" s="452">
        <v>71.8</v>
      </c>
      <c r="N397" s="452">
        <v>62.1</v>
      </c>
      <c r="O397" s="452">
        <v>52.9</v>
      </c>
      <c r="P397" s="452">
        <v>70.8</v>
      </c>
      <c r="Q397" s="454">
        <v>2</v>
      </c>
      <c r="R397" s="455">
        <f t="shared" si="6"/>
        <v>70.8</v>
      </c>
    </row>
    <row r="398" spans="1:18" ht="13.5" customHeight="1" x14ac:dyDescent="0.2">
      <c r="A398" s="449" t="s">
        <v>1546</v>
      </c>
      <c r="B398" s="450" t="s">
        <v>1635</v>
      </c>
      <c r="C398" s="451" t="s">
        <v>1393</v>
      </c>
      <c r="D398" s="452">
        <v>51</v>
      </c>
      <c r="E398" s="452">
        <v>54.2</v>
      </c>
      <c r="F398" s="452">
        <v>62.4</v>
      </c>
      <c r="G398" s="452">
        <v>71.599999999999994</v>
      </c>
      <c r="H398" s="452">
        <v>78.5</v>
      </c>
      <c r="I398" s="452">
        <v>85.9</v>
      </c>
      <c r="J398" s="452">
        <v>89.1</v>
      </c>
      <c r="K398" s="452">
        <v>87.7</v>
      </c>
      <c r="L398" s="452">
        <v>81.2</v>
      </c>
      <c r="M398" s="452">
        <v>71.7</v>
      </c>
      <c r="N398" s="452">
        <v>62.3</v>
      </c>
      <c r="O398" s="452">
        <v>52.8</v>
      </c>
      <c r="P398" s="452">
        <v>70.7</v>
      </c>
      <c r="Q398" s="454">
        <v>2</v>
      </c>
      <c r="R398" s="455">
        <f t="shared" si="6"/>
        <v>70.7</v>
      </c>
    </row>
    <row r="399" spans="1:18" ht="13.5" customHeight="1" x14ac:dyDescent="0.2">
      <c r="A399" s="449" t="s">
        <v>1547</v>
      </c>
      <c r="B399" s="450" t="s">
        <v>1635</v>
      </c>
      <c r="C399" s="451" t="s">
        <v>1393</v>
      </c>
      <c r="D399" s="452">
        <v>48.4</v>
      </c>
      <c r="E399" s="452">
        <v>51.7</v>
      </c>
      <c r="F399" s="452">
        <v>60</v>
      </c>
      <c r="G399" s="452">
        <v>69.7</v>
      </c>
      <c r="H399" s="452">
        <v>76.5</v>
      </c>
      <c r="I399" s="452">
        <v>83.7</v>
      </c>
      <c r="J399" s="452">
        <v>86.8</v>
      </c>
      <c r="K399" s="452">
        <v>85.6</v>
      </c>
      <c r="L399" s="452">
        <v>79</v>
      </c>
      <c r="M399" s="452">
        <v>69.599999999999994</v>
      </c>
      <c r="N399" s="452">
        <v>59.8</v>
      </c>
      <c r="O399" s="452">
        <v>50.1</v>
      </c>
      <c r="P399" s="452">
        <v>68.400000000000006</v>
      </c>
      <c r="Q399" s="454">
        <v>2</v>
      </c>
      <c r="R399" s="455">
        <f t="shared" si="6"/>
        <v>68.408333333333331</v>
      </c>
    </row>
    <row r="400" spans="1:18" ht="13.5" customHeight="1" x14ac:dyDescent="0.2">
      <c r="A400" s="449" t="s">
        <v>1548</v>
      </c>
      <c r="B400" s="450" t="s">
        <v>1635</v>
      </c>
      <c r="C400" s="451" t="s">
        <v>1393</v>
      </c>
      <c r="D400" s="452">
        <v>56.3</v>
      </c>
      <c r="E400" s="452">
        <v>58.8</v>
      </c>
      <c r="F400" s="452">
        <v>65.5</v>
      </c>
      <c r="G400" s="452">
        <v>73.7</v>
      </c>
      <c r="H400" s="452">
        <v>79.7</v>
      </c>
      <c r="I400" s="452">
        <v>85.7</v>
      </c>
      <c r="J400" s="452">
        <v>88.7</v>
      </c>
      <c r="K400" s="452">
        <v>87.2</v>
      </c>
      <c r="L400" s="452">
        <v>82.6</v>
      </c>
      <c r="M400" s="452">
        <v>74.8</v>
      </c>
      <c r="N400" s="452">
        <v>66.7</v>
      </c>
      <c r="O400" s="452">
        <v>58.4</v>
      </c>
      <c r="P400" s="452">
        <v>73.2</v>
      </c>
      <c r="Q400" s="454">
        <v>2</v>
      </c>
      <c r="R400" s="455">
        <f t="shared" si="6"/>
        <v>73.174999999999997</v>
      </c>
    </row>
    <row r="401" spans="1:18" ht="13.5" customHeight="1" x14ac:dyDescent="0.2">
      <c r="A401" s="449" t="s">
        <v>1549</v>
      </c>
      <c r="B401" s="450" t="s">
        <v>1635</v>
      </c>
      <c r="C401" s="451" t="s">
        <v>1393</v>
      </c>
      <c r="D401" s="452">
        <v>21.6</v>
      </c>
      <c r="E401" s="452">
        <v>27.6</v>
      </c>
      <c r="F401" s="452">
        <v>39.9</v>
      </c>
      <c r="G401" s="452">
        <v>55.9</v>
      </c>
      <c r="H401" s="452">
        <v>67.3</v>
      </c>
      <c r="I401" s="452">
        <v>76.2</v>
      </c>
      <c r="J401" s="452">
        <v>83.4</v>
      </c>
      <c r="K401" s="452">
        <v>83</v>
      </c>
      <c r="L401" s="452">
        <v>72.3</v>
      </c>
      <c r="M401" s="452">
        <v>56.7</v>
      </c>
      <c r="N401" s="452">
        <v>39.5</v>
      </c>
      <c r="O401" s="452">
        <v>26.8</v>
      </c>
      <c r="P401" s="452">
        <v>54.2</v>
      </c>
      <c r="Q401" s="454">
        <v>2</v>
      </c>
      <c r="R401" s="455">
        <f t="shared" si="6"/>
        <v>54.18333333333333</v>
      </c>
    </row>
    <row r="402" spans="1:18" ht="13.5" customHeight="1" x14ac:dyDescent="0.2">
      <c r="A402" s="449" t="s">
        <v>1550</v>
      </c>
      <c r="B402" s="450" t="s">
        <v>1635</v>
      </c>
      <c r="C402" s="451" t="s">
        <v>1393</v>
      </c>
      <c r="D402" s="452">
        <v>16.7</v>
      </c>
      <c r="E402" s="452">
        <v>22.7</v>
      </c>
      <c r="F402" s="452">
        <v>35.200000000000003</v>
      </c>
      <c r="G402" s="452">
        <v>54.3</v>
      </c>
      <c r="H402" s="452">
        <v>67.599999999999994</v>
      </c>
      <c r="I402" s="452">
        <v>76.3</v>
      </c>
      <c r="J402" s="452">
        <v>80.5</v>
      </c>
      <c r="K402" s="452">
        <v>80</v>
      </c>
      <c r="L402" s="452">
        <v>70.8</v>
      </c>
      <c r="M402" s="452">
        <v>55.2</v>
      </c>
      <c r="N402" s="452">
        <v>37.1</v>
      </c>
      <c r="O402" s="452">
        <v>22.7</v>
      </c>
      <c r="P402" s="452">
        <v>51.6</v>
      </c>
      <c r="Q402" s="454">
        <v>2</v>
      </c>
      <c r="R402" s="455">
        <f t="shared" si="6"/>
        <v>51.591666666666669</v>
      </c>
    </row>
    <row r="403" spans="1:18" ht="13.5" customHeight="1" x14ac:dyDescent="0.2">
      <c r="A403" s="449" t="s">
        <v>1551</v>
      </c>
      <c r="B403" s="450" t="s">
        <v>1635</v>
      </c>
      <c r="C403" s="451" t="s">
        <v>1393</v>
      </c>
      <c r="D403" s="452">
        <v>19.399999999999999</v>
      </c>
      <c r="E403" s="452">
        <v>24.9</v>
      </c>
      <c r="F403" s="452">
        <v>36.4</v>
      </c>
      <c r="G403" s="452">
        <v>53.9</v>
      </c>
      <c r="H403" s="452">
        <v>65.400000000000006</v>
      </c>
      <c r="I403" s="453">
        <v>73.7</v>
      </c>
      <c r="J403" s="452">
        <v>80.2</v>
      </c>
      <c r="K403" s="452">
        <v>80.5</v>
      </c>
      <c r="L403" s="452">
        <v>70.099999999999994</v>
      </c>
      <c r="M403" s="452">
        <v>54.4</v>
      </c>
      <c r="N403" s="452">
        <v>36.700000000000003</v>
      </c>
      <c r="O403" s="452">
        <v>23.9</v>
      </c>
      <c r="P403" s="452">
        <v>51.6</v>
      </c>
      <c r="Q403" s="454">
        <v>2</v>
      </c>
      <c r="R403" s="455">
        <f t="shared" si="6"/>
        <v>51.625</v>
      </c>
    </row>
    <row r="404" spans="1:18" ht="13.5" customHeight="1" x14ac:dyDescent="0.2">
      <c r="A404" s="449" t="s">
        <v>1552</v>
      </c>
      <c r="B404" s="450" t="s">
        <v>1635</v>
      </c>
      <c r="C404" s="451" t="s">
        <v>1393</v>
      </c>
      <c r="D404" s="452">
        <v>20.3</v>
      </c>
      <c r="E404" s="452">
        <v>26.9</v>
      </c>
      <c r="F404" s="452">
        <v>39.299999999999997</v>
      </c>
      <c r="G404" s="452">
        <v>55.5</v>
      </c>
      <c r="H404" s="452">
        <v>66</v>
      </c>
      <c r="I404" s="453">
        <v>74.900000000000006</v>
      </c>
      <c r="J404" s="452">
        <v>82.9</v>
      </c>
      <c r="K404" s="452">
        <v>82.8</v>
      </c>
      <c r="L404" s="452">
        <v>71.5</v>
      </c>
      <c r="M404" s="452">
        <v>55.2</v>
      </c>
      <c r="N404" s="452">
        <v>37.700000000000003</v>
      </c>
      <c r="O404" s="452">
        <v>25</v>
      </c>
      <c r="P404" s="452">
        <v>53.2</v>
      </c>
      <c r="Q404" s="454">
        <v>2</v>
      </c>
      <c r="R404" s="455">
        <f t="shared" si="6"/>
        <v>53.166666666666664</v>
      </c>
    </row>
    <row r="405" spans="1:18" ht="13.5" customHeight="1" x14ac:dyDescent="0.2">
      <c r="A405" s="449" t="s">
        <v>1553</v>
      </c>
      <c r="B405" s="450" t="s">
        <v>1635</v>
      </c>
      <c r="C405" s="451" t="s">
        <v>1393</v>
      </c>
      <c r="D405" s="452">
        <v>33.4</v>
      </c>
      <c r="E405" s="452">
        <v>36.1</v>
      </c>
      <c r="F405" s="452">
        <v>46</v>
      </c>
      <c r="G405" s="452">
        <v>59.6</v>
      </c>
      <c r="H405" s="452">
        <v>69</v>
      </c>
      <c r="I405" s="453">
        <v>77.8</v>
      </c>
      <c r="J405" s="452">
        <v>81.3</v>
      </c>
      <c r="K405" s="452">
        <v>80.099999999999994</v>
      </c>
      <c r="L405" s="452">
        <v>72.8</v>
      </c>
      <c r="M405" s="452">
        <v>60.8</v>
      </c>
      <c r="N405" s="452">
        <v>48.5</v>
      </c>
      <c r="O405" s="452">
        <v>36.9</v>
      </c>
      <c r="P405" s="452">
        <v>58.5</v>
      </c>
      <c r="Q405" s="454">
        <v>2</v>
      </c>
      <c r="R405" s="455">
        <f t="shared" si="6"/>
        <v>58.524999999999984</v>
      </c>
    </row>
    <row r="406" spans="1:18" ht="13.5" customHeight="1" x14ac:dyDescent="0.2">
      <c r="A406" s="449" t="s">
        <v>1554</v>
      </c>
      <c r="B406" s="450" t="s">
        <v>1635</v>
      </c>
      <c r="C406" s="451" t="s">
        <v>1393</v>
      </c>
      <c r="D406" s="452">
        <v>34.200000000000003</v>
      </c>
      <c r="E406" s="452">
        <v>36.700000000000003</v>
      </c>
      <c r="F406" s="452">
        <v>45.2</v>
      </c>
      <c r="G406" s="452">
        <v>58.3</v>
      </c>
      <c r="H406" s="452">
        <v>68.5</v>
      </c>
      <c r="I406" s="453">
        <v>77.900000000000006</v>
      </c>
      <c r="J406" s="452">
        <v>81.3</v>
      </c>
      <c r="K406" s="452">
        <v>80</v>
      </c>
      <c r="L406" s="452">
        <v>73.3</v>
      </c>
      <c r="M406" s="452">
        <v>61.7</v>
      </c>
      <c r="N406" s="452">
        <v>49.7</v>
      </c>
      <c r="O406" s="452">
        <v>37.9</v>
      </c>
      <c r="P406" s="452">
        <v>58.7</v>
      </c>
      <c r="Q406" s="454">
        <v>2</v>
      </c>
      <c r="R406" s="455">
        <f t="shared" si="6"/>
        <v>58.725000000000001</v>
      </c>
    </row>
    <row r="407" spans="1:18" ht="13.5" customHeight="1" x14ac:dyDescent="0.2">
      <c r="A407" s="449" t="s">
        <v>1555</v>
      </c>
      <c r="B407" s="450" t="s">
        <v>1635</v>
      </c>
      <c r="C407" s="451" t="s">
        <v>1393</v>
      </c>
      <c r="D407" s="452">
        <v>36.5</v>
      </c>
      <c r="E407" s="452">
        <v>39.9</v>
      </c>
      <c r="F407" s="452">
        <v>50.3</v>
      </c>
      <c r="G407" s="452">
        <v>63.4</v>
      </c>
      <c r="H407" s="452">
        <v>72.5</v>
      </c>
      <c r="I407" s="453">
        <v>81.099999999999994</v>
      </c>
      <c r="J407" s="452">
        <v>84.1</v>
      </c>
      <c r="K407" s="452">
        <v>83.3</v>
      </c>
      <c r="L407" s="452">
        <v>76.7</v>
      </c>
      <c r="M407" s="452">
        <v>64.7</v>
      </c>
      <c r="N407" s="452">
        <v>51.9</v>
      </c>
      <c r="O407" s="452">
        <v>40.1</v>
      </c>
      <c r="P407" s="452">
        <v>62</v>
      </c>
      <c r="Q407" s="454">
        <v>2</v>
      </c>
      <c r="R407" s="455">
        <f t="shared" si="6"/>
        <v>62.041666666666679</v>
      </c>
    </row>
    <row r="408" spans="1:18" ht="13.5" customHeight="1" x14ac:dyDescent="0.2">
      <c r="A408" s="449" t="s">
        <v>1556</v>
      </c>
      <c r="B408" s="450" t="s">
        <v>1635</v>
      </c>
      <c r="C408" s="451" t="s">
        <v>1393</v>
      </c>
      <c r="D408" s="452">
        <v>34.9</v>
      </c>
      <c r="E408" s="452">
        <v>38.700000000000003</v>
      </c>
      <c r="F408" s="452">
        <v>49.1</v>
      </c>
      <c r="G408" s="452">
        <v>62.1</v>
      </c>
      <c r="H408" s="452">
        <v>71.3</v>
      </c>
      <c r="I408" s="453">
        <v>80</v>
      </c>
      <c r="J408" s="452">
        <v>83.2</v>
      </c>
      <c r="K408" s="452">
        <v>82.4</v>
      </c>
      <c r="L408" s="452">
        <v>75.900000000000006</v>
      </c>
      <c r="M408" s="452">
        <v>63.9</v>
      </c>
      <c r="N408" s="452">
        <v>50.7</v>
      </c>
      <c r="O408" s="452">
        <v>38.4</v>
      </c>
      <c r="P408" s="452">
        <v>60.9</v>
      </c>
      <c r="Q408" s="454">
        <v>2</v>
      </c>
      <c r="R408" s="455">
        <f t="shared" si="6"/>
        <v>60.883333333333326</v>
      </c>
    </row>
    <row r="409" spans="1:18" ht="13.5" customHeight="1" x14ac:dyDescent="0.2">
      <c r="A409" s="449" t="s">
        <v>1557</v>
      </c>
      <c r="B409" s="450" t="s">
        <v>1635</v>
      </c>
      <c r="C409" s="451" t="s">
        <v>1393</v>
      </c>
      <c r="D409" s="452">
        <v>32.799999999999997</v>
      </c>
      <c r="E409" s="452">
        <v>35.6</v>
      </c>
      <c r="F409" s="452">
        <v>45.4</v>
      </c>
      <c r="G409" s="452">
        <v>59.1</v>
      </c>
      <c r="H409" s="452">
        <v>68.900000000000006</v>
      </c>
      <c r="I409" s="453">
        <v>77.7</v>
      </c>
      <c r="J409" s="452">
        <v>80.8</v>
      </c>
      <c r="K409" s="452">
        <v>79.5</v>
      </c>
      <c r="L409" s="452">
        <v>72.900000000000006</v>
      </c>
      <c r="M409" s="452">
        <v>61.3</v>
      </c>
      <c r="N409" s="452">
        <v>48.1</v>
      </c>
      <c r="O409" s="452">
        <v>37.1</v>
      </c>
      <c r="P409" s="452">
        <v>58.3</v>
      </c>
      <c r="Q409" s="454">
        <v>2</v>
      </c>
      <c r="R409" s="455">
        <f t="shared" si="6"/>
        <v>58.266666666666673</v>
      </c>
    </row>
    <row r="410" spans="1:18" ht="13.5" customHeight="1" x14ac:dyDescent="0.2">
      <c r="A410" s="449" t="s">
        <v>1558</v>
      </c>
      <c r="B410" s="450" t="s">
        <v>1635</v>
      </c>
      <c r="C410" s="451" t="s">
        <v>1393</v>
      </c>
      <c r="D410" s="452">
        <v>32.4</v>
      </c>
      <c r="E410" s="452">
        <v>35.700000000000003</v>
      </c>
      <c r="F410" s="452">
        <v>46.2</v>
      </c>
      <c r="G410" s="452">
        <v>59.8</v>
      </c>
      <c r="H410" s="452">
        <v>70.3</v>
      </c>
      <c r="I410" s="452">
        <v>80.099999999999994</v>
      </c>
      <c r="J410" s="452">
        <v>83.5</v>
      </c>
      <c r="K410" s="452">
        <v>81.599999999999994</v>
      </c>
      <c r="L410" s="452">
        <v>75.099999999999994</v>
      </c>
      <c r="M410" s="452">
        <v>62.5</v>
      </c>
      <c r="N410" s="452">
        <v>48.9</v>
      </c>
      <c r="O410" s="452">
        <v>36.299999999999997</v>
      </c>
      <c r="P410" s="452">
        <v>59.4</v>
      </c>
      <c r="Q410" s="454">
        <v>2</v>
      </c>
      <c r="R410" s="455">
        <f t="shared" si="6"/>
        <v>59.366666666666667</v>
      </c>
    </row>
    <row r="411" spans="1:18" ht="13.5" customHeight="1" x14ac:dyDescent="0.2">
      <c r="A411" s="449" t="s">
        <v>1559</v>
      </c>
      <c r="B411" s="450" t="s">
        <v>1635</v>
      </c>
      <c r="C411" s="451" t="s">
        <v>1393</v>
      </c>
      <c r="D411" s="452">
        <v>33.299999999999997</v>
      </c>
      <c r="E411" s="452">
        <v>36</v>
      </c>
      <c r="F411" s="452">
        <v>45.5</v>
      </c>
      <c r="G411" s="452">
        <v>59.3</v>
      </c>
      <c r="H411" s="452">
        <v>68.900000000000006</v>
      </c>
      <c r="I411" s="452">
        <v>77.5</v>
      </c>
      <c r="J411" s="452">
        <v>80.900000000000006</v>
      </c>
      <c r="K411" s="452">
        <v>79.8</v>
      </c>
      <c r="L411" s="452">
        <v>72.400000000000006</v>
      </c>
      <c r="M411" s="452">
        <v>60.6</v>
      </c>
      <c r="N411" s="452">
        <v>48.7</v>
      </c>
      <c r="O411" s="452">
        <v>36.9</v>
      </c>
      <c r="P411" s="452">
        <v>58.3</v>
      </c>
      <c r="Q411" s="454">
        <v>2</v>
      </c>
      <c r="R411" s="455">
        <f t="shared" si="6"/>
        <v>58.31666666666667</v>
      </c>
    </row>
    <row r="412" spans="1:18" ht="13.5" customHeight="1" x14ac:dyDescent="0.2">
      <c r="A412" s="449" t="s">
        <v>1560</v>
      </c>
      <c r="B412" s="450" t="s">
        <v>1635</v>
      </c>
      <c r="C412" s="451" t="s">
        <v>1393</v>
      </c>
      <c r="D412" s="452">
        <v>48.7</v>
      </c>
      <c r="E412" s="452">
        <v>54.1</v>
      </c>
      <c r="F412" s="452">
        <v>62.1</v>
      </c>
      <c r="G412" s="452">
        <v>70.8</v>
      </c>
      <c r="H412" s="452">
        <v>78.900000000000006</v>
      </c>
      <c r="I412" s="452">
        <v>86.9</v>
      </c>
      <c r="J412" s="452">
        <v>92.8</v>
      </c>
      <c r="K412" s="452">
        <v>92.1</v>
      </c>
      <c r="L412" s="452">
        <v>83.2</v>
      </c>
      <c r="M412" s="452">
        <v>72.599999999999994</v>
      </c>
      <c r="N412" s="452">
        <v>60.3</v>
      </c>
      <c r="O412" s="452">
        <v>50.4</v>
      </c>
      <c r="P412" s="452">
        <v>71.099999999999994</v>
      </c>
      <c r="Q412" s="454">
        <v>2</v>
      </c>
      <c r="R412" s="455">
        <f t="shared" si="6"/>
        <v>71.075000000000003</v>
      </c>
    </row>
    <row r="413" spans="1:18" ht="13.5" customHeight="1" x14ac:dyDescent="0.2">
      <c r="A413" s="449" t="s">
        <v>1561</v>
      </c>
      <c r="B413" s="450" t="s">
        <v>1635</v>
      </c>
      <c r="C413" s="451" t="s">
        <v>1393</v>
      </c>
      <c r="D413" s="452">
        <v>47.4</v>
      </c>
      <c r="E413" s="452">
        <v>53.4</v>
      </c>
      <c r="F413" s="452">
        <v>61.7</v>
      </c>
      <c r="G413" s="452">
        <v>71</v>
      </c>
      <c r="H413" s="452">
        <v>78.7</v>
      </c>
      <c r="I413" s="452">
        <v>86.5</v>
      </c>
      <c r="J413" s="452">
        <v>92.3</v>
      </c>
      <c r="K413" s="452">
        <v>92.4</v>
      </c>
      <c r="L413" s="452">
        <v>83.2</v>
      </c>
      <c r="M413" s="452">
        <v>72.599999999999994</v>
      </c>
      <c r="N413" s="452">
        <v>60.2</v>
      </c>
      <c r="O413" s="452">
        <v>49.6</v>
      </c>
      <c r="P413" s="452">
        <v>70.8</v>
      </c>
      <c r="Q413" s="454">
        <v>2</v>
      </c>
      <c r="R413" s="455">
        <f t="shared" si="6"/>
        <v>70.750000000000014</v>
      </c>
    </row>
    <row r="414" spans="1:18" ht="13.5" customHeight="1" x14ac:dyDescent="0.2">
      <c r="A414" s="449" t="s">
        <v>1562</v>
      </c>
      <c r="B414" s="450" t="s">
        <v>1635</v>
      </c>
      <c r="C414" s="451" t="s">
        <v>1393</v>
      </c>
      <c r="D414" s="452">
        <v>49.1</v>
      </c>
      <c r="E414" s="452">
        <v>51.3</v>
      </c>
      <c r="F414" s="452">
        <v>52.7</v>
      </c>
      <c r="G414" s="452">
        <v>55.3</v>
      </c>
      <c r="H414" s="452">
        <v>59.8</v>
      </c>
      <c r="I414" s="452">
        <v>63.2</v>
      </c>
      <c r="J414" s="452">
        <v>66.8</v>
      </c>
      <c r="K414" s="452">
        <v>67.7</v>
      </c>
      <c r="L414" s="452">
        <v>66.8</v>
      </c>
      <c r="M414" s="452">
        <v>60</v>
      </c>
      <c r="N414" s="452">
        <v>53.2</v>
      </c>
      <c r="O414" s="452">
        <v>48.6</v>
      </c>
      <c r="P414" s="452">
        <v>57.9</v>
      </c>
      <c r="Q414" s="454">
        <v>2</v>
      </c>
      <c r="R414" s="455">
        <f t="shared" si="6"/>
        <v>57.875000000000007</v>
      </c>
    </row>
    <row r="415" spans="1:18" ht="13.5" customHeight="1" x14ac:dyDescent="0.2">
      <c r="A415" s="449" t="s">
        <v>1563</v>
      </c>
      <c r="B415" s="450" t="s">
        <v>1635</v>
      </c>
      <c r="C415" s="451" t="s">
        <v>1393</v>
      </c>
      <c r="D415" s="452">
        <v>35.1</v>
      </c>
      <c r="E415" s="452">
        <v>39.299999999999997</v>
      </c>
      <c r="F415" s="452">
        <v>49</v>
      </c>
      <c r="G415" s="452">
        <v>55.6</v>
      </c>
      <c r="H415" s="452">
        <v>65.8</v>
      </c>
      <c r="I415" s="452">
        <v>74</v>
      </c>
      <c r="J415" s="452">
        <v>86</v>
      </c>
      <c r="K415" s="452">
        <v>84.4</v>
      </c>
      <c r="L415" s="452">
        <v>76</v>
      </c>
      <c r="M415" s="452">
        <v>61.2</v>
      </c>
      <c r="N415" s="452">
        <v>45</v>
      </c>
      <c r="O415" s="452">
        <v>34.700000000000003</v>
      </c>
      <c r="P415" s="452">
        <v>58.8</v>
      </c>
      <c r="Q415" s="454">
        <v>2</v>
      </c>
      <c r="R415" s="455">
        <f t="shared" si="6"/>
        <v>58.841666666666676</v>
      </c>
    </row>
    <row r="416" spans="1:18" ht="13.5" customHeight="1" x14ac:dyDescent="0.2">
      <c r="A416" s="449" t="s">
        <v>1564</v>
      </c>
      <c r="B416" s="450" t="s">
        <v>1635</v>
      </c>
      <c r="C416" s="451" t="s">
        <v>1393</v>
      </c>
      <c r="D416" s="452">
        <v>47.1</v>
      </c>
      <c r="E416" s="452">
        <v>50.9</v>
      </c>
      <c r="F416" s="453">
        <v>55.4</v>
      </c>
      <c r="G416" s="452">
        <v>59.6</v>
      </c>
      <c r="H416" s="452">
        <v>66.2</v>
      </c>
      <c r="I416" s="453">
        <v>72.099999999999994</v>
      </c>
      <c r="J416" s="452">
        <v>82.5</v>
      </c>
      <c r="K416" s="452">
        <v>82</v>
      </c>
      <c r="L416" s="452">
        <v>76.7</v>
      </c>
      <c r="M416" s="452">
        <v>63.4</v>
      </c>
      <c r="N416" s="452">
        <v>51.8</v>
      </c>
      <c r="O416" s="452">
        <v>45.9</v>
      </c>
      <c r="P416" s="452">
        <v>62.8</v>
      </c>
      <c r="Q416" s="454">
        <v>2</v>
      </c>
      <c r="R416" s="455">
        <f t="shared" si="6"/>
        <v>62.79999999999999</v>
      </c>
    </row>
    <row r="417" spans="1:18" ht="13.5" customHeight="1" x14ac:dyDescent="0.2">
      <c r="A417" s="449" t="s">
        <v>1565</v>
      </c>
      <c r="B417" s="450" t="s">
        <v>1635</v>
      </c>
      <c r="C417" s="451" t="s">
        <v>1393</v>
      </c>
      <c r="D417" s="452">
        <v>47.6</v>
      </c>
      <c r="E417" s="452">
        <v>54.3</v>
      </c>
      <c r="F417" s="453">
        <v>58.8</v>
      </c>
      <c r="G417" s="452">
        <v>63.4</v>
      </c>
      <c r="H417" s="452">
        <v>72.599999999999994</v>
      </c>
      <c r="I417" s="453">
        <v>80</v>
      </c>
      <c r="J417" s="452">
        <v>90.7</v>
      </c>
      <c r="K417" s="452">
        <v>89.6</v>
      </c>
      <c r="L417" s="452">
        <v>83.9</v>
      </c>
      <c r="M417" s="452">
        <v>69.2</v>
      </c>
      <c r="N417" s="452">
        <v>52.9</v>
      </c>
      <c r="O417" s="452">
        <v>45.8</v>
      </c>
      <c r="P417" s="452">
        <v>67.400000000000006</v>
      </c>
      <c r="Q417" s="454">
        <v>2</v>
      </c>
      <c r="R417" s="455">
        <f t="shared" si="6"/>
        <v>67.399999999999991</v>
      </c>
    </row>
    <row r="418" spans="1:18" ht="13.5" customHeight="1" x14ac:dyDescent="0.2">
      <c r="A418" s="449" t="s">
        <v>1566</v>
      </c>
      <c r="B418" s="450" t="s">
        <v>1635</v>
      </c>
      <c r="C418" s="451" t="s">
        <v>1393</v>
      </c>
      <c r="D418" s="452">
        <v>41.1</v>
      </c>
      <c r="E418" s="452">
        <v>46.2</v>
      </c>
      <c r="F418" s="453">
        <v>54.3</v>
      </c>
      <c r="G418" s="452">
        <v>60.8</v>
      </c>
      <c r="H418" s="452">
        <v>69.400000000000006</v>
      </c>
      <c r="I418" s="453">
        <v>77.099999999999994</v>
      </c>
      <c r="J418" s="452">
        <v>87.9</v>
      </c>
      <c r="K418" s="452">
        <v>86.2</v>
      </c>
      <c r="L418" s="452">
        <v>77.400000000000006</v>
      </c>
      <c r="M418" s="452">
        <v>62.6</v>
      </c>
      <c r="N418" s="452">
        <v>48.3</v>
      </c>
      <c r="O418" s="452">
        <v>40.1</v>
      </c>
      <c r="P418" s="452">
        <v>62.6</v>
      </c>
      <c r="Q418" s="454">
        <v>2</v>
      </c>
      <c r="R418" s="455">
        <f t="shared" si="6"/>
        <v>62.616666666666674</v>
      </c>
    </row>
    <row r="419" spans="1:18" ht="13.5" customHeight="1" x14ac:dyDescent="0.2">
      <c r="A419" s="449" t="s">
        <v>1567</v>
      </c>
      <c r="B419" s="450" t="s">
        <v>1635</v>
      </c>
      <c r="C419" s="451" t="s">
        <v>1393</v>
      </c>
      <c r="D419" s="452">
        <v>47.4</v>
      </c>
      <c r="E419" s="452">
        <v>51.6</v>
      </c>
      <c r="F419" s="453">
        <v>55.6</v>
      </c>
      <c r="G419" s="452">
        <v>59.9</v>
      </c>
      <c r="H419" s="452">
        <v>67.099999999999994</v>
      </c>
      <c r="I419" s="453">
        <v>72.599999999999994</v>
      </c>
      <c r="J419" s="452">
        <v>81.8</v>
      </c>
      <c r="K419" s="452">
        <v>81.3</v>
      </c>
      <c r="L419" s="452">
        <v>76.3</v>
      </c>
      <c r="M419" s="452">
        <v>63.4</v>
      </c>
      <c r="N419" s="452">
        <v>52.2</v>
      </c>
      <c r="O419" s="452">
        <v>46.6</v>
      </c>
      <c r="P419" s="452">
        <v>63</v>
      </c>
      <c r="Q419" s="454">
        <v>2</v>
      </c>
      <c r="R419" s="455">
        <f t="shared" si="6"/>
        <v>62.983333333333341</v>
      </c>
    </row>
    <row r="420" spans="1:18" ht="13.5" customHeight="1" x14ac:dyDescent="0.2">
      <c r="A420" s="449" t="s">
        <v>1568</v>
      </c>
      <c r="B420" s="450" t="s">
        <v>1635</v>
      </c>
      <c r="C420" s="451" t="s">
        <v>1393</v>
      </c>
      <c r="D420" s="452">
        <v>36.700000000000003</v>
      </c>
      <c r="E420" s="452">
        <v>39.5</v>
      </c>
      <c r="F420" s="453">
        <v>49</v>
      </c>
      <c r="G420" s="452">
        <v>61.4</v>
      </c>
      <c r="H420" s="452">
        <v>71.099999999999994</v>
      </c>
      <c r="I420" s="453">
        <v>79.8</v>
      </c>
      <c r="J420" s="452">
        <v>83.8</v>
      </c>
      <c r="K420" s="452">
        <v>82.5</v>
      </c>
      <c r="L420" s="452">
        <v>75</v>
      </c>
      <c r="M420" s="452">
        <v>63.3</v>
      </c>
      <c r="N420" s="452">
        <v>52.1</v>
      </c>
      <c r="O420" s="452">
        <v>40.799999999999997</v>
      </c>
      <c r="P420" s="452">
        <v>61.3</v>
      </c>
      <c r="Q420" s="454">
        <v>2</v>
      </c>
      <c r="R420" s="455">
        <f t="shared" si="6"/>
        <v>61.249999999999993</v>
      </c>
    </row>
    <row r="421" spans="1:18" ht="13.5" customHeight="1" x14ac:dyDescent="0.2">
      <c r="A421" s="449" t="s">
        <v>1569</v>
      </c>
      <c r="B421" s="450" t="s">
        <v>1635</v>
      </c>
      <c r="C421" s="451" t="s">
        <v>1393</v>
      </c>
      <c r="D421" s="452">
        <v>29.2</v>
      </c>
      <c r="E421" s="452">
        <v>31.7</v>
      </c>
      <c r="F421" s="453">
        <v>40.9</v>
      </c>
      <c r="G421" s="452">
        <v>54.6</v>
      </c>
      <c r="H421" s="452">
        <v>64.900000000000006</v>
      </c>
      <c r="I421" s="453">
        <v>73</v>
      </c>
      <c r="J421" s="452">
        <v>75.8</v>
      </c>
      <c r="K421" s="452">
        <v>74.900000000000006</v>
      </c>
      <c r="L421" s="452">
        <v>67.599999999999994</v>
      </c>
      <c r="M421" s="452">
        <v>56.1</v>
      </c>
      <c r="N421" s="452">
        <v>44.3</v>
      </c>
      <c r="O421" s="452">
        <v>32.9</v>
      </c>
      <c r="P421" s="452">
        <v>53.8</v>
      </c>
      <c r="Q421" s="454">
        <v>2</v>
      </c>
      <c r="R421" s="455">
        <f t="shared" si="6"/>
        <v>53.824999999999996</v>
      </c>
    </row>
    <row r="422" spans="1:18" ht="13.5" customHeight="1" x14ac:dyDescent="0.2">
      <c r="A422" s="449" t="s">
        <v>1570</v>
      </c>
      <c r="B422" s="450" t="s">
        <v>1635</v>
      </c>
      <c r="C422" s="451" t="s">
        <v>1393</v>
      </c>
      <c r="D422" s="452">
        <v>33.700000000000003</v>
      </c>
      <c r="E422" s="452">
        <v>35</v>
      </c>
      <c r="F422" s="453">
        <v>42.6</v>
      </c>
      <c r="G422" s="452">
        <v>55.4</v>
      </c>
      <c r="H422" s="452">
        <v>65.8</v>
      </c>
      <c r="I422" s="453">
        <v>75.400000000000006</v>
      </c>
      <c r="J422" s="452">
        <v>78.900000000000006</v>
      </c>
      <c r="K422" s="452">
        <v>78</v>
      </c>
      <c r="L422" s="452">
        <v>71.3</v>
      </c>
      <c r="M422" s="452">
        <v>60.2</v>
      </c>
      <c r="N422" s="452">
        <v>49</v>
      </c>
      <c r="O422" s="452">
        <v>38</v>
      </c>
      <c r="P422" s="452">
        <v>56.9</v>
      </c>
      <c r="Q422" s="454">
        <v>2</v>
      </c>
      <c r="R422" s="455">
        <f t="shared" si="6"/>
        <v>56.941666666666663</v>
      </c>
    </row>
    <row r="423" spans="1:18" ht="13.5" customHeight="1" x14ac:dyDescent="0.2">
      <c r="A423" s="449" t="s">
        <v>1571</v>
      </c>
      <c r="B423" s="450" t="s">
        <v>1635</v>
      </c>
      <c r="C423" s="451" t="s">
        <v>1393</v>
      </c>
      <c r="D423" s="452">
        <v>37.9</v>
      </c>
      <c r="E423" s="452">
        <v>40.9</v>
      </c>
      <c r="F423" s="452">
        <v>50.4</v>
      </c>
      <c r="G423" s="452">
        <v>62.9</v>
      </c>
      <c r="H423" s="452">
        <v>72.5</v>
      </c>
      <c r="I423" s="453">
        <v>81.400000000000006</v>
      </c>
      <c r="J423" s="452">
        <v>85.4</v>
      </c>
      <c r="K423" s="452">
        <v>83.8</v>
      </c>
      <c r="L423" s="452">
        <v>76</v>
      </c>
      <c r="M423" s="452">
        <v>64.400000000000006</v>
      </c>
      <c r="N423" s="452">
        <v>53.3</v>
      </c>
      <c r="O423" s="452">
        <v>42.2</v>
      </c>
      <c r="P423" s="452">
        <v>62.6</v>
      </c>
      <c r="Q423" s="454">
        <v>2</v>
      </c>
      <c r="R423" s="455">
        <f t="shared" si="6"/>
        <v>62.591666666666661</v>
      </c>
    </row>
    <row r="424" spans="1:18" ht="13.5" customHeight="1" x14ac:dyDescent="0.2">
      <c r="A424" s="449" t="s">
        <v>1572</v>
      </c>
      <c r="B424" s="450" t="s">
        <v>1635</v>
      </c>
      <c r="C424" s="451" t="s">
        <v>1393</v>
      </c>
      <c r="D424" s="452">
        <v>40.700000000000003</v>
      </c>
      <c r="E424" s="452">
        <v>43.2</v>
      </c>
      <c r="F424" s="452">
        <v>52.1</v>
      </c>
      <c r="G424" s="452">
        <v>63.9</v>
      </c>
      <c r="H424" s="452">
        <v>73.3</v>
      </c>
      <c r="I424" s="453">
        <v>82.3</v>
      </c>
      <c r="J424" s="452">
        <v>86.5</v>
      </c>
      <c r="K424" s="452">
        <v>85</v>
      </c>
      <c r="L424" s="452">
        <v>77.7</v>
      </c>
      <c r="M424" s="452">
        <v>66.099999999999994</v>
      </c>
      <c r="N424" s="452">
        <v>55.3</v>
      </c>
      <c r="O424" s="452">
        <v>44.5</v>
      </c>
      <c r="P424" s="452">
        <v>64.2</v>
      </c>
      <c r="Q424" s="454">
        <v>2</v>
      </c>
      <c r="R424" s="455">
        <f t="shared" si="6"/>
        <v>64.216666666666669</v>
      </c>
    </row>
    <row r="425" spans="1:18" ht="13.5" customHeight="1" x14ac:dyDescent="0.2">
      <c r="A425" s="449" t="s">
        <v>1573</v>
      </c>
      <c r="B425" s="450" t="s">
        <v>1635</v>
      </c>
      <c r="C425" s="451" t="s">
        <v>1393</v>
      </c>
      <c r="D425" s="452">
        <v>36.200000000000003</v>
      </c>
      <c r="E425" s="452">
        <v>38.9</v>
      </c>
      <c r="F425" s="452">
        <v>48.7</v>
      </c>
      <c r="G425" s="452">
        <v>62</v>
      </c>
      <c r="H425" s="452">
        <v>70.599999999999994</v>
      </c>
      <c r="I425" s="453">
        <v>78.900000000000006</v>
      </c>
      <c r="J425" s="452">
        <v>81.900000000000006</v>
      </c>
      <c r="K425" s="452">
        <v>81.2</v>
      </c>
      <c r="L425" s="452">
        <v>73.900000000000006</v>
      </c>
      <c r="M425" s="452">
        <v>62.4</v>
      </c>
      <c r="N425" s="452">
        <v>50.7</v>
      </c>
      <c r="O425" s="452">
        <v>39.5</v>
      </c>
      <c r="P425" s="452">
        <v>60.4</v>
      </c>
      <c r="Q425" s="454">
        <v>2</v>
      </c>
      <c r="R425" s="455">
        <f t="shared" si="6"/>
        <v>60.408333333333331</v>
      </c>
    </row>
    <row r="426" spans="1:18" ht="13.5" customHeight="1" x14ac:dyDescent="0.2">
      <c r="A426" s="449" t="s">
        <v>1574</v>
      </c>
      <c r="B426" s="450" t="s">
        <v>1635</v>
      </c>
      <c r="C426" s="451" t="s">
        <v>1393</v>
      </c>
      <c r="D426" s="452">
        <v>33.799999999999997</v>
      </c>
      <c r="E426" s="452">
        <v>36.5</v>
      </c>
      <c r="F426" s="452">
        <v>45.8</v>
      </c>
      <c r="G426" s="452">
        <v>59.1</v>
      </c>
      <c r="H426" s="452">
        <v>69.5</v>
      </c>
      <c r="I426" s="453">
        <v>77.599999999999994</v>
      </c>
      <c r="J426" s="452">
        <v>81.599999999999994</v>
      </c>
      <c r="K426" s="452">
        <v>80.2</v>
      </c>
      <c r="L426" s="452">
        <v>72.400000000000006</v>
      </c>
      <c r="M426" s="452">
        <v>60.4</v>
      </c>
      <c r="N426" s="452">
        <v>49.2</v>
      </c>
      <c r="O426" s="452">
        <v>37.700000000000003</v>
      </c>
      <c r="P426" s="452">
        <v>58.6</v>
      </c>
      <c r="Q426" s="454">
        <v>2</v>
      </c>
      <c r="R426" s="455">
        <f t="shared" si="6"/>
        <v>58.650000000000006</v>
      </c>
    </row>
    <row r="427" spans="1:18" ht="13.5" customHeight="1" x14ac:dyDescent="0.2">
      <c r="A427" s="449" t="s">
        <v>1575</v>
      </c>
      <c r="B427" s="450" t="s">
        <v>1635</v>
      </c>
      <c r="C427" s="451" t="s">
        <v>1393</v>
      </c>
      <c r="D427" s="452">
        <v>34.9</v>
      </c>
      <c r="E427" s="452">
        <v>37.9</v>
      </c>
      <c r="F427" s="452">
        <v>47.9</v>
      </c>
      <c r="G427" s="452">
        <v>61.3</v>
      </c>
      <c r="H427" s="452">
        <v>71.400000000000006</v>
      </c>
      <c r="I427" s="453">
        <v>79.8</v>
      </c>
      <c r="J427" s="452">
        <v>83.5</v>
      </c>
      <c r="K427" s="452">
        <v>82</v>
      </c>
      <c r="L427" s="452">
        <v>73.8</v>
      </c>
      <c r="M427" s="452">
        <v>62.1</v>
      </c>
      <c r="N427" s="452">
        <v>50.2</v>
      </c>
      <c r="O427" s="452">
        <v>38.6</v>
      </c>
      <c r="P427" s="452">
        <v>60.3</v>
      </c>
      <c r="Q427" s="454">
        <v>2</v>
      </c>
      <c r="R427" s="455">
        <f t="shared" si="6"/>
        <v>60.283333333333339</v>
      </c>
    </row>
    <row r="428" spans="1:18" ht="13.5" customHeight="1" x14ac:dyDescent="0.2">
      <c r="A428" s="449" t="s">
        <v>1576</v>
      </c>
      <c r="B428" s="450" t="s">
        <v>1635</v>
      </c>
      <c r="C428" s="451" t="s">
        <v>1393</v>
      </c>
      <c r="D428" s="452">
        <v>37.4</v>
      </c>
      <c r="E428" s="452">
        <v>39.5</v>
      </c>
      <c r="F428" s="452">
        <v>47</v>
      </c>
      <c r="G428" s="452">
        <v>58.1</v>
      </c>
      <c r="H428" s="452">
        <v>67.7</v>
      </c>
      <c r="I428" s="453">
        <v>76.900000000000006</v>
      </c>
      <c r="J428" s="452">
        <v>82.2</v>
      </c>
      <c r="K428" s="452">
        <v>80.900000000000006</v>
      </c>
      <c r="L428" s="452">
        <v>73.5</v>
      </c>
      <c r="M428" s="452">
        <v>62.5</v>
      </c>
      <c r="N428" s="452">
        <v>52.4</v>
      </c>
      <c r="O428" s="452">
        <v>42.2</v>
      </c>
      <c r="P428" s="452">
        <v>60</v>
      </c>
      <c r="Q428" s="454">
        <v>2</v>
      </c>
      <c r="R428" s="455">
        <f t="shared" si="6"/>
        <v>60.025000000000006</v>
      </c>
    </row>
    <row r="429" spans="1:18" ht="13.5" customHeight="1" x14ac:dyDescent="0.2">
      <c r="A429" s="449" t="s">
        <v>1577</v>
      </c>
      <c r="B429" s="450" t="s">
        <v>1635</v>
      </c>
      <c r="C429" s="451" t="s">
        <v>1393</v>
      </c>
      <c r="D429" s="452">
        <v>59.2</v>
      </c>
      <c r="E429" s="452">
        <v>62.1</v>
      </c>
      <c r="F429" s="452">
        <v>68.900000000000006</v>
      </c>
      <c r="G429" s="452">
        <v>75.8</v>
      </c>
      <c r="H429" s="452">
        <v>82.3</v>
      </c>
      <c r="I429" s="453">
        <v>87.3</v>
      </c>
      <c r="J429" s="452">
        <v>90.2</v>
      </c>
      <c r="K429" s="452">
        <v>88.7</v>
      </c>
      <c r="L429" s="452">
        <v>84.1</v>
      </c>
      <c r="M429" s="452">
        <v>76.5</v>
      </c>
      <c r="N429" s="452">
        <v>68.599999999999994</v>
      </c>
      <c r="O429" s="452">
        <v>60.9</v>
      </c>
      <c r="P429" s="452">
        <v>75.400000000000006</v>
      </c>
      <c r="Q429" s="454">
        <v>2</v>
      </c>
      <c r="R429" s="455">
        <f t="shared" si="6"/>
        <v>75.38333333333334</v>
      </c>
    </row>
    <row r="430" spans="1:18" ht="13.5" customHeight="1" x14ac:dyDescent="0.2">
      <c r="A430" s="449" t="s">
        <v>1578</v>
      </c>
      <c r="B430" s="450" t="s">
        <v>1635</v>
      </c>
      <c r="C430" s="451" t="s">
        <v>1393</v>
      </c>
      <c r="D430" s="452">
        <v>56.2</v>
      </c>
      <c r="E430" s="452">
        <v>59.6</v>
      </c>
      <c r="F430" s="452">
        <v>67.400000000000006</v>
      </c>
      <c r="G430" s="452">
        <v>75.7</v>
      </c>
      <c r="H430" s="452">
        <v>82.9</v>
      </c>
      <c r="I430" s="452">
        <v>88.6</v>
      </c>
      <c r="J430" s="452">
        <v>91.6</v>
      </c>
      <c r="K430" s="452">
        <v>90</v>
      </c>
      <c r="L430" s="452">
        <v>84.5</v>
      </c>
      <c r="M430" s="452">
        <v>75.3</v>
      </c>
      <c r="N430" s="452">
        <v>66.099999999999994</v>
      </c>
      <c r="O430" s="452">
        <v>57.4</v>
      </c>
      <c r="P430" s="452">
        <v>74.599999999999994</v>
      </c>
      <c r="Q430" s="454">
        <v>2</v>
      </c>
      <c r="R430" s="455">
        <f t="shared" si="6"/>
        <v>74.608333333333334</v>
      </c>
    </row>
    <row r="431" spans="1:18" ht="13.5" customHeight="1" x14ac:dyDescent="0.2">
      <c r="A431" s="449" t="s">
        <v>1579</v>
      </c>
      <c r="B431" s="450" t="s">
        <v>1635</v>
      </c>
      <c r="C431" s="451" t="s">
        <v>1393</v>
      </c>
      <c r="D431" s="452">
        <v>51.7</v>
      </c>
      <c r="E431" s="452">
        <v>55.2</v>
      </c>
      <c r="F431" s="452">
        <v>62.9</v>
      </c>
      <c r="G431" s="452">
        <v>71.7</v>
      </c>
      <c r="H431" s="452">
        <v>78.599999999999994</v>
      </c>
      <c r="I431" s="452">
        <v>85.4</v>
      </c>
      <c r="J431" s="452">
        <v>88.8</v>
      </c>
      <c r="K431" s="452">
        <v>87.3</v>
      </c>
      <c r="L431" s="452">
        <v>81.099999999999994</v>
      </c>
      <c r="M431" s="452">
        <v>71.400000000000006</v>
      </c>
      <c r="N431" s="452">
        <v>61.9</v>
      </c>
      <c r="O431" s="452">
        <v>52.8</v>
      </c>
      <c r="P431" s="452">
        <v>70.7</v>
      </c>
      <c r="Q431" s="454">
        <v>2</v>
      </c>
      <c r="R431" s="455">
        <f t="shared" si="6"/>
        <v>70.733333333333334</v>
      </c>
    </row>
    <row r="432" spans="1:18" ht="13.5" customHeight="1" x14ac:dyDescent="0.2">
      <c r="A432" s="449" t="s">
        <v>1580</v>
      </c>
      <c r="B432" s="450" t="s">
        <v>1635</v>
      </c>
      <c r="C432" s="451" t="s">
        <v>1393</v>
      </c>
      <c r="D432" s="452">
        <v>21.1</v>
      </c>
      <c r="E432" s="452">
        <v>27.6</v>
      </c>
      <c r="F432" s="452">
        <v>39.700000000000003</v>
      </c>
      <c r="G432" s="452">
        <v>56.2</v>
      </c>
      <c r="H432" s="452">
        <v>68.3</v>
      </c>
      <c r="I432" s="452">
        <v>77.2</v>
      </c>
      <c r="J432" s="452">
        <v>82.2</v>
      </c>
      <c r="K432" s="452">
        <v>81</v>
      </c>
      <c r="L432" s="452">
        <v>72.400000000000006</v>
      </c>
      <c r="M432" s="452">
        <v>57.6</v>
      </c>
      <c r="N432" s="452">
        <v>40.1</v>
      </c>
      <c r="O432" s="452">
        <v>26.5</v>
      </c>
      <c r="P432" s="452">
        <v>54.1</v>
      </c>
      <c r="Q432" s="454">
        <v>2</v>
      </c>
      <c r="R432" s="455">
        <f t="shared" si="6"/>
        <v>54.158333333333339</v>
      </c>
    </row>
    <row r="433" spans="1:18" ht="13.5" customHeight="1" x14ac:dyDescent="0.2">
      <c r="A433" s="449" t="s">
        <v>1581</v>
      </c>
      <c r="B433" s="450" t="s">
        <v>1635</v>
      </c>
      <c r="C433" s="451" t="s">
        <v>1393</v>
      </c>
      <c r="D433" s="452">
        <v>25</v>
      </c>
      <c r="E433" s="452">
        <v>31.3</v>
      </c>
      <c r="F433" s="452">
        <v>42.9</v>
      </c>
      <c r="G433" s="452">
        <v>57.8</v>
      </c>
      <c r="H433" s="452">
        <v>69.2</v>
      </c>
      <c r="I433" s="452">
        <v>78.400000000000006</v>
      </c>
      <c r="J433" s="452">
        <v>84.6</v>
      </c>
      <c r="K433" s="452">
        <v>83.1</v>
      </c>
      <c r="L433" s="452">
        <v>74.400000000000006</v>
      </c>
      <c r="M433" s="452">
        <v>59.9</v>
      </c>
      <c r="N433" s="452">
        <v>42.6</v>
      </c>
      <c r="O433" s="452">
        <v>29.3</v>
      </c>
      <c r="P433" s="452">
        <v>56.5</v>
      </c>
      <c r="Q433" s="454">
        <v>2</v>
      </c>
      <c r="R433" s="455">
        <f t="shared" si="6"/>
        <v>56.541666666666664</v>
      </c>
    </row>
    <row r="434" spans="1:18" ht="13.5" customHeight="1" x14ac:dyDescent="0.2">
      <c r="A434" s="449" t="s">
        <v>1582</v>
      </c>
      <c r="B434" s="450" t="s">
        <v>1635</v>
      </c>
      <c r="C434" s="451" t="s">
        <v>1393</v>
      </c>
      <c r="D434" s="452">
        <v>28.7</v>
      </c>
      <c r="E434" s="452">
        <v>34.700000000000003</v>
      </c>
      <c r="F434" s="452">
        <v>45.4</v>
      </c>
      <c r="G434" s="452">
        <v>58.9</v>
      </c>
      <c r="H434" s="452">
        <v>69.5</v>
      </c>
      <c r="I434" s="452">
        <v>79.2</v>
      </c>
      <c r="J434" s="452">
        <v>87.7</v>
      </c>
      <c r="K434" s="452">
        <v>86.7</v>
      </c>
      <c r="L434" s="452">
        <v>77.2</v>
      </c>
      <c r="M434" s="452">
        <v>60.6</v>
      </c>
      <c r="N434" s="452">
        <v>44.6</v>
      </c>
      <c r="O434" s="452">
        <v>32.6</v>
      </c>
      <c r="P434" s="452">
        <v>58.8</v>
      </c>
      <c r="Q434" s="454">
        <v>2</v>
      </c>
      <c r="R434" s="455">
        <f t="shared" si="6"/>
        <v>58.81666666666667</v>
      </c>
    </row>
    <row r="435" spans="1:18" ht="13.5" customHeight="1" x14ac:dyDescent="0.2">
      <c r="A435" s="449" t="s">
        <v>1583</v>
      </c>
      <c r="B435" s="450" t="s">
        <v>1635</v>
      </c>
      <c r="C435" s="451" t="s">
        <v>1393</v>
      </c>
      <c r="D435" s="452">
        <v>35.5</v>
      </c>
      <c r="E435" s="452">
        <v>39</v>
      </c>
      <c r="F435" s="452">
        <v>47.3</v>
      </c>
      <c r="G435" s="452">
        <v>56.5</v>
      </c>
      <c r="H435" s="452">
        <v>66.599999999999994</v>
      </c>
      <c r="I435" s="452">
        <v>76.400000000000006</v>
      </c>
      <c r="J435" s="452">
        <v>85.9</v>
      </c>
      <c r="K435" s="452">
        <v>85.7</v>
      </c>
      <c r="L435" s="452">
        <v>75.5</v>
      </c>
      <c r="M435" s="452">
        <v>60.6</v>
      </c>
      <c r="N435" s="452">
        <v>46.4</v>
      </c>
      <c r="O435" s="452">
        <v>37.200000000000003</v>
      </c>
      <c r="P435" s="452">
        <v>59.4</v>
      </c>
      <c r="Q435" s="454">
        <v>2</v>
      </c>
      <c r="R435" s="455">
        <f t="shared" si="6"/>
        <v>59.383333333333347</v>
      </c>
    </row>
    <row r="436" spans="1:18" ht="13.5" customHeight="1" x14ac:dyDescent="0.2">
      <c r="A436" s="449" t="s">
        <v>1584</v>
      </c>
      <c r="B436" s="450" t="s">
        <v>1635</v>
      </c>
      <c r="C436" s="451" t="s">
        <v>1393</v>
      </c>
      <c r="D436" s="452">
        <v>25.2</v>
      </c>
      <c r="E436" s="452">
        <v>31.2</v>
      </c>
      <c r="F436" s="452">
        <v>42.5</v>
      </c>
      <c r="G436" s="452">
        <v>57.5</v>
      </c>
      <c r="H436" s="452">
        <v>68.900000000000006</v>
      </c>
      <c r="I436" s="453">
        <v>78.400000000000006</v>
      </c>
      <c r="J436" s="452">
        <v>82.9</v>
      </c>
      <c r="K436" s="452">
        <v>81</v>
      </c>
      <c r="L436" s="452">
        <v>73.2</v>
      </c>
      <c r="M436" s="452">
        <v>59.6</v>
      </c>
      <c r="N436" s="452">
        <v>42.7</v>
      </c>
      <c r="O436" s="452">
        <v>29.4</v>
      </c>
      <c r="P436" s="452">
        <v>56</v>
      </c>
      <c r="Q436" s="454">
        <v>2</v>
      </c>
      <c r="R436" s="455">
        <f t="shared" si="6"/>
        <v>56.041666666666679</v>
      </c>
    </row>
    <row r="437" spans="1:18" ht="13.5" customHeight="1" x14ac:dyDescent="0.2">
      <c r="A437" s="449" t="s">
        <v>1585</v>
      </c>
      <c r="B437" s="450" t="s">
        <v>1635</v>
      </c>
      <c r="C437" s="451" t="s">
        <v>1393</v>
      </c>
      <c r="D437" s="452">
        <v>45.5</v>
      </c>
      <c r="E437" s="452">
        <v>49.2</v>
      </c>
      <c r="F437" s="452">
        <v>58</v>
      </c>
      <c r="G437" s="452">
        <v>67.900000000000006</v>
      </c>
      <c r="H437" s="452">
        <v>75.5</v>
      </c>
      <c r="I437" s="453">
        <v>82.1</v>
      </c>
      <c r="J437" s="452">
        <v>84.6</v>
      </c>
      <c r="K437" s="452">
        <v>84.5</v>
      </c>
      <c r="L437" s="452">
        <v>78.8</v>
      </c>
      <c r="M437" s="452">
        <v>68.8</v>
      </c>
      <c r="N437" s="452">
        <v>57.7</v>
      </c>
      <c r="O437" s="452">
        <v>47.9</v>
      </c>
      <c r="P437" s="452">
        <v>66.7</v>
      </c>
      <c r="Q437" s="454">
        <v>2</v>
      </c>
      <c r="R437" s="455">
        <f t="shared" si="6"/>
        <v>66.708333333333329</v>
      </c>
    </row>
    <row r="438" spans="1:18" ht="13.5" customHeight="1" x14ac:dyDescent="0.2">
      <c r="A438" s="449" t="s">
        <v>1586</v>
      </c>
      <c r="B438" s="450" t="s">
        <v>1635</v>
      </c>
      <c r="C438" s="451" t="s">
        <v>1393</v>
      </c>
      <c r="D438" s="452">
        <v>50.4</v>
      </c>
      <c r="E438" s="452">
        <v>54.3</v>
      </c>
      <c r="F438" s="452">
        <v>63</v>
      </c>
      <c r="G438" s="452">
        <v>72.5</v>
      </c>
      <c r="H438" s="452">
        <v>79.400000000000006</v>
      </c>
      <c r="I438" s="453">
        <v>86.1</v>
      </c>
      <c r="J438" s="452">
        <v>89.2</v>
      </c>
      <c r="K438" s="452">
        <v>89</v>
      </c>
      <c r="L438" s="452">
        <v>83</v>
      </c>
      <c r="M438" s="452">
        <v>72.8</v>
      </c>
      <c r="N438" s="452">
        <v>61.4</v>
      </c>
      <c r="O438" s="452">
        <v>51.9</v>
      </c>
      <c r="P438" s="452">
        <v>71.099999999999994</v>
      </c>
      <c r="Q438" s="454">
        <v>2</v>
      </c>
      <c r="R438" s="455">
        <f t="shared" si="6"/>
        <v>71.083333333333329</v>
      </c>
    </row>
    <row r="439" spans="1:18" ht="13.5" customHeight="1" x14ac:dyDescent="0.2">
      <c r="A439" s="449" t="s">
        <v>1587</v>
      </c>
      <c r="B439" s="450" t="s">
        <v>1635</v>
      </c>
      <c r="C439" s="451" t="s">
        <v>1393</v>
      </c>
      <c r="D439" s="452">
        <v>47.3</v>
      </c>
      <c r="E439" s="452">
        <v>51.4</v>
      </c>
      <c r="F439" s="452">
        <v>60.2</v>
      </c>
      <c r="G439" s="452">
        <v>69.8</v>
      </c>
      <c r="H439" s="452">
        <v>77.5</v>
      </c>
      <c r="I439" s="453">
        <v>84.2</v>
      </c>
      <c r="J439" s="452">
        <v>87.2</v>
      </c>
      <c r="K439" s="452">
        <v>87</v>
      </c>
      <c r="L439" s="452">
        <v>81.099999999999994</v>
      </c>
      <c r="M439" s="452">
        <v>70.400000000000006</v>
      </c>
      <c r="N439" s="452">
        <v>59.1</v>
      </c>
      <c r="O439" s="452">
        <v>49.1</v>
      </c>
      <c r="P439" s="452">
        <v>68.7</v>
      </c>
      <c r="Q439" s="454">
        <v>2</v>
      </c>
      <c r="R439" s="455">
        <f t="shared" si="6"/>
        <v>68.691666666666663</v>
      </c>
    </row>
    <row r="440" spans="1:18" ht="13.5" customHeight="1" x14ac:dyDescent="0.2">
      <c r="A440" s="449" t="s">
        <v>1588</v>
      </c>
      <c r="B440" s="450" t="s">
        <v>1635</v>
      </c>
      <c r="C440" s="451" t="s">
        <v>1393</v>
      </c>
      <c r="D440" s="452">
        <v>49.7</v>
      </c>
      <c r="E440" s="452">
        <v>54.3</v>
      </c>
      <c r="F440" s="452">
        <v>62.9</v>
      </c>
      <c r="G440" s="452">
        <v>72.400000000000006</v>
      </c>
      <c r="H440" s="452">
        <v>80.7</v>
      </c>
      <c r="I440" s="453">
        <v>88.1</v>
      </c>
      <c r="J440" s="452">
        <v>90.8</v>
      </c>
      <c r="K440" s="452">
        <v>90.7</v>
      </c>
      <c r="L440" s="452">
        <v>84.6</v>
      </c>
      <c r="M440" s="452">
        <v>74</v>
      </c>
      <c r="N440" s="452">
        <v>61.6</v>
      </c>
      <c r="O440" s="452">
        <v>51.7</v>
      </c>
      <c r="P440" s="452">
        <v>71.8</v>
      </c>
      <c r="Q440" s="454">
        <v>2</v>
      </c>
      <c r="R440" s="455">
        <f t="shared" si="6"/>
        <v>71.791666666666671</v>
      </c>
    </row>
    <row r="441" spans="1:18" ht="13.5" customHeight="1" x14ac:dyDescent="0.2">
      <c r="A441" s="449" t="s">
        <v>1589</v>
      </c>
      <c r="B441" s="450" t="s">
        <v>1635</v>
      </c>
      <c r="C441" s="451" t="s">
        <v>1393</v>
      </c>
      <c r="D441" s="452">
        <v>47.2</v>
      </c>
      <c r="E441" s="452">
        <v>51.5</v>
      </c>
      <c r="F441" s="452">
        <v>60.5</v>
      </c>
      <c r="G441" s="452">
        <v>70.400000000000006</v>
      </c>
      <c r="H441" s="452">
        <v>77.900000000000006</v>
      </c>
      <c r="I441" s="453">
        <v>85.2</v>
      </c>
      <c r="J441" s="452">
        <v>88.6</v>
      </c>
      <c r="K441" s="452">
        <v>88.6</v>
      </c>
      <c r="L441" s="452">
        <v>82.2</v>
      </c>
      <c r="M441" s="452">
        <v>71.400000000000006</v>
      </c>
      <c r="N441" s="452">
        <v>59.5</v>
      </c>
      <c r="O441" s="452">
        <v>49.5</v>
      </c>
      <c r="P441" s="452">
        <v>69.400000000000006</v>
      </c>
      <c r="Q441" s="454">
        <v>2</v>
      </c>
      <c r="R441" s="455">
        <f t="shared" si="6"/>
        <v>69.375</v>
      </c>
    </row>
    <row r="442" spans="1:18" ht="13.5" customHeight="1" x14ac:dyDescent="0.2">
      <c r="A442" s="449" t="s">
        <v>1590</v>
      </c>
      <c r="B442" s="450" t="s">
        <v>1635</v>
      </c>
      <c r="C442" s="451" t="s">
        <v>1393</v>
      </c>
      <c r="D442" s="452">
        <v>56.5</v>
      </c>
      <c r="E442" s="452">
        <v>60.6</v>
      </c>
      <c r="F442" s="452">
        <v>68</v>
      </c>
      <c r="G442" s="452">
        <v>76.599999999999994</v>
      </c>
      <c r="H442" s="452">
        <v>83.9</v>
      </c>
      <c r="I442" s="453">
        <v>89.9</v>
      </c>
      <c r="J442" s="452">
        <v>93.6</v>
      </c>
      <c r="K442" s="452">
        <v>92.8</v>
      </c>
      <c r="L442" s="452">
        <v>85.9</v>
      </c>
      <c r="M442" s="452">
        <v>76.8</v>
      </c>
      <c r="N442" s="452">
        <v>65.400000000000006</v>
      </c>
      <c r="O442" s="452">
        <v>57.4</v>
      </c>
      <c r="P442" s="452">
        <v>75.599999999999994</v>
      </c>
      <c r="Q442" s="454">
        <v>2</v>
      </c>
      <c r="R442" s="455">
        <f t="shared" si="6"/>
        <v>75.61666666666666</v>
      </c>
    </row>
    <row r="443" spans="1:18" ht="13.5" customHeight="1" x14ac:dyDescent="0.2">
      <c r="A443" s="449" t="s">
        <v>1591</v>
      </c>
      <c r="B443" s="450" t="s">
        <v>1635</v>
      </c>
      <c r="C443" s="451" t="s">
        <v>1393</v>
      </c>
      <c r="D443" s="452">
        <v>50.1</v>
      </c>
      <c r="E443" s="452">
        <v>54.4</v>
      </c>
      <c r="F443" s="452">
        <v>61.9</v>
      </c>
      <c r="G443" s="452">
        <v>70</v>
      </c>
      <c r="H443" s="452">
        <v>78.900000000000006</v>
      </c>
      <c r="I443" s="452">
        <v>87.1</v>
      </c>
      <c r="J443" s="452">
        <v>90.5</v>
      </c>
      <c r="K443" s="452">
        <v>88.3</v>
      </c>
      <c r="L443" s="452">
        <v>81.8</v>
      </c>
      <c r="M443" s="452">
        <v>71.3</v>
      </c>
      <c r="N443" s="452">
        <v>59</v>
      </c>
      <c r="O443" s="452">
        <v>50.1</v>
      </c>
      <c r="P443" s="452">
        <v>70.3</v>
      </c>
      <c r="Q443" s="454">
        <v>2</v>
      </c>
      <c r="R443" s="455">
        <f t="shared" si="6"/>
        <v>70.283333333333317</v>
      </c>
    </row>
    <row r="444" spans="1:18" ht="13.5" customHeight="1" x14ac:dyDescent="0.2">
      <c r="A444" s="449" t="s">
        <v>1592</v>
      </c>
      <c r="B444" s="450" t="s">
        <v>1635</v>
      </c>
      <c r="C444" s="451" t="s">
        <v>1393</v>
      </c>
      <c r="D444" s="452">
        <v>61.6</v>
      </c>
      <c r="E444" s="452">
        <v>65.3</v>
      </c>
      <c r="F444" s="452">
        <v>71.599999999999994</v>
      </c>
      <c r="G444" s="452">
        <v>78.900000000000006</v>
      </c>
      <c r="H444" s="452">
        <v>85.9</v>
      </c>
      <c r="I444" s="452">
        <v>91.5</v>
      </c>
      <c r="J444" s="452">
        <v>94.4</v>
      </c>
      <c r="K444" s="452">
        <v>95.5</v>
      </c>
      <c r="L444" s="452">
        <v>89.8</v>
      </c>
      <c r="M444" s="452">
        <v>81.400000000000006</v>
      </c>
      <c r="N444" s="452">
        <v>70.5</v>
      </c>
      <c r="O444" s="452">
        <v>63.1</v>
      </c>
      <c r="P444" s="452">
        <v>79.099999999999994</v>
      </c>
      <c r="Q444" s="454">
        <v>2</v>
      </c>
      <c r="R444" s="455">
        <f t="shared" si="6"/>
        <v>79.124999999999986</v>
      </c>
    </row>
    <row r="445" spans="1:18" ht="13.5" customHeight="1" x14ac:dyDescent="0.2">
      <c r="A445" s="449" t="s">
        <v>1593</v>
      </c>
      <c r="B445" s="450" t="s">
        <v>1635</v>
      </c>
      <c r="C445" s="451" t="s">
        <v>1393</v>
      </c>
      <c r="D445" s="452">
        <v>70.599999999999994</v>
      </c>
      <c r="E445" s="452">
        <v>73.7</v>
      </c>
      <c r="F445" s="452">
        <v>78.099999999999994</v>
      </c>
      <c r="G445" s="452">
        <v>82.8</v>
      </c>
      <c r="H445" s="452">
        <v>88</v>
      </c>
      <c r="I445" s="452">
        <v>91.6</v>
      </c>
      <c r="J445" s="452">
        <v>92.8</v>
      </c>
      <c r="K445" s="452">
        <v>93.5</v>
      </c>
      <c r="L445" s="452">
        <v>89.6</v>
      </c>
      <c r="M445" s="452">
        <v>84.7</v>
      </c>
      <c r="N445" s="452">
        <v>78</v>
      </c>
      <c r="O445" s="452">
        <v>71.599999999999994</v>
      </c>
      <c r="P445" s="452">
        <v>82.9</v>
      </c>
      <c r="Q445" s="454">
        <v>2</v>
      </c>
      <c r="R445" s="455">
        <f t="shared" si="6"/>
        <v>82.916666666666671</v>
      </c>
    </row>
    <row r="446" spans="1:18" ht="13.5" customHeight="1" x14ac:dyDescent="0.2">
      <c r="A446" s="449" t="s">
        <v>1594</v>
      </c>
      <c r="B446" s="450" t="s">
        <v>1635</v>
      </c>
      <c r="C446" s="451" t="s">
        <v>1393</v>
      </c>
      <c r="D446" s="452">
        <v>66.900000000000006</v>
      </c>
      <c r="E446" s="452">
        <v>70.599999999999994</v>
      </c>
      <c r="F446" s="452">
        <v>75.5</v>
      </c>
      <c r="G446" s="452">
        <v>81.099999999999994</v>
      </c>
      <c r="H446" s="452">
        <v>86.2</v>
      </c>
      <c r="I446" s="452">
        <v>90.4</v>
      </c>
      <c r="J446" s="452">
        <v>92.4</v>
      </c>
      <c r="K446" s="452">
        <v>93.8</v>
      </c>
      <c r="L446" s="452">
        <v>89.3</v>
      </c>
      <c r="M446" s="452">
        <v>83.7</v>
      </c>
      <c r="N446" s="452">
        <v>75.099999999999994</v>
      </c>
      <c r="O446" s="452">
        <v>68.5</v>
      </c>
      <c r="P446" s="452">
        <v>81.099999999999994</v>
      </c>
      <c r="Q446" s="454">
        <v>2</v>
      </c>
      <c r="R446" s="455">
        <f t="shared" si="6"/>
        <v>81.125</v>
      </c>
    </row>
    <row r="447" spans="1:18" ht="13.5" customHeight="1" x14ac:dyDescent="0.2">
      <c r="A447" s="449" t="s">
        <v>1595</v>
      </c>
      <c r="B447" s="450" t="s">
        <v>1635</v>
      </c>
      <c r="C447" s="451" t="s">
        <v>1393</v>
      </c>
      <c r="D447" s="452">
        <v>56.2</v>
      </c>
      <c r="E447" s="452">
        <v>60.7</v>
      </c>
      <c r="F447" s="452">
        <v>67.8</v>
      </c>
      <c r="G447" s="452">
        <v>75.7</v>
      </c>
      <c r="H447" s="452">
        <v>83.4</v>
      </c>
      <c r="I447" s="452">
        <v>91</v>
      </c>
      <c r="J447" s="452">
        <v>95.3</v>
      </c>
      <c r="K447" s="452">
        <v>95.3</v>
      </c>
      <c r="L447" s="452">
        <v>87.8</v>
      </c>
      <c r="M447" s="452">
        <v>78</v>
      </c>
      <c r="N447" s="452">
        <v>66.2</v>
      </c>
      <c r="O447" s="452">
        <v>57.7</v>
      </c>
      <c r="P447" s="452">
        <v>76.3</v>
      </c>
      <c r="Q447" s="454">
        <v>2</v>
      </c>
      <c r="R447" s="455">
        <f t="shared" si="6"/>
        <v>76.258333333333326</v>
      </c>
    </row>
    <row r="448" spans="1:18" ht="13.5" customHeight="1" x14ac:dyDescent="0.2">
      <c r="A448" s="449" t="s">
        <v>1596</v>
      </c>
      <c r="B448" s="450" t="s">
        <v>1635</v>
      </c>
      <c r="C448" s="451" t="s">
        <v>1393</v>
      </c>
      <c r="D448" s="452">
        <v>58.2</v>
      </c>
      <c r="E448" s="452">
        <v>63.2</v>
      </c>
      <c r="F448" s="452">
        <v>70.3</v>
      </c>
      <c r="G448" s="452">
        <v>78.7</v>
      </c>
      <c r="H448" s="452">
        <v>88.2</v>
      </c>
      <c r="I448" s="452">
        <v>95.4</v>
      </c>
      <c r="J448" s="452">
        <v>94.4</v>
      </c>
      <c r="K448" s="452">
        <v>92.4</v>
      </c>
      <c r="L448" s="452">
        <v>87.4</v>
      </c>
      <c r="M448" s="452">
        <v>78.3</v>
      </c>
      <c r="N448" s="452">
        <v>66.099999999999994</v>
      </c>
      <c r="O448" s="452">
        <v>57.3</v>
      </c>
      <c r="P448" s="452">
        <v>77.5</v>
      </c>
      <c r="Q448" s="454">
        <v>2</v>
      </c>
      <c r="R448" s="455">
        <f t="shared" si="6"/>
        <v>77.49166666666666</v>
      </c>
    </row>
    <row r="449" spans="1:18" ht="13.5" customHeight="1" x14ac:dyDescent="0.2">
      <c r="A449" s="449" t="s">
        <v>1597</v>
      </c>
      <c r="B449" s="450" t="s">
        <v>1635</v>
      </c>
      <c r="C449" s="451" t="s">
        <v>1393</v>
      </c>
      <c r="D449" s="452">
        <v>62.6</v>
      </c>
      <c r="E449" s="452">
        <v>66.400000000000006</v>
      </c>
      <c r="F449" s="452">
        <v>72.3</v>
      </c>
      <c r="G449" s="452">
        <v>78.7</v>
      </c>
      <c r="H449" s="452">
        <v>85.9</v>
      </c>
      <c r="I449" s="452">
        <v>90.7</v>
      </c>
      <c r="J449" s="452">
        <v>93.1</v>
      </c>
      <c r="K449" s="452">
        <v>93.4</v>
      </c>
      <c r="L449" s="452">
        <v>88.9</v>
      </c>
      <c r="M449" s="452">
        <v>81.2</v>
      </c>
      <c r="N449" s="452">
        <v>71.2</v>
      </c>
      <c r="O449" s="452">
        <v>64.099999999999994</v>
      </c>
      <c r="P449" s="452">
        <v>79</v>
      </c>
      <c r="Q449" s="454">
        <v>2</v>
      </c>
      <c r="R449" s="455">
        <f t="shared" si="6"/>
        <v>79.041666666666671</v>
      </c>
    </row>
    <row r="450" spans="1:18" ht="13.5" customHeight="1" x14ac:dyDescent="0.2">
      <c r="A450" s="449" t="s">
        <v>1598</v>
      </c>
      <c r="B450" s="450" t="s">
        <v>1635</v>
      </c>
      <c r="C450" s="451" t="s">
        <v>1393</v>
      </c>
      <c r="D450" s="452">
        <v>54</v>
      </c>
      <c r="E450" s="452">
        <v>58.8</v>
      </c>
      <c r="F450" s="452">
        <v>66.099999999999994</v>
      </c>
      <c r="G450" s="452">
        <v>74.7</v>
      </c>
      <c r="H450" s="452">
        <v>83.3</v>
      </c>
      <c r="I450" s="452">
        <v>90.3</v>
      </c>
      <c r="J450" s="452">
        <v>92.3</v>
      </c>
      <c r="K450" s="452">
        <v>90.6</v>
      </c>
      <c r="L450" s="452">
        <v>84</v>
      </c>
      <c r="M450" s="452">
        <v>74.8</v>
      </c>
      <c r="N450" s="452">
        <v>62.7</v>
      </c>
      <c r="O450" s="452">
        <v>54.6</v>
      </c>
      <c r="P450" s="452">
        <v>73.900000000000006</v>
      </c>
      <c r="Q450" s="454">
        <v>2</v>
      </c>
      <c r="R450" s="455">
        <f t="shared" si="6"/>
        <v>73.850000000000009</v>
      </c>
    </row>
    <row r="451" spans="1:18" ht="13.5" customHeight="1" x14ac:dyDescent="0.2">
      <c r="A451" s="449" t="s">
        <v>1599</v>
      </c>
      <c r="B451" s="450" t="s">
        <v>1635</v>
      </c>
      <c r="C451" s="451" t="s">
        <v>1393</v>
      </c>
      <c r="D451" s="452">
        <v>59.8</v>
      </c>
      <c r="E451" s="452">
        <v>64</v>
      </c>
      <c r="F451" s="452">
        <v>70.5</v>
      </c>
      <c r="G451" s="452">
        <v>77.5</v>
      </c>
      <c r="H451" s="452">
        <v>84.6</v>
      </c>
      <c r="I451" s="452">
        <v>90</v>
      </c>
      <c r="J451" s="452">
        <v>93.1</v>
      </c>
      <c r="K451" s="452">
        <v>93.6</v>
      </c>
      <c r="L451" s="452">
        <v>88.3</v>
      </c>
      <c r="M451" s="452">
        <v>79.5</v>
      </c>
      <c r="N451" s="452">
        <v>68.8</v>
      </c>
      <c r="O451" s="452">
        <v>61.1</v>
      </c>
      <c r="P451" s="452">
        <v>77.599999999999994</v>
      </c>
      <c r="Q451" s="454">
        <v>2</v>
      </c>
      <c r="R451" s="455">
        <f t="shared" si="6"/>
        <v>77.566666666666663</v>
      </c>
    </row>
    <row r="452" spans="1:18" ht="13.5" customHeight="1" x14ac:dyDescent="0.2">
      <c r="A452" s="449" t="s">
        <v>1600</v>
      </c>
      <c r="B452" s="450" t="s">
        <v>1635</v>
      </c>
      <c r="C452" s="451" t="s">
        <v>1393</v>
      </c>
      <c r="D452" s="452">
        <v>57.4</v>
      </c>
      <c r="E452" s="452">
        <v>62.2</v>
      </c>
      <c r="F452" s="452">
        <v>69.400000000000006</v>
      </c>
      <c r="G452" s="452">
        <v>78.400000000000006</v>
      </c>
      <c r="H452" s="452">
        <v>87.1</v>
      </c>
      <c r="I452" s="452">
        <v>93</v>
      </c>
      <c r="J452" s="452">
        <v>93.8</v>
      </c>
      <c r="K452" s="452">
        <v>92.4</v>
      </c>
      <c r="L452" s="452">
        <v>86</v>
      </c>
      <c r="M452" s="452">
        <v>77.5</v>
      </c>
      <c r="N452" s="452">
        <v>65.599999999999994</v>
      </c>
      <c r="O452" s="452">
        <v>58.1</v>
      </c>
      <c r="P452" s="452">
        <v>76.7</v>
      </c>
      <c r="Q452" s="454">
        <v>2</v>
      </c>
      <c r="R452" s="455">
        <f t="shared" ref="R452:R515" si="7">AVERAGE(D452:O452)</f>
        <v>76.74166666666666</v>
      </c>
    </row>
    <row r="453" spans="1:18" ht="13.5" customHeight="1" x14ac:dyDescent="0.2">
      <c r="A453" s="449" t="s">
        <v>1601</v>
      </c>
      <c r="B453" s="450" t="s">
        <v>1635</v>
      </c>
      <c r="C453" s="451" t="s">
        <v>1393</v>
      </c>
      <c r="D453" s="452">
        <v>61.9</v>
      </c>
      <c r="E453" s="452">
        <v>65.3</v>
      </c>
      <c r="F453" s="452">
        <v>71.2</v>
      </c>
      <c r="G453" s="452">
        <v>77.3</v>
      </c>
      <c r="H453" s="452">
        <v>84.3</v>
      </c>
      <c r="I453" s="452">
        <v>89.1</v>
      </c>
      <c r="J453" s="452">
        <v>91</v>
      </c>
      <c r="K453" s="452">
        <v>91.5</v>
      </c>
      <c r="L453" s="452">
        <v>87.8</v>
      </c>
      <c r="M453" s="452">
        <v>80.2</v>
      </c>
      <c r="N453" s="452">
        <v>70.5</v>
      </c>
      <c r="O453" s="452">
        <v>63.4</v>
      </c>
      <c r="P453" s="452">
        <v>77.8</v>
      </c>
      <c r="Q453" s="454">
        <v>2</v>
      </c>
      <c r="R453" s="455">
        <f t="shared" si="7"/>
        <v>77.791666666666671</v>
      </c>
    </row>
    <row r="454" spans="1:18" ht="13.5" customHeight="1" x14ac:dyDescent="0.2">
      <c r="A454" s="449" t="s">
        <v>1602</v>
      </c>
      <c r="B454" s="450" t="s">
        <v>1635</v>
      </c>
      <c r="C454" s="451" t="s">
        <v>1393</v>
      </c>
      <c r="D454" s="452">
        <v>59.5</v>
      </c>
      <c r="E454" s="452">
        <v>63.7</v>
      </c>
      <c r="F454" s="452">
        <v>70.7</v>
      </c>
      <c r="G454" s="452">
        <v>79.5</v>
      </c>
      <c r="H454" s="452">
        <v>87.4</v>
      </c>
      <c r="I454" s="452">
        <v>92.4</v>
      </c>
      <c r="J454" s="452">
        <v>95.1</v>
      </c>
      <c r="K454" s="452">
        <v>94</v>
      </c>
      <c r="L454" s="452">
        <v>87.4</v>
      </c>
      <c r="M454" s="452">
        <v>78.599999999999994</v>
      </c>
      <c r="N454" s="452">
        <v>67.400000000000006</v>
      </c>
      <c r="O454" s="452">
        <v>60.5</v>
      </c>
      <c r="P454" s="452">
        <v>78</v>
      </c>
      <c r="Q454" s="454">
        <v>2</v>
      </c>
      <c r="R454" s="455">
        <f t="shared" si="7"/>
        <v>78.016666666666666</v>
      </c>
    </row>
    <row r="455" spans="1:18" ht="13.5" customHeight="1" x14ac:dyDescent="0.2">
      <c r="A455" s="449" t="s">
        <v>1603</v>
      </c>
      <c r="B455" s="450" t="s">
        <v>1635</v>
      </c>
      <c r="C455" s="451" t="s">
        <v>1393</v>
      </c>
      <c r="D455" s="452">
        <v>62.9</v>
      </c>
      <c r="E455" s="452">
        <v>67.2</v>
      </c>
      <c r="F455" s="452">
        <v>73.099999999999994</v>
      </c>
      <c r="G455" s="452">
        <v>79.900000000000006</v>
      </c>
      <c r="H455" s="452">
        <v>86.6</v>
      </c>
      <c r="I455" s="452">
        <v>91.9</v>
      </c>
      <c r="J455" s="452">
        <v>94</v>
      </c>
      <c r="K455" s="452">
        <v>95</v>
      </c>
      <c r="L455" s="452">
        <v>89.5</v>
      </c>
      <c r="M455" s="452">
        <v>81.599999999999994</v>
      </c>
      <c r="N455" s="452">
        <v>71.3</v>
      </c>
      <c r="O455" s="452">
        <v>64.3</v>
      </c>
      <c r="P455" s="452">
        <v>79.8</v>
      </c>
      <c r="Q455" s="454">
        <v>2</v>
      </c>
      <c r="R455" s="455">
        <f t="shared" si="7"/>
        <v>79.774999999999991</v>
      </c>
    </row>
    <row r="456" spans="1:18" ht="13.5" customHeight="1" x14ac:dyDescent="0.2">
      <c r="A456" s="449" t="s">
        <v>1604</v>
      </c>
      <c r="B456" s="450" t="s">
        <v>1635</v>
      </c>
      <c r="C456" s="451" t="s">
        <v>1393</v>
      </c>
      <c r="D456" s="452">
        <v>64.599999999999994</v>
      </c>
      <c r="E456" s="452">
        <v>68.2</v>
      </c>
      <c r="F456" s="452">
        <v>73.5</v>
      </c>
      <c r="G456" s="452">
        <v>79.599999999999994</v>
      </c>
      <c r="H456" s="452">
        <v>86.1</v>
      </c>
      <c r="I456" s="453">
        <v>91</v>
      </c>
      <c r="J456" s="452">
        <v>93.1</v>
      </c>
      <c r="K456" s="452">
        <v>94</v>
      </c>
      <c r="L456" s="452">
        <v>89.5</v>
      </c>
      <c r="M456" s="452">
        <v>82.7</v>
      </c>
      <c r="N456" s="452">
        <v>73.099999999999994</v>
      </c>
      <c r="O456" s="452">
        <v>66.099999999999994</v>
      </c>
      <c r="P456" s="452">
        <v>80.099999999999994</v>
      </c>
      <c r="Q456" s="454">
        <v>2</v>
      </c>
      <c r="R456" s="455">
        <f t="shared" si="7"/>
        <v>80.125000000000014</v>
      </c>
    </row>
    <row r="457" spans="1:18" ht="13.5" customHeight="1" x14ac:dyDescent="0.2">
      <c r="A457" s="449" t="s">
        <v>1605</v>
      </c>
      <c r="B457" s="450" t="s">
        <v>1635</v>
      </c>
      <c r="C457" s="451" t="s">
        <v>1393</v>
      </c>
      <c r="D457" s="452">
        <v>58.4</v>
      </c>
      <c r="E457" s="452">
        <v>62.4</v>
      </c>
      <c r="F457" s="452">
        <v>69.2</v>
      </c>
      <c r="G457" s="452">
        <v>77.099999999999994</v>
      </c>
      <c r="H457" s="452">
        <v>84.7</v>
      </c>
      <c r="I457" s="453">
        <v>91.5</v>
      </c>
      <c r="J457" s="452">
        <v>95.8</v>
      </c>
      <c r="K457" s="452">
        <v>96</v>
      </c>
      <c r="L457" s="452">
        <v>89.4</v>
      </c>
      <c r="M457" s="452">
        <v>79.8</v>
      </c>
      <c r="N457" s="452">
        <v>68</v>
      </c>
      <c r="O457" s="452">
        <v>59.7</v>
      </c>
      <c r="P457" s="452">
        <v>77.7</v>
      </c>
      <c r="Q457" s="454">
        <v>2</v>
      </c>
      <c r="R457" s="455">
        <f t="shared" si="7"/>
        <v>77.666666666666671</v>
      </c>
    </row>
    <row r="458" spans="1:18" ht="13.5" customHeight="1" x14ac:dyDescent="0.2">
      <c r="A458" s="449" t="s">
        <v>1606</v>
      </c>
      <c r="B458" s="450" t="s">
        <v>1635</v>
      </c>
      <c r="C458" s="451" t="s">
        <v>1393</v>
      </c>
      <c r="D458" s="452">
        <v>41.9</v>
      </c>
      <c r="E458" s="452">
        <v>46</v>
      </c>
      <c r="F458" s="452">
        <v>54.6</v>
      </c>
      <c r="G458" s="452">
        <v>61.1</v>
      </c>
      <c r="H458" s="452">
        <v>72.3</v>
      </c>
      <c r="I458" s="453">
        <v>82.5</v>
      </c>
      <c r="J458" s="452">
        <v>89.5</v>
      </c>
      <c r="K458" s="452">
        <v>87.2</v>
      </c>
      <c r="L458" s="452">
        <v>79.3</v>
      </c>
      <c r="M458" s="452">
        <v>65.7</v>
      </c>
      <c r="N458" s="452">
        <v>51.7</v>
      </c>
      <c r="O458" s="452">
        <v>41.5</v>
      </c>
      <c r="P458" s="452">
        <v>64.400000000000006</v>
      </c>
      <c r="Q458" s="454">
        <v>2</v>
      </c>
      <c r="R458" s="455">
        <f t="shared" si="7"/>
        <v>64.441666666666677</v>
      </c>
    </row>
    <row r="459" spans="1:18" ht="13.5" customHeight="1" x14ac:dyDescent="0.2">
      <c r="A459" s="449" t="s">
        <v>1607</v>
      </c>
      <c r="B459" s="450" t="s">
        <v>1635</v>
      </c>
      <c r="C459" s="451" t="s">
        <v>1393</v>
      </c>
      <c r="D459" s="452">
        <v>37.700000000000003</v>
      </c>
      <c r="E459" s="452">
        <v>43.1</v>
      </c>
      <c r="F459" s="452">
        <v>53.4</v>
      </c>
      <c r="G459" s="452">
        <v>60.3</v>
      </c>
      <c r="H459" s="452">
        <v>71.5</v>
      </c>
      <c r="I459" s="453">
        <v>81.8</v>
      </c>
      <c r="J459" s="452">
        <v>92.4</v>
      </c>
      <c r="K459" s="452">
        <v>90.1</v>
      </c>
      <c r="L459" s="452">
        <v>78.900000000000006</v>
      </c>
      <c r="M459" s="452">
        <v>64</v>
      </c>
      <c r="N459" s="452">
        <v>48.7</v>
      </c>
      <c r="O459" s="452">
        <v>38</v>
      </c>
      <c r="P459" s="452">
        <v>63.3</v>
      </c>
      <c r="Q459" s="454">
        <v>2</v>
      </c>
      <c r="R459" s="455">
        <f t="shared" si="7"/>
        <v>63.32500000000001</v>
      </c>
    </row>
    <row r="460" spans="1:18" ht="13.5" customHeight="1" x14ac:dyDescent="0.2">
      <c r="A460" s="449" t="s">
        <v>1608</v>
      </c>
      <c r="B460" s="450" t="s">
        <v>1635</v>
      </c>
      <c r="C460" s="451" t="s">
        <v>1393</v>
      </c>
      <c r="D460" s="452">
        <v>27</v>
      </c>
      <c r="E460" s="452">
        <v>29.8</v>
      </c>
      <c r="F460" s="452">
        <v>39.6</v>
      </c>
      <c r="G460" s="452">
        <v>54.1</v>
      </c>
      <c r="H460" s="452">
        <v>66.8</v>
      </c>
      <c r="I460" s="453">
        <v>76.2</v>
      </c>
      <c r="J460" s="452">
        <v>79.900000000000006</v>
      </c>
      <c r="K460" s="452">
        <v>78.599999999999994</v>
      </c>
      <c r="L460" s="452">
        <v>70.3</v>
      </c>
      <c r="M460" s="452">
        <v>56.6</v>
      </c>
      <c r="N460" s="452">
        <v>45.1</v>
      </c>
      <c r="O460" s="452">
        <v>33.200000000000003</v>
      </c>
      <c r="P460" s="452">
        <v>54.8</v>
      </c>
      <c r="Q460" s="454">
        <v>2</v>
      </c>
      <c r="R460" s="455">
        <f t="shared" si="7"/>
        <v>54.766666666666673</v>
      </c>
    </row>
    <row r="461" spans="1:18" ht="13.5" customHeight="1" x14ac:dyDescent="0.2">
      <c r="A461" s="449" t="s">
        <v>1609</v>
      </c>
      <c r="B461" s="450" t="s">
        <v>1635</v>
      </c>
      <c r="C461" s="451" t="s">
        <v>1393</v>
      </c>
      <c r="D461" s="452">
        <v>42.4</v>
      </c>
      <c r="E461" s="452">
        <v>45.2</v>
      </c>
      <c r="F461" s="452">
        <v>54.4</v>
      </c>
      <c r="G461" s="452">
        <v>66.3</v>
      </c>
      <c r="H461" s="452">
        <v>74</v>
      </c>
      <c r="I461" s="453">
        <v>82.5</v>
      </c>
      <c r="J461" s="452">
        <v>86.4</v>
      </c>
      <c r="K461" s="452">
        <v>85.9</v>
      </c>
      <c r="L461" s="452">
        <v>78.3</v>
      </c>
      <c r="M461" s="452">
        <v>67</v>
      </c>
      <c r="N461" s="452">
        <v>56.2</v>
      </c>
      <c r="O461" s="452">
        <v>45.2</v>
      </c>
      <c r="P461" s="452">
        <v>65.3</v>
      </c>
      <c r="Q461" s="454">
        <v>2</v>
      </c>
      <c r="R461" s="455">
        <f t="shared" si="7"/>
        <v>65.316666666666677</v>
      </c>
    </row>
    <row r="462" spans="1:18" ht="13.5" customHeight="1" x14ac:dyDescent="0.2">
      <c r="A462" s="449" t="s">
        <v>1610</v>
      </c>
      <c r="B462" s="450" t="s">
        <v>1635</v>
      </c>
      <c r="C462" s="451" t="s">
        <v>1393</v>
      </c>
      <c r="D462" s="452">
        <v>43.6</v>
      </c>
      <c r="E462" s="452">
        <v>46.3</v>
      </c>
      <c r="F462" s="452">
        <v>55.2</v>
      </c>
      <c r="G462" s="452">
        <v>66.3</v>
      </c>
      <c r="H462" s="452">
        <v>74.599999999999994</v>
      </c>
      <c r="I462" s="453">
        <v>83.3</v>
      </c>
      <c r="J462" s="452">
        <v>87.6</v>
      </c>
      <c r="K462" s="452">
        <v>86.3</v>
      </c>
      <c r="L462" s="452">
        <v>79</v>
      </c>
      <c r="M462" s="452">
        <v>67.599999999999994</v>
      </c>
      <c r="N462" s="452">
        <v>57</v>
      </c>
      <c r="O462" s="452">
        <v>46.5</v>
      </c>
      <c r="P462" s="452">
        <v>66.099999999999994</v>
      </c>
      <c r="Q462" s="454">
        <v>2</v>
      </c>
      <c r="R462" s="455">
        <f t="shared" si="7"/>
        <v>66.108333333333334</v>
      </c>
    </row>
    <row r="463" spans="1:18" ht="13.5" customHeight="1" x14ac:dyDescent="0.2">
      <c r="A463" s="449" t="s">
        <v>1611</v>
      </c>
      <c r="B463" s="450" t="s">
        <v>1635</v>
      </c>
      <c r="C463" s="451" t="s">
        <v>1393</v>
      </c>
      <c r="D463" s="452">
        <v>45.5</v>
      </c>
      <c r="E463" s="452">
        <v>48.3</v>
      </c>
      <c r="F463" s="453">
        <v>57.2</v>
      </c>
      <c r="G463" s="452">
        <v>67.900000000000006</v>
      </c>
      <c r="H463" s="452">
        <v>74.599999999999994</v>
      </c>
      <c r="I463" s="453">
        <v>82.2</v>
      </c>
      <c r="J463" s="452">
        <v>85.6</v>
      </c>
      <c r="K463" s="452">
        <v>84.7</v>
      </c>
      <c r="L463" s="452">
        <v>77.900000000000006</v>
      </c>
      <c r="M463" s="452">
        <v>67.900000000000006</v>
      </c>
      <c r="N463" s="452">
        <v>57.7</v>
      </c>
      <c r="O463" s="452">
        <v>47.4</v>
      </c>
      <c r="P463" s="452">
        <v>66.400000000000006</v>
      </c>
      <c r="Q463" s="454">
        <v>2</v>
      </c>
      <c r="R463" s="455">
        <f t="shared" si="7"/>
        <v>66.408333333333331</v>
      </c>
    </row>
    <row r="464" spans="1:18" ht="13.5" customHeight="1" x14ac:dyDescent="0.2">
      <c r="A464" s="449" t="s">
        <v>1612</v>
      </c>
      <c r="B464" s="450" t="s">
        <v>1635</v>
      </c>
      <c r="C464" s="451" t="s">
        <v>1393</v>
      </c>
      <c r="D464" s="452">
        <v>49.3</v>
      </c>
      <c r="E464" s="452">
        <v>50.9</v>
      </c>
      <c r="F464" s="453">
        <v>58.3</v>
      </c>
      <c r="G464" s="452">
        <v>68.099999999999994</v>
      </c>
      <c r="H464" s="452">
        <v>75.099999999999994</v>
      </c>
      <c r="I464" s="453">
        <v>83.1</v>
      </c>
      <c r="J464" s="452">
        <v>87.2</v>
      </c>
      <c r="K464" s="452">
        <v>85.2</v>
      </c>
      <c r="L464" s="452">
        <v>79.3</v>
      </c>
      <c r="M464" s="452">
        <v>70</v>
      </c>
      <c r="N464" s="452">
        <v>60.6</v>
      </c>
      <c r="O464" s="452">
        <v>52.1</v>
      </c>
      <c r="P464" s="452">
        <v>68.3</v>
      </c>
      <c r="Q464" s="454">
        <v>2</v>
      </c>
      <c r="R464" s="455">
        <f t="shared" si="7"/>
        <v>68.266666666666666</v>
      </c>
    </row>
    <row r="465" spans="1:18" ht="13.5" customHeight="1" x14ac:dyDescent="0.2">
      <c r="A465" s="449" t="s">
        <v>1613</v>
      </c>
      <c r="B465" s="450" t="s">
        <v>1635</v>
      </c>
      <c r="C465" s="451" t="s">
        <v>1393</v>
      </c>
      <c r="D465" s="452">
        <v>47.5</v>
      </c>
      <c r="E465" s="452">
        <v>50.5</v>
      </c>
      <c r="F465" s="453">
        <v>59</v>
      </c>
      <c r="G465" s="452">
        <v>69.7</v>
      </c>
      <c r="H465" s="452">
        <v>76.599999999999994</v>
      </c>
      <c r="I465" s="453">
        <v>84.7</v>
      </c>
      <c r="J465" s="452">
        <v>88.5</v>
      </c>
      <c r="K465" s="452">
        <v>86.9</v>
      </c>
      <c r="L465" s="452">
        <v>80.3</v>
      </c>
      <c r="M465" s="452">
        <v>70.2</v>
      </c>
      <c r="N465" s="452">
        <v>60.2</v>
      </c>
      <c r="O465" s="452">
        <v>50.1</v>
      </c>
      <c r="P465" s="452">
        <v>68.7</v>
      </c>
      <c r="Q465" s="454">
        <v>2</v>
      </c>
      <c r="R465" s="455">
        <f t="shared" si="7"/>
        <v>68.683333333333337</v>
      </c>
    </row>
    <row r="466" spans="1:18" ht="13.5" customHeight="1" x14ac:dyDescent="0.2">
      <c r="A466" s="449" t="s">
        <v>1614</v>
      </c>
      <c r="B466" s="450" t="s">
        <v>1635</v>
      </c>
      <c r="C466" s="451" t="s">
        <v>1393</v>
      </c>
      <c r="D466" s="452">
        <v>45.8</v>
      </c>
      <c r="E466" s="452">
        <v>48.7</v>
      </c>
      <c r="F466" s="453">
        <v>57.3</v>
      </c>
      <c r="G466" s="452">
        <v>67.8</v>
      </c>
      <c r="H466" s="452">
        <v>75</v>
      </c>
      <c r="I466" s="453">
        <v>82.3</v>
      </c>
      <c r="J466" s="452">
        <v>85.9</v>
      </c>
      <c r="K466" s="452">
        <v>85.1</v>
      </c>
      <c r="L466" s="452">
        <v>78</v>
      </c>
      <c r="M466" s="452">
        <v>68.400000000000006</v>
      </c>
      <c r="N466" s="452">
        <v>57.7</v>
      </c>
      <c r="O466" s="452">
        <v>47.4</v>
      </c>
      <c r="P466" s="452">
        <v>66.599999999999994</v>
      </c>
      <c r="Q466" s="454">
        <v>2</v>
      </c>
      <c r="R466" s="455">
        <f t="shared" si="7"/>
        <v>66.616666666666674</v>
      </c>
    </row>
    <row r="467" spans="1:18" ht="13.5" customHeight="1" x14ac:dyDescent="0.2">
      <c r="A467" s="449" t="s">
        <v>1615</v>
      </c>
      <c r="B467" s="450" t="s">
        <v>1635</v>
      </c>
      <c r="C467" s="451" t="s">
        <v>1393</v>
      </c>
      <c r="D467" s="452">
        <v>45.7</v>
      </c>
      <c r="E467" s="452">
        <v>49.3</v>
      </c>
      <c r="F467" s="453">
        <v>53.2</v>
      </c>
      <c r="G467" s="452">
        <v>58</v>
      </c>
      <c r="H467" s="452">
        <v>64.900000000000006</v>
      </c>
      <c r="I467" s="453">
        <v>69.7</v>
      </c>
      <c r="J467" s="452">
        <v>76.7</v>
      </c>
      <c r="K467" s="452">
        <v>76.599999999999994</v>
      </c>
      <c r="L467" s="452">
        <v>71.5</v>
      </c>
      <c r="M467" s="452">
        <v>59.7</v>
      </c>
      <c r="N467" s="452">
        <v>50.2</v>
      </c>
      <c r="O467" s="452">
        <v>44.5</v>
      </c>
      <c r="P467" s="452">
        <v>60</v>
      </c>
      <c r="Q467" s="454">
        <v>2</v>
      </c>
      <c r="R467" s="455">
        <f t="shared" si="7"/>
        <v>60.000000000000007</v>
      </c>
    </row>
    <row r="468" spans="1:18" ht="13.5" customHeight="1" x14ac:dyDescent="0.2">
      <c r="A468" s="449" t="s">
        <v>1616</v>
      </c>
      <c r="B468" s="450" t="s">
        <v>1635</v>
      </c>
      <c r="C468" s="451" t="s">
        <v>1393</v>
      </c>
      <c r="D468" s="452">
        <v>47.1</v>
      </c>
      <c r="E468" s="452">
        <v>49.5</v>
      </c>
      <c r="F468" s="453">
        <v>50.8</v>
      </c>
      <c r="G468" s="452">
        <v>54.2</v>
      </c>
      <c r="H468" s="452">
        <v>59.1</v>
      </c>
      <c r="I468" s="453">
        <v>62.7</v>
      </c>
      <c r="J468" s="452">
        <v>66.900000000000006</v>
      </c>
      <c r="K468" s="452">
        <v>67.599999999999994</v>
      </c>
      <c r="L468" s="452">
        <v>65.8</v>
      </c>
      <c r="M468" s="452">
        <v>57.9</v>
      </c>
      <c r="N468" s="452">
        <v>50.7</v>
      </c>
      <c r="O468" s="452">
        <v>46.5</v>
      </c>
      <c r="P468" s="452">
        <v>56.6</v>
      </c>
      <c r="Q468" s="454">
        <v>2</v>
      </c>
      <c r="R468" s="455">
        <f t="shared" si="7"/>
        <v>56.566666666666663</v>
      </c>
    </row>
    <row r="469" spans="1:18" ht="13.5" customHeight="1" x14ac:dyDescent="0.2">
      <c r="A469" s="449" t="s">
        <v>1617</v>
      </c>
      <c r="B469" s="450" t="s">
        <v>1635</v>
      </c>
      <c r="C469" s="451" t="s">
        <v>1393</v>
      </c>
      <c r="D469" s="452">
        <v>46.4</v>
      </c>
      <c r="E469" s="452">
        <v>49.4</v>
      </c>
      <c r="F469" s="453">
        <v>52.4</v>
      </c>
      <c r="G469" s="452">
        <v>57.2</v>
      </c>
      <c r="H469" s="456">
        <v>63.7</v>
      </c>
      <c r="I469" s="452">
        <v>68.5</v>
      </c>
      <c r="J469" s="452">
        <v>75.099999999999994</v>
      </c>
      <c r="K469" s="452">
        <v>74.8</v>
      </c>
      <c r="L469" s="452">
        <v>69.5</v>
      </c>
      <c r="M469" s="452">
        <v>58.6</v>
      </c>
      <c r="N469" s="452">
        <v>50.3</v>
      </c>
      <c r="O469" s="452">
        <v>45.4</v>
      </c>
      <c r="P469" s="452">
        <v>59.3</v>
      </c>
      <c r="Q469" s="454">
        <v>2</v>
      </c>
      <c r="R469" s="455">
        <f t="shared" si="7"/>
        <v>59.274999999999999</v>
      </c>
    </row>
    <row r="470" spans="1:18" ht="13.5" customHeight="1" x14ac:dyDescent="0.2">
      <c r="A470" s="449" t="s">
        <v>1618</v>
      </c>
      <c r="B470" s="450" t="s">
        <v>1635</v>
      </c>
      <c r="C470" s="451" t="s">
        <v>1393</v>
      </c>
      <c r="D470" s="452">
        <v>34.1</v>
      </c>
      <c r="E470" s="452">
        <v>39.700000000000003</v>
      </c>
      <c r="F470" s="453">
        <v>48.1</v>
      </c>
      <c r="G470" s="452">
        <v>56</v>
      </c>
      <c r="H470" s="456">
        <v>65.8</v>
      </c>
      <c r="I470" s="452">
        <v>72.5</v>
      </c>
      <c r="J470" s="452">
        <v>83.2</v>
      </c>
      <c r="K470" s="452">
        <v>82.2</v>
      </c>
      <c r="L470" s="452">
        <v>72.8</v>
      </c>
      <c r="M470" s="452">
        <v>57.2</v>
      </c>
      <c r="N470" s="452">
        <v>41.5</v>
      </c>
      <c r="O470" s="452">
        <v>33</v>
      </c>
      <c r="P470" s="452">
        <v>57.2</v>
      </c>
      <c r="Q470" s="454">
        <v>2</v>
      </c>
      <c r="R470" s="455">
        <f t="shared" si="7"/>
        <v>57.175000000000004</v>
      </c>
    </row>
    <row r="471" spans="1:18" ht="13.5" customHeight="1" x14ac:dyDescent="0.2">
      <c r="A471" s="449" t="s">
        <v>1619</v>
      </c>
      <c r="B471" s="450" t="s">
        <v>1635</v>
      </c>
      <c r="C471" s="451" t="s">
        <v>1393</v>
      </c>
      <c r="D471" s="452">
        <v>30.7</v>
      </c>
      <c r="E471" s="452">
        <v>33.799999999999997</v>
      </c>
      <c r="F471" s="453">
        <v>37.9</v>
      </c>
      <c r="G471" s="452">
        <v>43.1</v>
      </c>
      <c r="H471" s="456">
        <v>51</v>
      </c>
      <c r="I471" s="452">
        <v>56.6</v>
      </c>
      <c r="J471" s="452">
        <v>65.7</v>
      </c>
      <c r="K471" s="452">
        <v>65.7</v>
      </c>
      <c r="L471" s="452">
        <v>60</v>
      </c>
      <c r="M471" s="452">
        <v>47.3</v>
      </c>
      <c r="N471" s="452">
        <v>36.200000000000003</v>
      </c>
      <c r="O471" s="452">
        <v>30.1</v>
      </c>
      <c r="P471" s="452">
        <v>46.5</v>
      </c>
      <c r="Q471" s="454">
        <v>2</v>
      </c>
      <c r="R471" s="455">
        <f t="shared" si="7"/>
        <v>46.508333333333333</v>
      </c>
    </row>
    <row r="472" spans="1:18" ht="13.5" customHeight="1" x14ac:dyDescent="0.2">
      <c r="A472" s="449" t="s">
        <v>1620</v>
      </c>
      <c r="B472" s="450" t="s">
        <v>1635</v>
      </c>
      <c r="C472" s="451" t="s">
        <v>1393</v>
      </c>
      <c r="D472" s="452">
        <v>38.1</v>
      </c>
      <c r="E472" s="452">
        <v>46</v>
      </c>
      <c r="F472" s="453">
        <v>55.3</v>
      </c>
      <c r="G472" s="452">
        <v>62.6</v>
      </c>
      <c r="H472" s="456">
        <v>71.8</v>
      </c>
      <c r="I472" s="452">
        <v>78.599999999999994</v>
      </c>
      <c r="J472" s="452">
        <v>87.9</v>
      </c>
      <c r="K472" s="452">
        <v>86.2</v>
      </c>
      <c r="L472" s="452">
        <v>77.900000000000006</v>
      </c>
      <c r="M472" s="452">
        <v>63</v>
      </c>
      <c r="N472" s="452">
        <v>47.3</v>
      </c>
      <c r="O472" s="452">
        <v>36.6</v>
      </c>
      <c r="P472" s="452">
        <v>62.6</v>
      </c>
      <c r="Q472" s="454">
        <v>2</v>
      </c>
      <c r="R472" s="455">
        <f t="shared" si="7"/>
        <v>62.608333333333327</v>
      </c>
    </row>
    <row r="473" spans="1:18" ht="13.5" customHeight="1" x14ac:dyDescent="0.2">
      <c r="A473" s="449" t="s">
        <v>1621</v>
      </c>
      <c r="B473" s="450" t="s">
        <v>1635</v>
      </c>
      <c r="C473" s="451" t="s">
        <v>1393</v>
      </c>
      <c r="D473" s="452">
        <v>39.5</v>
      </c>
      <c r="E473" s="452">
        <v>42.2</v>
      </c>
      <c r="F473" s="453">
        <v>50.7</v>
      </c>
      <c r="G473" s="452">
        <v>62.6</v>
      </c>
      <c r="H473" s="456">
        <v>69.3</v>
      </c>
      <c r="I473" s="452">
        <v>76</v>
      </c>
      <c r="J473" s="452">
        <v>78.7</v>
      </c>
      <c r="K473" s="452">
        <v>78.400000000000006</v>
      </c>
      <c r="L473" s="452">
        <v>72.3</v>
      </c>
      <c r="M473" s="452">
        <v>62.8</v>
      </c>
      <c r="N473" s="452">
        <v>51.9</v>
      </c>
      <c r="O473" s="452">
        <v>41.6</v>
      </c>
      <c r="P473" s="452">
        <v>60.5</v>
      </c>
      <c r="Q473" s="454">
        <v>2</v>
      </c>
      <c r="R473" s="455">
        <f t="shared" si="7"/>
        <v>60.499999999999993</v>
      </c>
    </row>
    <row r="474" spans="1:18" ht="13.5" customHeight="1" x14ac:dyDescent="0.2">
      <c r="A474" s="449" t="s">
        <v>1622</v>
      </c>
      <c r="B474" s="450" t="s">
        <v>1635</v>
      </c>
      <c r="C474" s="451" t="s">
        <v>1393</v>
      </c>
      <c r="D474" s="452">
        <v>43.1</v>
      </c>
      <c r="E474" s="452">
        <v>46.3</v>
      </c>
      <c r="F474" s="453">
        <v>55.5</v>
      </c>
      <c r="G474" s="452">
        <v>68.099999999999994</v>
      </c>
      <c r="H474" s="456">
        <v>74.5</v>
      </c>
      <c r="I474" s="452">
        <v>81.599999999999994</v>
      </c>
      <c r="J474" s="452">
        <v>84.4</v>
      </c>
      <c r="K474" s="452">
        <v>83.9</v>
      </c>
      <c r="L474" s="452">
        <v>77.7</v>
      </c>
      <c r="M474" s="452">
        <v>67.599999999999994</v>
      </c>
      <c r="N474" s="452">
        <v>56.3</v>
      </c>
      <c r="O474" s="452">
        <v>45.5</v>
      </c>
      <c r="P474" s="452">
        <v>65.400000000000006</v>
      </c>
      <c r="Q474" s="454">
        <v>2</v>
      </c>
      <c r="R474" s="455">
        <f t="shared" si="7"/>
        <v>65.375</v>
      </c>
    </row>
    <row r="475" spans="1:18" ht="13.5" customHeight="1" x14ac:dyDescent="0.2">
      <c r="A475" s="449" t="s">
        <v>1623</v>
      </c>
      <c r="B475" s="450" t="s">
        <v>1635</v>
      </c>
      <c r="C475" s="451" t="s">
        <v>1393</v>
      </c>
      <c r="D475" s="452">
        <v>39.700000000000003</v>
      </c>
      <c r="E475" s="452">
        <v>42.3</v>
      </c>
      <c r="F475" s="453">
        <v>51.2</v>
      </c>
      <c r="G475" s="452">
        <v>63.3</v>
      </c>
      <c r="H475" s="456">
        <v>70.5</v>
      </c>
      <c r="I475" s="452">
        <v>77.7</v>
      </c>
      <c r="J475" s="452">
        <v>80.5</v>
      </c>
      <c r="K475" s="452">
        <v>80.3</v>
      </c>
      <c r="L475" s="452">
        <v>73.900000000000006</v>
      </c>
      <c r="M475" s="452">
        <v>64</v>
      </c>
      <c r="N475" s="452">
        <v>52.7</v>
      </c>
      <c r="O475" s="452">
        <v>42.2</v>
      </c>
      <c r="P475" s="452">
        <v>61.5</v>
      </c>
      <c r="Q475" s="454">
        <v>2</v>
      </c>
      <c r="R475" s="455">
        <f t="shared" si="7"/>
        <v>61.525000000000006</v>
      </c>
    </row>
    <row r="476" spans="1:18" ht="13.5" customHeight="1" x14ac:dyDescent="0.2">
      <c r="A476" s="449" t="s">
        <v>1624</v>
      </c>
      <c r="B476" s="450" t="s">
        <v>1635</v>
      </c>
      <c r="C476" s="451" t="s">
        <v>1393</v>
      </c>
      <c r="D476" s="452">
        <v>42.4</v>
      </c>
      <c r="E476" s="452">
        <v>45.9</v>
      </c>
      <c r="F476" s="452">
        <v>55.5</v>
      </c>
      <c r="G476" s="452">
        <v>67.7</v>
      </c>
      <c r="H476" s="452">
        <v>74.7</v>
      </c>
      <c r="I476" s="452">
        <v>82</v>
      </c>
      <c r="J476" s="452">
        <v>85</v>
      </c>
      <c r="K476" s="452">
        <v>84.7</v>
      </c>
      <c r="L476" s="452">
        <v>78.2</v>
      </c>
      <c r="M476" s="452">
        <v>67.599999999999994</v>
      </c>
      <c r="N476" s="452">
        <v>55.7</v>
      </c>
      <c r="O476" s="452">
        <v>44.9</v>
      </c>
      <c r="P476" s="452">
        <v>65.3</v>
      </c>
      <c r="Q476" s="454">
        <v>2</v>
      </c>
      <c r="R476" s="455">
        <f t="shared" si="7"/>
        <v>65.358333333333334</v>
      </c>
    </row>
    <row r="477" spans="1:18" ht="13.5" customHeight="1" x14ac:dyDescent="0.2">
      <c r="A477" s="449" t="s">
        <v>1625</v>
      </c>
      <c r="B477" s="450" t="s">
        <v>1635</v>
      </c>
      <c r="C477" s="451" t="s">
        <v>1393</v>
      </c>
      <c r="D477" s="452">
        <v>22.7</v>
      </c>
      <c r="E477" s="452">
        <v>28.6</v>
      </c>
      <c r="F477" s="452">
        <v>40.700000000000003</v>
      </c>
      <c r="G477" s="452">
        <v>56.9</v>
      </c>
      <c r="H477" s="452">
        <v>68.599999999999994</v>
      </c>
      <c r="I477" s="452">
        <v>77.599999999999994</v>
      </c>
      <c r="J477" s="452">
        <v>81.400000000000006</v>
      </c>
      <c r="K477" s="452">
        <v>79.599999999999994</v>
      </c>
      <c r="L477" s="452">
        <v>71.2</v>
      </c>
      <c r="M477" s="452">
        <v>57.7</v>
      </c>
      <c r="N477" s="452">
        <v>41.2</v>
      </c>
      <c r="O477" s="452">
        <v>27.9</v>
      </c>
      <c r="P477" s="452">
        <v>54.5</v>
      </c>
      <c r="Q477" s="454">
        <v>2</v>
      </c>
      <c r="R477" s="455">
        <f t="shared" si="7"/>
        <v>54.508333333333347</v>
      </c>
    </row>
    <row r="478" spans="1:18" ht="13.5" customHeight="1" x14ac:dyDescent="0.2">
      <c r="A478" s="449" t="s">
        <v>1626</v>
      </c>
      <c r="B478" s="450" t="s">
        <v>1635</v>
      </c>
      <c r="C478" s="451" t="s">
        <v>1393</v>
      </c>
      <c r="D478" s="452">
        <v>24.9</v>
      </c>
      <c r="E478" s="452">
        <v>29.1</v>
      </c>
      <c r="F478" s="452">
        <v>39.9</v>
      </c>
      <c r="G478" s="452">
        <v>54.3</v>
      </c>
      <c r="H478" s="452">
        <v>66.2</v>
      </c>
      <c r="I478" s="452">
        <v>75.7</v>
      </c>
      <c r="J478" s="452">
        <v>79.599999999999994</v>
      </c>
      <c r="K478" s="452">
        <v>78.099999999999994</v>
      </c>
      <c r="L478" s="452">
        <v>70.8</v>
      </c>
      <c r="M478" s="452">
        <v>57.5</v>
      </c>
      <c r="N478" s="452">
        <v>43.1</v>
      </c>
      <c r="O478" s="452">
        <v>30.3</v>
      </c>
      <c r="P478" s="452">
        <v>54.1</v>
      </c>
      <c r="Q478" s="454">
        <v>2</v>
      </c>
      <c r="R478" s="455">
        <f t="shared" si="7"/>
        <v>54.124999999999993</v>
      </c>
    </row>
    <row r="479" spans="1:18" ht="13.5" customHeight="1" x14ac:dyDescent="0.2">
      <c r="A479" s="449" t="s">
        <v>1627</v>
      </c>
      <c r="B479" s="450" t="s">
        <v>1635</v>
      </c>
      <c r="C479" s="451" t="s">
        <v>1393</v>
      </c>
      <c r="D479" s="452">
        <v>25.6</v>
      </c>
      <c r="E479" s="452">
        <v>31.4</v>
      </c>
      <c r="F479" s="452">
        <v>43.7</v>
      </c>
      <c r="G479" s="452">
        <v>58.7</v>
      </c>
      <c r="H479" s="452">
        <v>70.099999999999994</v>
      </c>
      <c r="I479" s="452">
        <v>79.5</v>
      </c>
      <c r="J479" s="452">
        <v>83.2</v>
      </c>
      <c r="K479" s="452">
        <v>81</v>
      </c>
      <c r="L479" s="452">
        <v>73.2</v>
      </c>
      <c r="M479" s="452">
        <v>60</v>
      </c>
      <c r="N479" s="452">
        <v>43.8</v>
      </c>
      <c r="O479" s="452">
        <v>30.4</v>
      </c>
      <c r="P479" s="452">
        <v>56.7</v>
      </c>
      <c r="Q479" s="454">
        <v>2</v>
      </c>
      <c r="R479" s="455">
        <f t="shared" si="7"/>
        <v>56.716666666666661</v>
      </c>
    </row>
    <row r="480" spans="1:18" ht="13.5" customHeight="1" x14ac:dyDescent="0.2">
      <c r="A480" s="449" t="s">
        <v>1628</v>
      </c>
      <c r="B480" s="450" t="s">
        <v>1635</v>
      </c>
      <c r="C480" s="451" t="s">
        <v>1393</v>
      </c>
      <c r="D480" s="452">
        <v>26.7</v>
      </c>
      <c r="E480" s="452">
        <v>31.6</v>
      </c>
      <c r="F480" s="452">
        <v>43.3</v>
      </c>
      <c r="G480" s="452">
        <v>57</v>
      </c>
      <c r="H480" s="452">
        <v>68.3</v>
      </c>
      <c r="I480" s="452">
        <v>77.8</v>
      </c>
      <c r="J480" s="452">
        <v>81</v>
      </c>
      <c r="K480" s="452">
        <v>79.2</v>
      </c>
      <c r="L480" s="452">
        <v>72.099999999999994</v>
      </c>
      <c r="M480" s="452">
        <v>59.4</v>
      </c>
      <c r="N480" s="452">
        <v>44.5</v>
      </c>
      <c r="O480" s="452">
        <v>31.4</v>
      </c>
      <c r="P480" s="452">
        <v>56</v>
      </c>
      <c r="Q480" s="454">
        <v>2</v>
      </c>
      <c r="R480" s="455">
        <f t="shared" si="7"/>
        <v>56.024999999999999</v>
      </c>
    </row>
    <row r="481" spans="1:18" ht="13.5" customHeight="1" x14ac:dyDescent="0.2">
      <c r="A481" s="449" t="s">
        <v>1629</v>
      </c>
      <c r="B481" s="450" t="s">
        <v>1635</v>
      </c>
      <c r="C481" s="451" t="s">
        <v>1393</v>
      </c>
      <c r="D481" s="452">
        <v>29.5</v>
      </c>
      <c r="E481" s="452">
        <v>33.1</v>
      </c>
      <c r="F481" s="452">
        <v>42.5</v>
      </c>
      <c r="G481" s="452">
        <v>53.6</v>
      </c>
      <c r="H481" s="452">
        <v>64.5</v>
      </c>
      <c r="I481" s="452">
        <v>75</v>
      </c>
      <c r="J481" s="452">
        <v>79.599999999999994</v>
      </c>
      <c r="K481" s="452">
        <v>78.400000000000006</v>
      </c>
      <c r="L481" s="452">
        <v>71.5</v>
      </c>
      <c r="M481" s="452">
        <v>59.6</v>
      </c>
      <c r="N481" s="452">
        <v>46.1</v>
      </c>
      <c r="O481" s="452">
        <v>33.799999999999997</v>
      </c>
      <c r="P481" s="452">
        <v>55.6</v>
      </c>
      <c r="Q481" s="454">
        <v>2</v>
      </c>
      <c r="R481" s="455">
        <f t="shared" si="7"/>
        <v>55.599999999999994</v>
      </c>
    </row>
    <row r="482" spans="1:18" ht="13.5" customHeight="1" x14ac:dyDescent="0.2">
      <c r="A482" s="449" t="s">
        <v>1630</v>
      </c>
      <c r="B482" s="450" t="s">
        <v>1635</v>
      </c>
      <c r="C482" s="451" t="s">
        <v>1393</v>
      </c>
      <c r="D482" s="452">
        <v>35.1</v>
      </c>
      <c r="E482" s="452">
        <v>38.5</v>
      </c>
      <c r="F482" s="452">
        <v>47.8</v>
      </c>
      <c r="G482" s="452">
        <v>55.6</v>
      </c>
      <c r="H482" s="452">
        <v>66.5</v>
      </c>
      <c r="I482" s="452">
        <v>77.7</v>
      </c>
      <c r="J482" s="452">
        <v>87.6</v>
      </c>
      <c r="K482" s="452">
        <v>85.6</v>
      </c>
      <c r="L482" s="452">
        <v>74.2</v>
      </c>
      <c r="M482" s="452">
        <v>59</v>
      </c>
      <c r="N482" s="452">
        <v>44.7</v>
      </c>
      <c r="O482" s="452">
        <v>35.1</v>
      </c>
      <c r="P482" s="452">
        <v>58.9</v>
      </c>
      <c r="Q482" s="454">
        <v>2</v>
      </c>
      <c r="R482" s="455">
        <f t="shared" si="7"/>
        <v>58.95000000000001</v>
      </c>
    </row>
    <row r="483" spans="1:18" ht="13.5" customHeight="1" x14ac:dyDescent="0.2">
      <c r="A483" s="449" t="s">
        <v>1631</v>
      </c>
      <c r="B483" s="450" t="s">
        <v>1635</v>
      </c>
      <c r="C483" s="451" t="s">
        <v>1393</v>
      </c>
      <c r="D483" s="452">
        <v>38.799999999999997</v>
      </c>
      <c r="E483" s="452">
        <v>40.4</v>
      </c>
      <c r="F483" s="452">
        <v>47.3</v>
      </c>
      <c r="G483" s="452">
        <v>53.7</v>
      </c>
      <c r="H483" s="452">
        <v>63.9</v>
      </c>
      <c r="I483" s="452">
        <v>74.3</v>
      </c>
      <c r="J483" s="452">
        <v>82.6</v>
      </c>
      <c r="K483" s="452">
        <v>80.2</v>
      </c>
      <c r="L483" s="452">
        <v>71.3</v>
      </c>
      <c r="M483" s="452">
        <v>58</v>
      </c>
      <c r="N483" s="452">
        <v>45.8</v>
      </c>
      <c r="O483" s="452">
        <v>38.6</v>
      </c>
      <c r="P483" s="452">
        <v>57.9</v>
      </c>
      <c r="Q483" s="454">
        <v>2</v>
      </c>
      <c r="R483" s="455">
        <f t="shared" si="7"/>
        <v>57.908333333333331</v>
      </c>
    </row>
    <row r="484" spans="1:18" ht="13.5" customHeight="1" x14ac:dyDescent="0.2">
      <c r="A484" s="449" t="s">
        <v>1632</v>
      </c>
      <c r="B484" s="450" t="s">
        <v>1635</v>
      </c>
      <c r="C484" s="451" t="s">
        <v>1393</v>
      </c>
      <c r="D484" s="452">
        <v>32</v>
      </c>
      <c r="E484" s="452">
        <v>36.200000000000003</v>
      </c>
      <c r="F484" s="452">
        <v>46.9</v>
      </c>
      <c r="G484" s="452">
        <v>55.1</v>
      </c>
      <c r="H484" s="452">
        <v>65.7</v>
      </c>
      <c r="I484" s="452">
        <v>76</v>
      </c>
      <c r="J484" s="452">
        <v>86.2</v>
      </c>
      <c r="K484" s="452">
        <v>84.3</v>
      </c>
      <c r="L484" s="452">
        <v>73</v>
      </c>
      <c r="M484" s="452">
        <v>57.8</v>
      </c>
      <c r="N484" s="452">
        <v>42.6</v>
      </c>
      <c r="O484" s="452">
        <v>32.299999999999997</v>
      </c>
      <c r="P484" s="452">
        <v>57.3</v>
      </c>
      <c r="Q484" s="454">
        <v>2</v>
      </c>
      <c r="R484" s="455">
        <f t="shared" si="7"/>
        <v>57.341666666666661</v>
      </c>
    </row>
    <row r="485" spans="1:18" ht="13.5" customHeight="1" x14ac:dyDescent="0.2">
      <c r="A485" s="449" t="s">
        <v>1633</v>
      </c>
      <c r="B485" s="450" t="s">
        <v>1635</v>
      </c>
      <c r="C485" s="451" t="s">
        <v>1393</v>
      </c>
      <c r="D485" s="452">
        <v>29.2</v>
      </c>
      <c r="E485" s="452">
        <v>32.299999999999997</v>
      </c>
      <c r="F485" s="452">
        <v>42.8</v>
      </c>
      <c r="G485" s="452">
        <v>51.9</v>
      </c>
      <c r="H485" s="452">
        <v>62.7</v>
      </c>
      <c r="I485" s="452">
        <v>73</v>
      </c>
      <c r="J485" s="452">
        <v>82.9</v>
      </c>
      <c r="K485" s="452">
        <v>80.2</v>
      </c>
      <c r="L485" s="452">
        <v>69.400000000000006</v>
      </c>
      <c r="M485" s="452">
        <v>55.5</v>
      </c>
      <c r="N485" s="452">
        <v>39.9</v>
      </c>
      <c r="O485" s="452">
        <v>29.6</v>
      </c>
      <c r="P485" s="452">
        <v>54.1</v>
      </c>
      <c r="Q485" s="454">
        <v>2</v>
      </c>
      <c r="R485" s="455">
        <f t="shared" si="7"/>
        <v>54.116666666666667</v>
      </c>
    </row>
    <row r="486" spans="1:18" ht="13.5" customHeight="1" x14ac:dyDescent="0.2">
      <c r="A486" s="449" t="s">
        <v>1634</v>
      </c>
      <c r="B486" s="450" t="s">
        <v>1635</v>
      </c>
      <c r="C486" s="451" t="s">
        <v>1393</v>
      </c>
      <c r="D486" s="452">
        <v>34.4</v>
      </c>
      <c r="E486" s="452">
        <v>38.5</v>
      </c>
      <c r="F486" s="452">
        <v>47.5</v>
      </c>
      <c r="G486" s="452">
        <v>55.7</v>
      </c>
      <c r="H486" s="452">
        <v>65.400000000000006</v>
      </c>
      <c r="I486" s="452">
        <v>74.8</v>
      </c>
      <c r="J486" s="452">
        <v>85.9</v>
      </c>
      <c r="K486" s="452">
        <v>85.2</v>
      </c>
      <c r="L486" s="452">
        <v>74</v>
      </c>
      <c r="M486" s="452">
        <v>58.8</v>
      </c>
      <c r="N486" s="452">
        <v>45.5</v>
      </c>
      <c r="O486" s="452">
        <v>35.4</v>
      </c>
      <c r="P486" s="452">
        <v>58.4</v>
      </c>
      <c r="Q486" s="454">
        <v>2</v>
      </c>
      <c r="R486" s="455">
        <f t="shared" si="7"/>
        <v>58.425000000000004</v>
      </c>
    </row>
    <row r="487" spans="1:18" ht="13.5" customHeight="1" x14ac:dyDescent="0.2">
      <c r="A487" s="449" t="s">
        <v>1391</v>
      </c>
      <c r="B487" s="458" t="s">
        <v>1636</v>
      </c>
      <c r="C487" s="451" t="s">
        <v>1637</v>
      </c>
      <c r="D487" s="452">
        <v>7.2</v>
      </c>
      <c r="E487" s="452">
        <v>7.4</v>
      </c>
      <c r="F487" s="456">
        <v>7.8</v>
      </c>
      <c r="G487" s="456">
        <v>7.4</v>
      </c>
      <c r="H487" s="452">
        <v>6.3</v>
      </c>
      <c r="I487" s="456">
        <v>5.4</v>
      </c>
      <c r="J487" s="453">
        <v>5.0999999999999996</v>
      </c>
      <c r="K487" s="452">
        <v>4.7</v>
      </c>
      <c r="L487" s="452">
        <v>5.4</v>
      </c>
      <c r="M487" s="452">
        <v>5.4</v>
      </c>
      <c r="N487" s="452">
        <v>6</v>
      </c>
      <c r="O487" s="452">
        <v>6.7</v>
      </c>
      <c r="P487" s="452">
        <v>6.3</v>
      </c>
      <c r="Q487" s="454">
        <v>3</v>
      </c>
      <c r="R487" s="455">
        <f t="shared" si="7"/>
        <v>6.2333333333333334</v>
      </c>
    </row>
    <row r="488" spans="1:18" ht="13.5" customHeight="1" x14ac:dyDescent="0.2">
      <c r="A488" s="449" t="s">
        <v>1394</v>
      </c>
      <c r="B488" s="458" t="s">
        <v>1636</v>
      </c>
      <c r="C488" s="451" t="s">
        <v>1637</v>
      </c>
      <c r="D488" s="452">
        <v>8.3000000000000007</v>
      </c>
      <c r="E488" s="452">
        <v>8.3000000000000007</v>
      </c>
      <c r="F488" s="456">
        <v>8.9</v>
      </c>
      <c r="G488" s="456">
        <v>8.5</v>
      </c>
      <c r="H488" s="452">
        <v>7.4</v>
      </c>
      <c r="I488" s="456">
        <v>5.8</v>
      </c>
      <c r="J488" s="453">
        <v>4.9000000000000004</v>
      </c>
      <c r="K488" s="452">
        <v>4.9000000000000004</v>
      </c>
      <c r="L488" s="452">
        <v>5.8</v>
      </c>
      <c r="M488" s="452">
        <v>6.3</v>
      </c>
      <c r="N488" s="452">
        <v>7.2</v>
      </c>
      <c r="O488" s="452">
        <v>7.8</v>
      </c>
      <c r="P488" s="452">
        <v>7.2</v>
      </c>
      <c r="Q488" s="454">
        <v>3</v>
      </c>
      <c r="R488" s="455">
        <f t="shared" si="7"/>
        <v>7.0083333333333329</v>
      </c>
    </row>
    <row r="489" spans="1:18" ht="13.5" customHeight="1" x14ac:dyDescent="0.2">
      <c r="A489" s="449" t="s">
        <v>1395</v>
      </c>
      <c r="B489" s="458" t="s">
        <v>1636</v>
      </c>
      <c r="C489" s="451" t="s">
        <v>1637</v>
      </c>
      <c r="D489" s="452">
        <v>8.5</v>
      </c>
      <c r="E489" s="452">
        <v>8.5</v>
      </c>
      <c r="F489" s="456">
        <v>8.6999999999999993</v>
      </c>
      <c r="G489" s="456">
        <v>8.3000000000000007</v>
      </c>
      <c r="H489" s="452">
        <v>7.4</v>
      </c>
      <c r="I489" s="456">
        <v>6</v>
      </c>
      <c r="J489" s="453">
        <v>5.4</v>
      </c>
      <c r="K489" s="452">
        <v>5.4</v>
      </c>
      <c r="L489" s="452">
        <v>6.7</v>
      </c>
      <c r="M489" s="452">
        <v>6.9</v>
      </c>
      <c r="N489" s="452">
        <v>7.2</v>
      </c>
      <c r="O489" s="452">
        <v>7.8</v>
      </c>
      <c r="P489" s="452">
        <v>7.2</v>
      </c>
      <c r="Q489" s="454">
        <v>3</v>
      </c>
      <c r="R489" s="455">
        <f t="shared" si="7"/>
        <v>7.2333333333333334</v>
      </c>
    </row>
    <row r="490" spans="1:18" ht="13.5" customHeight="1" x14ac:dyDescent="0.2">
      <c r="A490" s="449" t="s">
        <v>1396</v>
      </c>
      <c r="B490" s="458" t="s">
        <v>1636</v>
      </c>
      <c r="C490" s="451" t="s">
        <v>1637</v>
      </c>
      <c r="D490" s="452">
        <v>7.2</v>
      </c>
      <c r="E490" s="452">
        <v>7.4</v>
      </c>
      <c r="F490" s="456">
        <v>7.6</v>
      </c>
      <c r="G490" s="456">
        <v>6.5</v>
      </c>
      <c r="H490" s="452">
        <v>5.8</v>
      </c>
      <c r="I490" s="456">
        <v>4.9000000000000004</v>
      </c>
      <c r="J490" s="453">
        <v>4.7</v>
      </c>
      <c r="K490" s="452">
        <v>4.7</v>
      </c>
      <c r="L490" s="452">
        <v>5.6</v>
      </c>
      <c r="M490" s="452">
        <v>5.4</v>
      </c>
      <c r="N490" s="452">
        <v>5.8</v>
      </c>
      <c r="O490" s="452">
        <v>6.7</v>
      </c>
      <c r="P490" s="452">
        <v>6</v>
      </c>
      <c r="Q490" s="454">
        <v>3</v>
      </c>
      <c r="R490" s="455">
        <f t="shared" si="7"/>
        <v>6.0250000000000012</v>
      </c>
    </row>
    <row r="491" spans="1:18" ht="13.5" customHeight="1" x14ac:dyDescent="0.2">
      <c r="A491" s="449" t="s">
        <v>1397</v>
      </c>
      <c r="B491" s="458" t="s">
        <v>1636</v>
      </c>
      <c r="C491" s="451" t="s">
        <v>1637</v>
      </c>
      <c r="D491" s="452">
        <v>4.9000000000000004</v>
      </c>
      <c r="E491" s="452">
        <v>5.6</v>
      </c>
      <c r="F491" s="456">
        <v>6.3</v>
      </c>
      <c r="G491" s="456">
        <v>6.9</v>
      </c>
      <c r="H491" s="452">
        <v>6.9</v>
      </c>
      <c r="I491" s="456">
        <v>6.7</v>
      </c>
      <c r="J491" s="453">
        <v>6.9</v>
      </c>
      <c r="K491" s="452">
        <v>6.7</v>
      </c>
      <c r="L491" s="452">
        <v>6</v>
      </c>
      <c r="M491" s="452">
        <v>5.6</v>
      </c>
      <c r="N491" s="452">
        <v>4.9000000000000004</v>
      </c>
      <c r="O491" s="452">
        <v>4.7</v>
      </c>
      <c r="P491" s="452">
        <v>6</v>
      </c>
      <c r="Q491" s="454">
        <v>3</v>
      </c>
      <c r="R491" s="455">
        <f t="shared" si="7"/>
        <v>6.0083333333333337</v>
      </c>
    </row>
    <row r="492" spans="1:18" ht="13.5" customHeight="1" x14ac:dyDescent="0.2">
      <c r="A492" s="449" t="s">
        <v>1398</v>
      </c>
      <c r="B492" s="458" t="s">
        <v>1636</v>
      </c>
      <c r="C492" s="451" t="s">
        <v>1637</v>
      </c>
      <c r="D492" s="452">
        <v>6.5</v>
      </c>
      <c r="E492" s="452">
        <v>7.2</v>
      </c>
      <c r="F492" s="456">
        <v>8.1</v>
      </c>
      <c r="G492" s="456">
        <v>8.9</v>
      </c>
      <c r="H492" s="452">
        <v>8.6999999999999993</v>
      </c>
      <c r="I492" s="456">
        <v>8.6999999999999993</v>
      </c>
      <c r="J492" s="453">
        <v>7.4</v>
      </c>
      <c r="K492" s="452">
        <v>6.7</v>
      </c>
      <c r="L492" s="452">
        <v>6.9</v>
      </c>
      <c r="M492" s="452">
        <v>6.9</v>
      </c>
      <c r="N492" s="452">
        <v>6.5</v>
      </c>
      <c r="O492" s="452">
        <v>6.3</v>
      </c>
      <c r="P492" s="452">
        <v>7.4</v>
      </c>
      <c r="Q492" s="454">
        <v>3</v>
      </c>
      <c r="R492" s="455">
        <f t="shared" si="7"/>
        <v>7.3999999999999995</v>
      </c>
    </row>
    <row r="493" spans="1:18" ht="13.5" customHeight="1" x14ac:dyDescent="0.2">
      <c r="A493" s="449" t="s">
        <v>1399</v>
      </c>
      <c r="B493" s="458" t="s">
        <v>1636</v>
      </c>
      <c r="C493" s="451" t="s">
        <v>1637</v>
      </c>
      <c r="D493" s="452">
        <v>6.9</v>
      </c>
      <c r="E493" s="452">
        <v>7.4</v>
      </c>
      <c r="F493" s="452">
        <v>7.8</v>
      </c>
      <c r="G493" s="452">
        <v>8.3000000000000007</v>
      </c>
      <c r="H493" s="452">
        <v>8.1</v>
      </c>
      <c r="I493" s="452">
        <v>8.1</v>
      </c>
      <c r="J493" s="453">
        <v>7.8</v>
      </c>
      <c r="K493" s="452">
        <v>7.4</v>
      </c>
      <c r="L493" s="452">
        <v>7.6</v>
      </c>
      <c r="M493" s="452">
        <v>7.6</v>
      </c>
      <c r="N493" s="452">
        <v>7.2</v>
      </c>
      <c r="O493" s="452">
        <v>6.9</v>
      </c>
      <c r="P493" s="452">
        <v>7.6</v>
      </c>
      <c r="Q493" s="454">
        <v>3</v>
      </c>
      <c r="R493" s="455">
        <f t="shared" si="7"/>
        <v>7.5916666666666659</v>
      </c>
    </row>
    <row r="494" spans="1:18" ht="13.5" customHeight="1" x14ac:dyDescent="0.2">
      <c r="A494" s="449" t="s">
        <v>1400</v>
      </c>
      <c r="B494" s="458" t="s">
        <v>1636</v>
      </c>
      <c r="C494" s="451" t="s">
        <v>1637</v>
      </c>
      <c r="D494" s="452">
        <v>7.6</v>
      </c>
      <c r="E494" s="452">
        <v>8.1</v>
      </c>
      <c r="F494" s="452">
        <v>8.6999999999999993</v>
      </c>
      <c r="G494" s="452">
        <v>8.3000000000000007</v>
      </c>
      <c r="H494" s="452">
        <v>6.9</v>
      </c>
      <c r="I494" s="452">
        <v>6</v>
      </c>
      <c r="J494" s="453">
        <v>5.4</v>
      </c>
      <c r="K494" s="452">
        <v>5.6</v>
      </c>
      <c r="L494" s="452">
        <v>6</v>
      </c>
      <c r="M494" s="452">
        <v>6.3</v>
      </c>
      <c r="N494" s="452">
        <v>7.2</v>
      </c>
      <c r="O494" s="452">
        <v>7.6</v>
      </c>
      <c r="P494" s="452">
        <v>6.9</v>
      </c>
      <c r="Q494" s="454">
        <v>3</v>
      </c>
      <c r="R494" s="455">
        <f t="shared" si="7"/>
        <v>6.9750000000000005</v>
      </c>
    </row>
    <row r="495" spans="1:18" ht="13.5" customHeight="1" x14ac:dyDescent="0.2">
      <c r="A495" s="449" t="s">
        <v>1401</v>
      </c>
      <c r="B495" s="458" t="s">
        <v>1636</v>
      </c>
      <c r="C495" s="451" t="s">
        <v>1637</v>
      </c>
      <c r="D495" s="452">
        <v>7.8</v>
      </c>
      <c r="E495" s="452">
        <v>7.8</v>
      </c>
      <c r="F495" s="452">
        <v>8.6999999999999993</v>
      </c>
      <c r="G495" s="452">
        <v>8.5</v>
      </c>
      <c r="H495" s="452">
        <v>7.2</v>
      </c>
      <c r="I495" s="452">
        <v>6.3</v>
      </c>
      <c r="J495" s="453">
        <v>6</v>
      </c>
      <c r="K495" s="452">
        <v>5.6</v>
      </c>
      <c r="L495" s="452">
        <v>6.3</v>
      </c>
      <c r="M495" s="452">
        <v>6</v>
      </c>
      <c r="N495" s="452">
        <v>7.2</v>
      </c>
      <c r="O495" s="452">
        <v>7.6</v>
      </c>
      <c r="P495" s="452">
        <v>7.2</v>
      </c>
      <c r="Q495" s="454">
        <v>3</v>
      </c>
      <c r="R495" s="455">
        <f t="shared" si="7"/>
        <v>7.083333333333333</v>
      </c>
    </row>
    <row r="496" spans="1:18" ht="13.5" customHeight="1" x14ac:dyDescent="0.2">
      <c r="A496" s="449" t="s">
        <v>1402</v>
      </c>
      <c r="B496" s="458" t="s">
        <v>1636</v>
      </c>
      <c r="C496" s="451" t="s">
        <v>1637</v>
      </c>
      <c r="D496" s="452">
        <v>6.7</v>
      </c>
      <c r="E496" s="452">
        <v>6.7</v>
      </c>
      <c r="F496" s="452">
        <v>7.2</v>
      </c>
      <c r="G496" s="452">
        <v>7.2</v>
      </c>
      <c r="H496" s="452">
        <v>7.2</v>
      </c>
      <c r="I496" s="452">
        <v>7.2</v>
      </c>
      <c r="J496" s="453">
        <v>6</v>
      </c>
      <c r="K496" s="452">
        <v>5.6</v>
      </c>
      <c r="L496" s="452">
        <v>5.0999999999999996</v>
      </c>
      <c r="M496" s="452">
        <v>5.4</v>
      </c>
      <c r="N496" s="452">
        <v>5.8</v>
      </c>
      <c r="O496" s="452">
        <v>6.9</v>
      </c>
      <c r="P496" s="452">
        <v>6.3</v>
      </c>
      <c r="Q496" s="454">
        <v>3</v>
      </c>
      <c r="R496" s="455">
        <f t="shared" si="7"/>
        <v>6.4166666666666679</v>
      </c>
    </row>
    <row r="497" spans="1:18" ht="13.5" customHeight="1" x14ac:dyDescent="0.2">
      <c r="A497" s="449" t="s">
        <v>1403</v>
      </c>
      <c r="B497" s="458" t="s">
        <v>1636</v>
      </c>
      <c r="C497" s="451" t="s">
        <v>1637</v>
      </c>
      <c r="D497" s="452">
        <v>4.9000000000000004</v>
      </c>
      <c r="E497" s="452">
        <v>5.6</v>
      </c>
      <c r="F497" s="452">
        <v>6</v>
      </c>
      <c r="G497" s="452">
        <v>6.9</v>
      </c>
      <c r="H497" s="452">
        <v>7.4</v>
      </c>
      <c r="I497" s="452">
        <v>7.6</v>
      </c>
      <c r="J497" s="453">
        <v>6.9</v>
      </c>
      <c r="K497" s="452">
        <v>6.7</v>
      </c>
      <c r="L497" s="452">
        <v>6</v>
      </c>
      <c r="M497" s="452">
        <v>5.4</v>
      </c>
      <c r="N497" s="452">
        <v>4.7</v>
      </c>
      <c r="O497" s="452">
        <v>4.9000000000000004</v>
      </c>
      <c r="P497" s="452">
        <v>6</v>
      </c>
      <c r="Q497" s="454">
        <v>3</v>
      </c>
      <c r="R497" s="455">
        <f t="shared" si="7"/>
        <v>6.083333333333333</v>
      </c>
    </row>
    <row r="498" spans="1:18" ht="13.5" customHeight="1" x14ac:dyDescent="0.2">
      <c r="A498" s="449" t="s">
        <v>1404</v>
      </c>
      <c r="B498" s="458" t="s">
        <v>1636</v>
      </c>
      <c r="C498" s="451" t="s">
        <v>1637</v>
      </c>
      <c r="D498" s="452">
        <v>7.2</v>
      </c>
      <c r="E498" s="452">
        <v>8.1</v>
      </c>
      <c r="F498" s="452">
        <v>9.4</v>
      </c>
      <c r="G498" s="452">
        <v>10.1</v>
      </c>
      <c r="H498" s="452">
        <v>9.1999999999999993</v>
      </c>
      <c r="I498" s="452">
        <v>8.3000000000000007</v>
      </c>
      <c r="J498" s="453">
        <v>7.8</v>
      </c>
      <c r="K498" s="452">
        <v>8.1</v>
      </c>
      <c r="L498" s="452">
        <v>7.6</v>
      </c>
      <c r="M498" s="452">
        <v>7.8</v>
      </c>
      <c r="N498" s="452">
        <v>7.4</v>
      </c>
      <c r="O498" s="452">
        <v>6.9</v>
      </c>
      <c r="P498" s="452">
        <v>8.1</v>
      </c>
      <c r="Q498" s="454">
        <v>3</v>
      </c>
      <c r="R498" s="455">
        <f t="shared" si="7"/>
        <v>8.1583333333333332</v>
      </c>
    </row>
    <row r="499" spans="1:18" ht="13.5" customHeight="1" x14ac:dyDescent="0.2">
      <c r="A499" s="449" t="s">
        <v>1405</v>
      </c>
      <c r="B499" s="458" t="s">
        <v>1636</v>
      </c>
      <c r="C499" s="451" t="s">
        <v>1637</v>
      </c>
      <c r="D499" s="452">
        <v>8.1</v>
      </c>
      <c r="E499" s="452">
        <v>9.4</v>
      </c>
      <c r="F499" s="452">
        <v>11.4</v>
      </c>
      <c r="G499" s="452">
        <v>13.9</v>
      </c>
      <c r="H499" s="452">
        <v>14.1</v>
      </c>
      <c r="I499" s="452">
        <v>13.6</v>
      </c>
      <c r="J499" s="453">
        <v>11.6</v>
      </c>
      <c r="K499" s="452">
        <v>11</v>
      </c>
      <c r="L499" s="452">
        <v>10.1</v>
      </c>
      <c r="M499" s="452">
        <v>9.6</v>
      </c>
      <c r="N499" s="452">
        <v>8.5</v>
      </c>
      <c r="O499" s="452">
        <v>7.6</v>
      </c>
      <c r="P499" s="452">
        <v>10.7</v>
      </c>
      <c r="Q499" s="454">
        <v>3</v>
      </c>
      <c r="R499" s="455">
        <f t="shared" si="7"/>
        <v>10.741666666666665</v>
      </c>
    </row>
    <row r="500" spans="1:18" ht="13.5" customHeight="1" x14ac:dyDescent="0.2">
      <c r="A500" s="449" t="s">
        <v>1406</v>
      </c>
      <c r="B500" s="458" t="s">
        <v>1636</v>
      </c>
      <c r="C500" s="451" t="s">
        <v>1637</v>
      </c>
      <c r="D500" s="452">
        <v>4.3</v>
      </c>
      <c r="E500" s="452">
        <v>5.0999999999999996</v>
      </c>
      <c r="F500" s="456">
        <v>5.8</v>
      </c>
      <c r="G500" s="456">
        <v>7.4</v>
      </c>
      <c r="H500" s="452">
        <v>8.3000000000000007</v>
      </c>
      <c r="I500" s="456">
        <v>8.5</v>
      </c>
      <c r="J500" s="452">
        <v>7.6</v>
      </c>
      <c r="K500" s="452">
        <v>6.9</v>
      </c>
      <c r="L500" s="452">
        <v>6</v>
      </c>
      <c r="M500" s="452">
        <v>4.7</v>
      </c>
      <c r="N500" s="452">
        <v>4</v>
      </c>
      <c r="O500" s="452">
        <v>4.3</v>
      </c>
      <c r="P500" s="452">
        <v>6</v>
      </c>
      <c r="Q500" s="454">
        <v>3</v>
      </c>
      <c r="R500" s="455">
        <f t="shared" si="7"/>
        <v>6.0750000000000002</v>
      </c>
    </row>
    <row r="501" spans="1:18" ht="13.5" customHeight="1" x14ac:dyDescent="0.2">
      <c r="A501" s="449" t="s">
        <v>1407</v>
      </c>
      <c r="B501" s="458" t="s">
        <v>1636</v>
      </c>
      <c r="C501" s="451" t="s">
        <v>1637</v>
      </c>
      <c r="D501" s="452">
        <v>4.5</v>
      </c>
      <c r="E501" s="452">
        <v>5.0999999999999996</v>
      </c>
      <c r="F501" s="456">
        <v>5.6</v>
      </c>
      <c r="G501" s="456">
        <v>6.3</v>
      </c>
      <c r="H501" s="452">
        <v>6</v>
      </c>
      <c r="I501" s="456">
        <v>6</v>
      </c>
      <c r="J501" s="452">
        <v>6</v>
      </c>
      <c r="K501" s="452">
        <v>5.8</v>
      </c>
      <c r="L501" s="452">
        <v>5.4</v>
      </c>
      <c r="M501" s="452">
        <v>4.7</v>
      </c>
      <c r="N501" s="452">
        <v>4.3</v>
      </c>
      <c r="O501" s="452">
        <v>4.3</v>
      </c>
      <c r="P501" s="452">
        <v>5.4</v>
      </c>
      <c r="Q501" s="454">
        <v>3</v>
      </c>
      <c r="R501" s="455">
        <f t="shared" si="7"/>
        <v>5.333333333333333</v>
      </c>
    </row>
    <row r="502" spans="1:18" ht="13.5" customHeight="1" x14ac:dyDescent="0.2">
      <c r="A502" s="449" t="s">
        <v>1408</v>
      </c>
      <c r="B502" s="458" t="s">
        <v>1636</v>
      </c>
      <c r="C502" s="451" t="s">
        <v>1637</v>
      </c>
      <c r="D502" s="452">
        <v>6.5</v>
      </c>
      <c r="E502" s="452">
        <v>7.6</v>
      </c>
      <c r="F502" s="456">
        <v>8.1</v>
      </c>
      <c r="G502" s="456">
        <v>8.6999999999999993</v>
      </c>
      <c r="H502" s="452">
        <v>8.1</v>
      </c>
      <c r="I502" s="456">
        <v>8.1</v>
      </c>
      <c r="J502" s="452">
        <v>8.1</v>
      </c>
      <c r="K502" s="452">
        <v>7.6</v>
      </c>
      <c r="L502" s="452">
        <v>7.4</v>
      </c>
      <c r="M502" s="452">
        <v>6.7</v>
      </c>
      <c r="N502" s="452">
        <v>6.3</v>
      </c>
      <c r="O502" s="452">
        <v>6.5</v>
      </c>
      <c r="P502" s="452">
        <v>7.4</v>
      </c>
      <c r="Q502" s="454">
        <v>3</v>
      </c>
      <c r="R502" s="455">
        <f t="shared" si="7"/>
        <v>7.4750000000000005</v>
      </c>
    </row>
    <row r="503" spans="1:18" ht="13.5" customHeight="1" x14ac:dyDescent="0.2">
      <c r="A503" s="449" t="s">
        <v>1409</v>
      </c>
      <c r="B503" s="458" t="s">
        <v>1636</v>
      </c>
      <c r="C503" s="451" t="s">
        <v>1637</v>
      </c>
      <c r="D503" s="452">
        <v>5.8</v>
      </c>
      <c r="E503" s="452">
        <v>6.5</v>
      </c>
      <c r="F503" s="456">
        <v>6.7</v>
      </c>
      <c r="G503" s="456">
        <v>6.7</v>
      </c>
      <c r="H503" s="452">
        <v>6.7</v>
      </c>
      <c r="I503" s="456">
        <v>6.9</v>
      </c>
      <c r="J503" s="452">
        <v>6</v>
      </c>
      <c r="K503" s="452">
        <v>5.6</v>
      </c>
      <c r="L503" s="452">
        <v>5.4</v>
      </c>
      <c r="M503" s="452">
        <v>5.6</v>
      </c>
      <c r="N503" s="452">
        <v>4.9000000000000004</v>
      </c>
      <c r="O503" s="452">
        <v>6</v>
      </c>
      <c r="P503" s="452">
        <v>6</v>
      </c>
      <c r="Q503" s="454">
        <v>3</v>
      </c>
      <c r="R503" s="455">
        <f t="shared" si="7"/>
        <v>6.0666666666666664</v>
      </c>
    </row>
    <row r="504" spans="1:18" ht="13.5" customHeight="1" x14ac:dyDescent="0.2">
      <c r="A504" s="449" t="s">
        <v>1410</v>
      </c>
      <c r="B504" s="458" t="s">
        <v>1636</v>
      </c>
      <c r="C504" s="451" t="s">
        <v>1637</v>
      </c>
      <c r="D504" s="452">
        <v>5.6</v>
      </c>
      <c r="E504" s="452">
        <v>6</v>
      </c>
      <c r="F504" s="456">
        <v>6.7</v>
      </c>
      <c r="G504" s="456">
        <v>7.4</v>
      </c>
      <c r="H504" s="452">
        <v>7.6</v>
      </c>
      <c r="I504" s="456">
        <v>8.1</v>
      </c>
      <c r="J504" s="452">
        <v>7.6</v>
      </c>
      <c r="K504" s="452">
        <v>6.9</v>
      </c>
      <c r="L504" s="452">
        <v>5.8</v>
      </c>
      <c r="M504" s="452">
        <v>5.4</v>
      </c>
      <c r="N504" s="452">
        <v>4.9000000000000004</v>
      </c>
      <c r="O504" s="452">
        <v>5.8</v>
      </c>
      <c r="P504" s="452">
        <v>6.5</v>
      </c>
      <c r="Q504" s="454">
        <v>3</v>
      </c>
      <c r="R504" s="455">
        <f t="shared" si="7"/>
        <v>6.4833333333333343</v>
      </c>
    </row>
    <row r="505" spans="1:18" ht="13.5" customHeight="1" x14ac:dyDescent="0.2">
      <c r="A505" s="449" t="s">
        <v>1411</v>
      </c>
      <c r="B505" s="458" t="s">
        <v>1636</v>
      </c>
      <c r="C505" s="451" t="s">
        <v>1637</v>
      </c>
      <c r="D505" s="452">
        <v>5.4</v>
      </c>
      <c r="E505" s="452">
        <v>6.3</v>
      </c>
      <c r="F505" s="456">
        <v>6.7</v>
      </c>
      <c r="G505" s="456">
        <v>7.4</v>
      </c>
      <c r="H505" s="452">
        <v>7.2</v>
      </c>
      <c r="I505" s="456">
        <v>7.4</v>
      </c>
      <c r="J505" s="452">
        <v>7.2</v>
      </c>
      <c r="K505" s="452">
        <v>6.9</v>
      </c>
      <c r="L505" s="452">
        <v>6.7</v>
      </c>
      <c r="M505" s="452">
        <v>5.8</v>
      </c>
      <c r="N505" s="452">
        <v>4.9000000000000004</v>
      </c>
      <c r="O505" s="452">
        <v>4.9000000000000004</v>
      </c>
      <c r="P505" s="452">
        <v>6.5</v>
      </c>
      <c r="Q505" s="454">
        <v>3</v>
      </c>
      <c r="R505" s="455">
        <f t="shared" si="7"/>
        <v>6.4000000000000012</v>
      </c>
    </row>
    <row r="506" spans="1:18" ht="13.5" customHeight="1" x14ac:dyDescent="0.2">
      <c r="A506" s="449" t="s">
        <v>1412</v>
      </c>
      <c r="B506" s="458" t="s">
        <v>1636</v>
      </c>
      <c r="C506" s="451" t="s">
        <v>1637</v>
      </c>
      <c r="D506" s="452">
        <v>6.9</v>
      </c>
      <c r="E506" s="452">
        <v>8.3000000000000007</v>
      </c>
      <c r="F506" s="452">
        <v>10.3</v>
      </c>
      <c r="G506" s="452">
        <v>12.5</v>
      </c>
      <c r="H506" s="452">
        <v>13.4</v>
      </c>
      <c r="I506" s="452">
        <v>14.1</v>
      </c>
      <c r="J506" s="452">
        <v>12.8</v>
      </c>
      <c r="K506" s="452">
        <v>12.3</v>
      </c>
      <c r="L506" s="452">
        <v>10.7</v>
      </c>
      <c r="M506" s="452">
        <v>9.1999999999999993</v>
      </c>
      <c r="N506" s="452">
        <v>7.4</v>
      </c>
      <c r="O506" s="452">
        <v>7.4</v>
      </c>
      <c r="P506" s="452">
        <v>10.5</v>
      </c>
      <c r="Q506" s="454">
        <v>3</v>
      </c>
      <c r="R506" s="455">
        <f t="shared" si="7"/>
        <v>10.441666666666668</v>
      </c>
    </row>
    <row r="507" spans="1:18" ht="13.5" customHeight="1" x14ac:dyDescent="0.2">
      <c r="A507" s="449" t="s">
        <v>1413</v>
      </c>
      <c r="B507" s="458" t="s">
        <v>1636</v>
      </c>
      <c r="C507" s="451" t="s">
        <v>1637</v>
      </c>
      <c r="D507" s="452">
        <v>4.5</v>
      </c>
      <c r="E507" s="452">
        <v>5.6</v>
      </c>
      <c r="F507" s="452">
        <v>5.8</v>
      </c>
      <c r="G507" s="452">
        <v>6.7</v>
      </c>
      <c r="H507" s="452">
        <v>6.5</v>
      </c>
      <c r="I507" s="452">
        <v>6</v>
      </c>
      <c r="J507" s="452">
        <v>6</v>
      </c>
      <c r="K507" s="452">
        <v>5.6</v>
      </c>
      <c r="L507" s="452">
        <v>5.0999999999999996</v>
      </c>
      <c r="M507" s="452">
        <v>4.7</v>
      </c>
      <c r="N507" s="452">
        <v>4.3</v>
      </c>
      <c r="O507" s="452">
        <v>4.3</v>
      </c>
      <c r="P507" s="452">
        <v>5.4</v>
      </c>
      <c r="Q507" s="454">
        <v>3</v>
      </c>
      <c r="R507" s="455">
        <f t="shared" si="7"/>
        <v>5.4249999999999998</v>
      </c>
    </row>
    <row r="508" spans="1:18" ht="13.5" customHeight="1" x14ac:dyDescent="0.2">
      <c r="A508" s="449" t="s">
        <v>1414</v>
      </c>
      <c r="B508" s="458" t="s">
        <v>1636</v>
      </c>
      <c r="C508" s="451" t="s">
        <v>1637</v>
      </c>
      <c r="D508" s="452">
        <v>6</v>
      </c>
      <c r="E508" s="452">
        <v>6.7</v>
      </c>
      <c r="F508" s="452">
        <v>7.6</v>
      </c>
      <c r="G508" s="452">
        <v>8.3000000000000007</v>
      </c>
      <c r="H508" s="452">
        <v>8.3000000000000007</v>
      </c>
      <c r="I508" s="452">
        <v>7.8</v>
      </c>
      <c r="J508" s="452">
        <v>6.5</v>
      </c>
      <c r="K508" s="452">
        <v>6.3</v>
      </c>
      <c r="L508" s="452">
        <v>5.8</v>
      </c>
      <c r="M508" s="452">
        <v>6</v>
      </c>
      <c r="N508" s="452">
        <v>6</v>
      </c>
      <c r="O508" s="452">
        <v>6</v>
      </c>
      <c r="P508" s="452">
        <v>6.7</v>
      </c>
      <c r="Q508" s="454">
        <v>3</v>
      </c>
      <c r="R508" s="455">
        <f t="shared" si="7"/>
        <v>6.7749999999999986</v>
      </c>
    </row>
    <row r="509" spans="1:18" ht="13.5" customHeight="1" x14ac:dyDescent="0.2">
      <c r="A509" s="449" t="s">
        <v>1415</v>
      </c>
      <c r="B509" s="458" t="s">
        <v>1636</v>
      </c>
      <c r="C509" s="451" t="s">
        <v>1637</v>
      </c>
      <c r="D509" s="452">
        <v>6.7</v>
      </c>
      <c r="E509" s="452">
        <v>7.2</v>
      </c>
      <c r="F509" s="452">
        <v>7.6</v>
      </c>
      <c r="G509" s="452">
        <v>8.9</v>
      </c>
      <c r="H509" s="452">
        <v>9.6</v>
      </c>
      <c r="I509" s="452">
        <v>10.1</v>
      </c>
      <c r="J509" s="452">
        <v>8.9</v>
      </c>
      <c r="K509" s="452">
        <v>8.3000000000000007</v>
      </c>
      <c r="L509" s="452">
        <v>7.4</v>
      </c>
      <c r="M509" s="452">
        <v>6.5</v>
      </c>
      <c r="N509" s="452">
        <v>5.8</v>
      </c>
      <c r="O509" s="452">
        <v>6.9</v>
      </c>
      <c r="P509" s="452">
        <v>7.8</v>
      </c>
      <c r="Q509" s="454">
        <v>3</v>
      </c>
      <c r="R509" s="455">
        <f t="shared" si="7"/>
        <v>7.8250000000000002</v>
      </c>
    </row>
    <row r="510" spans="1:18" ht="13.5" customHeight="1" x14ac:dyDescent="0.2">
      <c r="A510" s="449" t="s">
        <v>1416</v>
      </c>
      <c r="B510" s="458" t="s">
        <v>1636</v>
      </c>
      <c r="C510" s="451" t="s">
        <v>1637</v>
      </c>
      <c r="D510" s="452">
        <v>5.0999999999999996</v>
      </c>
      <c r="E510" s="452">
        <v>6.5</v>
      </c>
      <c r="F510" s="452">
        <v>8.1</v>
      </c>
      <c r="G510" s="452">
        <v>10.1</v>
      </c>
      <c r="H510" s="452">
        <v>9.6</v>
      </c>
      <c r="I510" s="452">
        <v>8.6999999999999993</v>
      </c>
      <c r="J510" s="452">
        <v>6.7</v>
      </c>
      <c r="K510" s="452">
        <v>6.3</v>
      </c>
      <c r="L510" s="452">
        <v>6.5</v>
      </c>
      <c r="M510" s="452">
        <v>6.5</v>
      </c>
      <c r="N510" s="452">
        <v>5.8</v>
      </c>
      <c r="O510" s="452">
        <v>4.9000000000000004</v>
      </c>
      <c r="P510" s="452">
        <v>7.2</v>
      </c>
      <c r="Q510" s="454">
        <v>3</v>
      </c>
      <c r="R510" s="455">
        <f t="shared" si="7"/>
        <v>7.0666666666666664</v>
      </c>
    </row>
    <row r="511" spans="1:18" ht="13.5" customHeight="1" x14ac:dyDescent="0.2">
      <c r="A511" s="449" t="s">
        <v>1417</v>
      </c>
      <c r="B511" s="458" t="s">
        <v>1636</v>
      </c>
      <c r="C511" s="451" t="s">
        <v>1637</v>
      </c>
      <c r="D511" s="452">
        <v>8.6999999999999993</v>
      </c>
      <c r="E511" s="452">
        <v>9.4</v>
      </c>
      <c r="F511" s="452">
        <v>10.3</v>
      </c>
      <c r="G511" s="452">
        <v>11.6</v>
      </c>
      <c r="H511" s="452">
        <v>10.7</v>
      </c>
      <c r="I511" s="452">
        <v>10.1</v>
      </c>
      <c r="J511" s="452">
        <v>8.9</v>
      </c>
      <c r="K511" s="452">
        <v>8.5</v>
      </c>
      <c r="L511" s="452">
        <v>8.9</v>
      </c>
      <c r="M511" s="452">
        <v>9.4</v>
      </c>
      <c r="N511" s="452">
        <v>8.6999999999999993</v>
      </c>
      <c r="O511" s="452">
        <v>8.9</v>
      </c>
      <c r="P511" s="452">
        <v>9.6</v>
      </c>
      <c r="Q511" s="454">
        <v>3</v>
      </c>
      <c r="R511" s="455">
        <f t="shared" si="7"/>
        <v>9.5083333333333346</v>
      </c>
    </row>
    <row r="512" spans="1:18" ht="13.5" customHeight="1" x14ac:dyDescent="0.2">
      <c r="A512" s="449" t="s">
        <v>1418</v>
      </c>
      <c r="B512" s="458" t="s">
        <v>1636</v>
      </c>
      <c r="C512" s="451" t="s">
        <v>1637</v>
      </c>
      <c r="D512" s="452">
        <v>9.1999999999999993</v>
      </c>
      <c r="E512" s="452">
        <v>9.1999999999999993</v>
      </c>
      <c r="F512" s="452">
        <v>10.3</v>
      </c>
      <c r="G512" s="452">
        <v>11</v>
      </c>
      <c r="H512" s="452">
        <v>10.1</v>
      </c>
      <c r="I512" s="452">
        <v>9.6</v>
      </c>
      <c r="J512" s="452">
        <v>9.1999999999999993</v>
      </c>
      <c r="K512" s="452">
        <v>8.9</v>
      </c>
      <c r="L512" s="452">
        <v>8.9</v>
      </c>
      <c r="M512" s="452">
        <v>9.1999999999999993</v>
      </c>
      <c r="N512" s="452">
        <v>8.9</v>
      </c>
      <c r="O512" s="452">
        <v>9.1999999999999993</v>
      </c>
      <c r="P512" s="452">
        <v>9.4</v>
      </c>
      <c r="Q512" s="454">
        <v>3</v>
      </c>
      <c r="R512" s="455">
        <f t="shared" si="7"/>
        <v>9.4750000000000032</v>
      </c>
    </row>
    <row r="513" spans="1:18" ht="13.5" customHeight="1" x14ac:dyDescent="0.2">
      <c r="A513" s="449" t="s">
        <v>1419</v>
      </c>
      <c r="B513" s="458" t="s">
        <v>1636</v>
      </c>
      <c r="C513" s="451" t="s">
        <v>1637</v>
      </c>
      <c r="D513" s="452">
        <v>5.4</v>
      </c>
      <c r="E513" s="452">
        <v>6.5</v>
      </c>
      <c r="F513" s="452">
        <v>7.8</v>
      </c>
      <c r="G513" s="456">
        <v>8.9</v>
      </c>
      <c r="H513" s="452">
        <v>9.1999999999999993</v>
      </c>
      <c r="I513" s="456">
        <v>9.6</v>
      </c>
      <c r="J513" s="452">
        <v>9.4</v>
      </c>
      <c r="K513" s="452">
        <v>8.9</v>
      </c>
      <c r="L513" s="452">
        <v>8.5</v>
      </c>
      <c r="M513" s="452">
        <v>7.6</v>
      </c>
      <c r="N513" s="452">
        <v>6</v>
      </c>
      <c r="O513" s="452">
        <v>5.4</v>
      </c>
      <c r="P513" s="452">
        <v>7.8</v>
      </c>
      <c r="Q513" s="454">
        <v>3</v>
      </c>
      <c r="R513" s="455">
        <f t="shared" si="7"/>
        <v>7.7666666666666666</v>
      </c>
    </row>
    <row r="514" spans="1:18" ht="13.5" customHeight="1" x14ac:dyDescent="0.2">
      <c r="A514" s="449" t="s">
        <v>1420</v>
      </c>
      <c r="B514" s="458" t="s">
        <v>1636</v>
      </c>
      <c r="C514" s="451" t="s">
        <v>1637</v>
      </c>
      <c r="D514" s="452">
        <v>8.6999999999999993</v>
      </c>
      <c r="E514" s="452">
        <v>9.4</v>
      </c>
      <c r="F514" s="452">
        <v>10.7</v>
      </c>
      <c r="G514" s="453">
        <v>11.9</v>
      </c>
      <c r="H514" s="452">
        <v>11</v>
      </c>
      <c r="I514" s="453">
        <v>10.1</v>
      </c>
      <c r="J514" s="452">
        <v>9.1999999999999993</v>
      </c>
      <c r="K514" s="452">
        <v>8.6999999999999993</v>
      </c>
      <c r="L514" s="452">
        <v>8.9</v>
      </c>
      <c r="M514" s="452">
        <v>9.4</v>
      </c>
      <c r="N514" s="452">
        <v>8.9</v>
      </c>
      <c r="O514" s="452">
        <v>8.9</v>
      </c>
      <c r="P514" s="452">
        <v>9.6</v>
      </c>
      <c r="Q514" s="454">
        <v>3</v>
      </c>
      <c r="R514" s="455">
        <f t="shared" si="7"/>
        <v>9.6500000000000021</v>
      </c>
    </row>
    <row r="515" spans="1:18" ht="13.5" customHeight="1" x14ac:dyDescent="0.2">
      <c r="A515" s="449" t="s">
        <v>1421</v>
      </c>
      <c r="B515" s="458" t="s">
        <v>1636</v>
      </c>
      <c r="C515" s="451" t="s">
        <v>1637</v>
      </c>
      <c r="D515" s="452">
        <v>6.7</v>
      </c>
      <c r="E515" s="452">
        <v>7.4</v>
      </c>
      <c r="F515" s="452">
        <v>8.5</v>
      </c>
      <c r="G515" s="456">
        <v>9.8000000000000007</v>
      </c>
      <c r="H515" s="452">
        <v>8.9</v>
      </c>
      <c r="I515" s="456">
        <v>8.6999999999999993</v>
      </c>
      <c r="J515" s="452">
        <v>8.1</v>
      </c>
      <c r="K515" s="452">
        <v>7.4</v>
      </c>
      <c r="L515" s="452">
        <v>7.4</v>
      </c>
      <c r="M515" s="452">
        <v>7.4</v>
      </c>
      <c r="N515" s="452">
        <v>6.5</v>
      </c>
      <c r="O515" s="452">
        <v>6.5</v>
      </c>
      <c r="P515" s="452">
        <v>7.8</v>
      </c>
      <c r="Q515" s="454">
        <v>3</v>
      </c>
      <c r="R515" s="455">
        <f t="shared" si="7"/>
        <v>7.7750000000000012</v>
      </c>
    </row>
    <row r="516" spans="1:18" ht="13.5" customHeight="1" x14ac:dyDescent="0.2">
      <c r="A516" s="449" t="s">
        <v>1422</v>
      </c>
      <c r="B516" s="458" t="s">
        <v>1636</v>
      </c>
      <c r="C516" s="451" t="s">
        <v>1637</v>
      </c>
      <c r="D516" s="452">
        <v>9.8000000000000007</v>
      </c>
      <c r="E516" s="452">
        <v>10.1</v>
      </c>
      <c r="F516" s="452">
        <v>10.3</v>
      </c>
      <c r="G516" s="456">
        <v>9.6</v>
      </c>
      <c r="H516" s="452">
        <v>8.9</v>
      </c>
      <c r="I516" s="456">
        <v>7.8</v>
      </c>
      <c r="J516" s="452">
        <v>7.6</v>
      </c>
      <c r="K516" s="452">
        <v>7.8</v>
      </c>
      <c r="L516" s="452">
        <v>8.6999999999999993</v>
      </c>
      <c r="M516" s="452">
        <v>9.1999999999999993</v>
      </c>
      <c r="N516" s="452">
        <v>9.4</v>
      </c>
      <c r="O516" s="452">
        <v>9.8000000000000007</v>
      </c>
      <c r="P516" s="452">
        <v>9.1999999999999993</v>
      </c>
      <c r="Q516" s="454">
        <v>3</v>
      </c>
      <c r="R516" s="455">
        <f t="shared" ref="R516:R579" si="8">AVERAGE(D516:O516)</f>
        <v>9.0833333333333339</v>
      </c>
    </row>
    <row r="517" spans="1:18" ht="13.5" customHeight="1" x14ac:dyDescent="0.2">
      <c r="A517" s="449" t="s">
        <v>1423</v>
      </c>
      <c r="B517" s="458" t="s">
        <v>1636</v>
      </c>
      <c r="C517" s="451" t="s">
        <v>1637</v>
      </c>
      <c r="D517" s="452">
        <v>8.5</v>
      </c>
      <c r="E517" s="452">
        <v>8.9</v>
      </c>
      <c r="F517" s="452">
        <v>9.4</v>
      </c>
      <c r="G517" s="456">
        <v>8.9</v>
      </c>
      <c r="H517" s="452">
        <v>8.1</v>
      </c>
      <c r="I517" s="456">
        <v>6.9</v>
      </c>
      <c r="J517" s="452">
        <v>6.5</v>
      </c>
      <c r="K517" s="452">
        <v>6.3</v>
      </c>
      <c r="L517" s="452">
        <v>6.7</v>
      </c>
      <c r="M517" s="452">
        <v>7.4</v>
      </c>
      <c r="N517" s="452">
        <v>7.6</v>
      </c>
      <c r="O517" s="452">
        <v>8.3000000000000007</v>
      </c>
      <c r="P517" s="452">
        <v>7.8</v>
      </c>
      <c r="Q517" s="454">
        <v>3</v>
      </c>
      <c r="R517" s="455">
        <f t="shared" si="8"/>
        <v>7.7916666666666652</v>
      </c>
    </row>
    <row r="518" spans="1:18" ht="13.5" customHeight="1" x14ac:dyDescent="0.2">
      <c r="A518" s="449" t="s">
        <v>1424</v>
      </c>
      <c r="B518" s="458" t="s">
        <v>1636</v>
      </c>
      <c r="C518" s="451" t="s">
        <v>1637</v>
      </c>
      <c r="D518" s="452">
        <v>9.4</v>
      </c>
      <c r="E518" s="452">
        <v>9.8000000000000007</v>
      </c>
      <c r="F518" s="452">
        <v>10.1</v>
      </c>
      <c r="G518" s="456">
        <v>9.6</v>
      </c>
      <c r="H518" s="452">
        <v>8.3000000000000007</v>
      </c>
      <c r="I518" s="456">
        <v>7.6</v>
      </c>
      <c r="J518" s="452">
        <v>7.4</v>
      </c>
      <c r="K518" s="452">
        <v>6.9</v>
      </c>
      <c r="L518" s="452">
        <v>7.8</v>
      </c>
      <c r="M518" s="452">
        <v>7.6</v>
      </c>
      <c r="N518" s="452">
        <v>8.5</v>
      </c>
      <c r="O518" s="452">
        <v>8.9</v>
      </c>
      <c r="P518" s="452">
        <v>8.5</v>
      </c>
      <c r="Q518" s="454">
        <v>3</v>
      </c>
      <c r="R518" s="455">
        <f t="shared" si="8"/>
        <v>8.4916666666666671</v>
      </c>
    </row>
    <row r="519" spans="1:18" ht="13.5" customHeight="1" x14ac:dyDescent="0.2">
      <c r="A519" s="449" t="s">
        <v>1425</v>
      </c>
      <c r="B519" s="458" t="s">
        <v>1636</v>
      </c>
      <c r="C519" s="451" t="s">
        <v>1637</v>
      </c>
      <c r="D519" s="452">
        <v>7.2</v>
      </c>
      <c r="E519" s="452">
        <v>7.6</v>
      </c>
      <c r="F519" s="452">
        <v>8.3000000000000007</v>
      </c>
      <c r="G519" s="456">
        <v>7.8</v>
      </c>
      <c r="H519" s="452">
        <v>7.4</v>
      </c>
      <c r="I519" s="456">
        <v>6.3</v>
      </c>
      <c r="J519" s="452">
        <v>5.6</v>
      </c>
      <c r="K519" s="452">
        <v>5.6</v>
      </c>
      <c r="L519" s="452">
        <v>6.7</v>
      </c>
      <c r="M519" s="452">
        <v>7.4</v>
      </c>
      <c r="N519" s="452">
        <v>6.9</v>
      </c>
      <c r="O519" s="452">
        <v>6.7</v>
      </c>
      <c r="P519" s="452">
        <v>6.9</v>
      </c>
      <c r="Q519" s="454">
        <v>3</v>
      </c>
      <c r="R519" s="455">
        <f t="shared" si="8"/>
        <v>6.9583333333333348</v>
      </c>
    </row>
    <row r="520" spans="1:18" ht="13.5" customHeight="1" x14ac:dyDescent="0.2">
      <c r="A520" s="449" t="s">
        <v>1426</v>
      </c>
      <c r="B520" s="458" t="s">
        <v>1636</v>
      </c>
      <c r="C520" s="451" t="s">
        <v>1637</v>
      </c>
      <c r="D520" s="452">
        <v>7.4</v>
      </c>
      <c r="E520" s="452">
        <v>7.8</v>
      </c>
      <c r="F520" s="452">
        <v>8.3000000000000007</v>
      </c>
      <c r="G520" s="452">
        <v>8.1</v>
      </c>
      <c r="H520" s="452">
        <v>7.2</v>
      </c>
      <c r="I520" s="452">
        <v>6.3</v>
      </c>
      <c r="J520" s="452">
        <v>5.4</v>
      </c>
      <c r="K520" s="452">
        <v>5.6</v>
      </c>
      <c r="L520" s="452">
        <v>6.3</v>
      </c>
      <c r="M520" s="452">
        <v>7.2</v>
      </c>
      <c r="N520" s="452">
        <v>7.4</v>
      </c>
      <c r="O520" s="452">
        <v>7.2</v>
      </c>
      <c r="P520" s="452">
        <v>6.9</v>
      </c>
      <c r="Q520" s="454">
        <v>3</v>
      </c>
      <c r="R520" s="455">
        <f t="shared" si="8"/>
        <v>7.0166666666666666</v>
      </c>
    </row>
    <row r="521" spans="1:18" ht="13.5" customHeight="1" x14ac:dyDescent="0.2">
      <c r="A521" s="449" t="s">
        <v>1427</v>
      </c>
      <c r="B521" s="458" t="s">
        <v>1636</v>
      </c>
      <c r="C521" s="451" t="s">
        <v>1637</v>
      </c>
      <c r="D521" s="452">
        <v>6.5</v>
      </c>
      <c r="E521" s="452">
        <v>6.9</v>
      </c>
      <c r="F521" s="452">
        <v>7.4</v>
      </c>
      <c r="G521" s="452">
        <v>7.2</v>
      </c>
      <c r="H521" s="452">
        <v>6.7</v>
      </c>
      <c r="I521" s="452">
        <v>5.6</v>
      </c>
      <c r="J521" s="452">
        <v>5.0999999999999996</v>
      </c>
      <c r="K521" s="452">
        <v>4.9000000000000004</v>
      </c>
      <c r="L521" s="452">
        <v>5.8</v>
      </c>
      <c r="M521" s="452">
        <v>5.8</v>
      </c>
      <c r="N521" s="452">
        <v>6</v>
      </c>
      <c r="O521" s="452">
        <v>5.8</v>
      </c>
      <c r="P521" s="452">
        <v>6.3</v>
      </c>
      <c r="Q521" s="454">
        <v>3</v>
      </c>
      <c r="R521" s="455">
        <f t="shared" si="8"/>
        <v>6.1416666666666666</v>
      </c>
    </row>
    <row r="522" spans="1:18" ht="13.5" customHeight="1" x14ac:dyDescent="0.2">
      <c r="A522" s="449" t="s">
        <v>1428</v>
      </c>
      <c r="B522" s="458" t="s">
        <v>1636</v>
      </c>
      <c r="C522" s="451" t="s">
        <v>1637</v>
      </c>
      <c r="D522" s="452">
        <v>7.2</v>
      </c>
      <c r="E522" s="452">
        <v>7.4</v>
      </c>
      <c r="F522" s="452">
        <v>8.1</v>
      </c>
      <c r="G522" s="452">
        <v>7.6</v>
      </c>
      <c r="H522" s="452">
        <v>7.2</v>
      </c>
      <c r="I522" s="452">
        <v>6.5</v>
      </c>
      <c r="J522" s="452">
        <v>5.8</v>
      </c>
      <c r="K522" s="452">
        <v>5.8</v>
      </c>
      <c r="L522" s="452">
        <v>6.5</v>
      </c>
      <c r="M522" s="452">
        <v>6.3</v>
      </c>
      <c r="N522" s="452">
        <v>6.3</v>
      </c>
      <c r="O522" s="452">
        <v>6.5</v>
      </c>
      <c r="P522" s="452">
        <v>6.7</v>
      </c>
      <c r="Q522" s="454">
        <v>3</v>
      </c>
      <c r="R522" s="455">
        <f t="shared" si="8"/>
        <v>6.7666666666666666</v>
      </c>
    </row>
    <row r="523" spans="1:18" ht="13.5" customHeight="1" x14ac:dyDescent="0.2">
      <c r="A523" s="449" t="s">
        <v>1429</v>
      </c>
      <c r="B523" s="458" t="s">
        <v>1636</v>
      </c>
      <c r="C523" s="451" t="s">
        <v>1637</v>
      </c>
      <c r="D523" s="452">
        <v>11</v>
      </c>
      <c r="E523" s="452">
        <v>10.5</v>
      </c>
      <c r="F523" s="452">
        <v>11</v>
      </c>
      <c r="G523" s="452">
        <v>11.2</v>
      </c>
      <c r="H523" s="452">
        <v>9.8000000000000007</v>
      </c>
      <c r="I523" s="452">
        <v>8.6999999999999993</v>
      </c>
      <c r="J523" s="452">
        <v>8.5</v>
      </c>
      <c r="K523" s="452">
        <v>8.3000000000000007</v>
      </c>
      <c r="L523" s="452">
        <v>8.6999999999999993</v>
      </c>
      <c r="M523" s="452">
        <v>10.1</v>
      </c>
      <c r="N523" s="452">
        <v>11.2</v>
      </c>
      <c r="O523" s="452">
        <v>10.5</v>
      </c>
      <c r="P523" s="452">
        <v>10.1</v>
      </c>
      <c r="Q523" s="454">
        <v>3</v>
      </c>
      <c r="R523" s="455">
        <f t="shared" si="8"/>
        <v>9.9583333333333339</v>
      </c>
    </row>
    <row r="524" spans="1:18" ht="13.5" customHeight="1" x14ac:dyDescent="0.2">
      <c r="A524" s="449" t="s">
        <v>1430</v>
      </c>
      <c r="B524" s="458" t="s">
        <v>1636</v>
      </c>
      <c r="C524" s="451" t="s">
        <v>1637</v>
      </c>
      <c r="D524" s="452">
        <v>8.5</v>
      </c>
      <c r="E524" s="452">
        <v>8.5</v>
      </c>
      <c r="F524" s="452">
        <v>9.6</v>
      </c>
      <c r="G524" s="452">
        <v>9.8000000000000007</v>
      </c>
      <c r="H524" s="452">
        <v>8.6999999999999993</v>
      </c>
      <c r="I524" s="452">
        <v>7.4</v>
      </c>
      <c r="J524" s="452">
        <v>7.2</v>
      </c>
      <c r="K524" s="452">
        <v>6.9</v>
      </c>
      <c r="L524" s="452">
        <v>7.4</v>
      </c>
      <c r="M524" s="452">
        <v>8.3000000000000007</v>
      </c>
      <c r="N524" s="452">
        <v>8.5</v>
      </c>
      <c r="O524" s="452">
        <v>8.1</v>
      </c>
      <c r="P524" s="452">
        <v>8.3000000000000007</v>
      </c>
      <c r="Q524" s="454">
        <v>3</v>
      </c>
      <c r="R524" s="455">
        <f t="shared" si="8"/>
        <v>8.2416666666666671</v>
      </c>
    </row>
    <row r="525" spans="1:18" ht="13.5" customHeight="1" x14ac:dyDescent="0.2">
      <c r="A525" s="449" t="s">
        <v>1431</v>
      </c>
      <c r="B525" s="458" t="s">
        <v>1636</v>
      </c>
      <c r="C525" s="451" t="s">
        <v>1637</v>
      </c>
      <c r="D525" s="452">
        <v>8.3000000000000007</v>
      </c>
      <c r="E525" s="452">
        <v>8.6999999999999993</v>
      </c>
      <c r="F525" s="452">
        <v>9.1999999999999993</v>
      </c>
      <c r="G525" s="452">
        <v>8.6999999999999993</v>
      </c>
      <c r="H525" s="452">
        <v>8.1</v>
      </c>
      <c r="I525" s="452">
        <v>6.9</v>
      </c>
      <c r="J525" s="452">
        <v>6.3</v>
      </c>
      <c r="K525" s="452">
        <v>6.5</v>
      </c>
      <c r="L525" s="452">
        <v>7.2</v>
      </c>
      <c r="M525" s="452">
        <v>7.8</v>
      </c>
      <c r="N525" s="452">
        <v>8.1</v>
      </c>
      <c r="O525" s="452">
        <v>7.8</v>
      </c>
      <c r="P525" s="452">
        <v>7.8</v>
      </c>
      <c r="Q525" s="454">
        <v>3</v>
      </c>
      <c r="R525" s="455">
        <f t="shared" si="8"/>
        <v>7.799999999999998</v>
      </c>
    </row>
    <row r="526" spans="1:18" ht="13.5" customHeight="1" x14ac:dyDescent="0.2">
      <c r="A526" s="449" t="s">
        <v>1432</v>
      </c>
      <c r="B526" s="458" t="s">
        <v>1636</v>
      </c>
      <c r="C526" s="451" t="s">
        <v>1637</v>
      </c>
      <c r="D526" s="452">
        <v>8.6999999999999993</v>
      </c>
      <c r="E526" s="452">
        <v>8.6999999999999993</v>
      </c>
      <c r="F526" s="452">
        <v>9.1999999999999993</v>
      </c>
      <c r="G526" s="452">
        <v>9.1999999999999993</v>
      </c>
      <c r="H526" s="452">
        <v>8.3000000000000007</v>
      </c>
      <c r="I526" s="456">
        <v>7.2</v>
      </c>
      <c r="J526" s="452">
        <v>6.5</v>
      </c>
      <c r="K526" s="452">
        <v>6.3</v>
      </c>
      <c r="L526" s="452">
        <v>7.2</v>
      </c>
      <c r="M526" s="452">
        <v>7.4</v>
      </c>
      <c r="N526" s="452">
        <v>7.8</v>
      </c>
      <c r="O526" s="452">
        <v>8.1</v>
      </c>
      <c r="P526" s="452">
        <v>7.8</v>
      </c>
      <c r="Q526" s="454">
        <v>3</v>
      </c>
      <c r="R526" s="455">
        <f t="shared" si="8"/>
        <v>7.8833333333333329</v>
      </c>
    </row>
    <row r="527" spans="1:18" ht="13.5" customHeight="1" x14ac:dyDescent="0.2">
      <c r="A527" s="449" t="s">
        <v>1433</v>
      </c>
      <c r="B527" s="458" t="s">
        <v>1636</v>
      </c>
      <c r="C527" s="451" t="s">
        <v>1637</v>
      </c>
      <c r="D527" s="452">
        <v>5.8</v>
      </c>
      <c r="E527" s="452">
        <v>6.3</v>
      </c>
      <c r="F527" s="452">
        <v>6.5</v>
      </c>
      <c r="G527" s="452">
        <v>6.3</v>
      </c>
      <c r="H527" s="452">
        <v>6</v>
      </c>
      <c r="I527" s="456">
        <v>5.0999999999999996</v>
      </c>
      <c r="J527" s="452">
        <v>4.5</v>
      </c>
      <c r="K527" s="452">
        <v>4.7</v>
      </c>
      <c r="L527" s="452">
        <v>5.6</v>
      </c>
      <c r="M527" s="452">
        <v>5.4</v>
      </c>
      <c r="N527" s="452">
        <v>5.4</v>
      </c>
      <c r="O527" s="452">
        <v>5.4</v>
      </c>
      <c r="P527" s="452">
        <v>5.6</v>
      </c>
      <c r="Q527" s="454">
        <v>3</v>
      </c>
      <c r="R527" s="455">
        <f t="shared" si="8"/>
        <v>5.583333333333333</v>
      </c>
    </row>
    <row r="528" spans="1:18" ht="13.5" customHeight="1" x14ac:dyDescent="0.2">
      <c r="A528" s="449" t="s">
        <v>1434</v>
      </c>
      <c r="B528" s="458" t="s">
        <v>1636</v>
      </c>
      <c r="C528" s="451" t="s">
        <v>1637</v>
      </c>
      <c r="D528" s="452">
        <v>7.2</v>
      </c>
      <c r="E528" s="452">
        <v>7.4</v>
      </c>
      <c r="F528" s="452">
        <v>8.1</v>
      </c>
      <c r="G528" s="452">
        <v>7.8</v>
      </c>
      <c r="H528" s="452">
        <v>7.2</v>
      </c>
      <c r="I528" s="456">
        <v>6.5</v>
      </c>
      <c r="J528" s="452">
        <v>5.6</v>
      </c>
      <c r="K528" s="452">
        <v>5.6</v>
      </c>
      <c r="L528" s="452">
        <v>6.3</v>
      </c>
      <c r="M528" s="452">
        <v>6.7</v>
      </c>
      <c r="N528" s="452">
        <v>6.9</v>
      </c>
      <c r="O528" s="452">
        <v>6.7</v>
      </c>
      <c r="P528" s="452">
        <v>6.7</v>
      </c>
      <c r="Q528" s="454">
        <v>3</v>
      </c>
      <c r="R528" s="455">
        <f t="shared" si="8"/>
        <v>6.8333333333333348</v>
      </c>
    </row>
    <row r="529" spans="1:18" ht="13.5" customHeight="1" x14ac:dyDescent="0.2">
      <c r="A529" s="449" t="s">
        <v>1435</v>
      </c>
      <c r="B529" s="458" t="s">
        <v>1636</v>
      </c>
      <c r="C529" s="451" t="s">
        <v>1637</v>
      </c>
      <c r="D529" s="452">
        <v>8.5</v>
      </c>
      <c r="E529" s="452">
        <v>8.6999999999999993</v>
      </c>
      <c r="F529" s="452">
        <v>9.6</v>
      </c>
      <c r="G529" s="452">
        <v>9.6</v>
      </c>
      <c r="H529" s="452">
        <v>8.9</v>
      </c>
      <c r="I529" s="456">
        <v>7.6</v>
      </c>
      <c r="J529" s="452">
        <v>6.7</v>
      </c>
      <c r="K529" s="452">
        <v>6.7</v>
      </c>
      <c r="L529" s="452">
        <v>7.4</v>
      </c>
      <c r="M529" s="452">
        <v>8.5</v>
      </c>
      <c r="N529" s="452">
        <v>8.5</v>
      </c>
      <c r="O529" s="452">
        <v>8.1</v>
      </c>
      <c r="P529" s="452">
        <v>8.3000000000000007</v>
      </c>
      <c r="Q529" s="454">
        <v>3</v>
      </c>
      <c r="R529" s="455">
        <f t="shared" si="8"/>
        <v>8.2333333333333325</v>
      </c>
    </row>
    <row r="530" spans="1:18" ht="13.5" customHeight="1" x14ac:dyDescent="0.2">
      <c r="A530" s="449" t="s">
        <v>1436</v>
      </c>
      <c r="B530" s="458" t="s">
        <v>1636</v>
      </c>
      <c r="C530" s="451" t="s">
        <v>1637</v>
      </c>
      <c r="D530" s="452">
        <v>9.8000000000000007</v>
      </c>
      <c r="E530" s="452">
        <v>9.8000000000000007</v>
      </c>
      <c r="F530" s="452">
        <v>11</v>
      </c>
      <c r="G530" s="452">
        <v>10.7</v>
      </c>
      <c r="H530" s="452">
        <v>9.8000000000000007</v>
      </c>
      <c r="I530" s="456">
        <v>7.8</v>
      </c>
      <c r="J530" s="452">
        <v>7.4</v>
      </c>
      <c r="K530" s="452">
        <v>7.4</v>
      </c>
      <c r="L530" s="452">
        <v>8.3000000000000007</v>
      </c>
      <c r="M530" s="452">
        <v>9.4</v>
      </c>
      <c r="N530" s="452">
        <v>9.8000000000000007</v>
      </c>
      <c r="O530" s="452">
        <v>9.4</v>
      </c>
      <c r="P530" s="452">
        <v>9.1999999999999993</v>
      </c>
      <c r="Q530" s="454">
        <v>3</v>
      </c>
      <c r="R530" s="455">
        <f t="shared" si="8"/>
        <v>9.2166666666666668</v>
      </c>
    </row>
    <row r="531" spans="1:18" ht="13.5" customHeight="1" x14ac:dyDescent="0.2">
      <c r="A531" s="449" t="s">
        <v>1437</v>
      </c>
      <c r="B531" s="458" t="s">
        <v>1636</v>
      </c>
      <c r="C531" s="451" t="s">
        <v>1637</v>
      </c>
      <c r="D531" s="452">
        <v>7.4</v>
      </c>
      <c r="E531" s="452">
        <v>7.4</v>
      </c>
      <c r="F531" s="452">
        <v>7.6</v>
      </c>
      <c r="G531" s="452">
        <v>6.9</v>
      </c>
      <c r="H531" s="452">
        <v>6</v>
      </c>
      <c r="I531" s="456">
        <v>5.4</v>
      </c>
      <c r="J531" s="452">
        <v>5.0999999999999996</v>
      </c>
      <c r="K531" s="452">
        <v>4.9000000000000004</v>
      </c>
      <c r="L531" s="452">
        <v>5.6</v>
      </c>
      <c r="M531" s="452">
        <v>5.6</v>
      </c>
      <c r="N531" s="452">
        <v>6</v>
      </c>
      <c r="O531" s="452">
        <v>6.7</v>
      </c>
      <c r="P531" s="452">
        <v>6.3</v>
      </c>
      <c r="Q531" s="454">
        <v>3</v>
      </c>
      <c r="R531" s="455">
        <f t="shared" si="8"/>
        <v>6.2166666666666677</v>
      </c>
    </row>
    <row r="532" spans="1:18" ht="13.5" customHeight="1" x14ac:dyDescent="0.2">
      <c r="A532" s="449" t="s">
        <v>1438</v>
      </c>
      <c r="B532" s="458" t="s">
        <v>1636</v>
      </c>
      <c r="C532" s="451" t="s">
        <v>1637</v>
      </c>
      <c r="D532" s="452">
        <v>9.4</v>
      </c>
      <c r="E532" s="452">
        <v>9.4</v>
      </c>
      <c r="F532" s="452">
        <v>9.6</v>
      </c>
      <c r="G532" s="452">
        <v>8.6999999999999993</v>
      </c>
      <c r="H532" s="452">
        <v>7.8</v>
      </c>
      <c r="I532" s="456">
        <v>7.4</v>
      </c>
      <c r="J532" s="452">
        <v>6.9</v>
      </c>
      <c r="K532" s="452">
        <v>6.7</v>
      </c>
      <c r="L532" s="452">
        <v>7.6</v>
      </c>
      <c r="M532" s="452">
        <v>7.8</v>
      </c>
      <c r="N532" s="452">
        <v>8.1</v>
      </c>
      <c r="O532" s="452">
        <v>8.9</v>
      </c>
      <c r="P532" s="452">
        <v>8.3000000000000007</v>
      </c>
      <c r="Q532" s="454">
        <v>3</v>
      </c>
      <c r="R532" s="455">
        <f t="shared" si="8"/>
        <v>8.1916666666666647</v>
      </c>
    </row>
    <row r="533" spans="1:18" ht="13.5" customHeight="1" x14ac:dyDescent="0.2">
      <c r="A533" s="449" t="s">
        <v>1439</v>
      </c>
      <c r="B533" s="458" t="s">
        <v>1636</v>
      </c>
      <c r="C533" s="451" t="s">
        <v>1637</v>
      </c>
      <c r="D533" s="452">
        <v>6</v>
      </c>
      <c r="E533" s="452">
        <v>6.3</v>
      </c>
      <c r="F533" s="452">
        <v>6.7</v>
      </c>
      <c r="G533" s="452">
        <v>6.3</v>
      </c>
      <c r="H533" s="452">
        <v>5.6</v>
      </c>
      <c r="I533" s="452">
        <v>4.9000000000000004</v>
      </c>
      <c r="J533" s="452">
        <v>4.7</v>
      </c>
      <c r="K533" s="452">
        <v>4</v>
      </c>
      <c r="L533" s="452">
        <v>4.7</v>
      </c>
      <c r="M533" s="452">
        <v>4.5</v>
      </c>
      <c r="N533" s="452">
        <v>4.9000000000000004</v>
      </c>
      <c r="O533" s="452">
        <v>5.4</v>
      </c>
      <c r="P533" s="452">
        <v>5.4</v>
      </c>
      <c r="Q533" s="454">
        <v>3</v>
      </c>
      <c r="R533" s="455">
        <f t="shared" si="8"/>
        <v>5.333333333333333</v>
      </c>
    </row>
    <row r="534" spans="1:18" ht="13.5" customHeight="1" x14ac:dyDescent="0.2">
      <c r="A534" s="449" t="s">
        <v>1440</v>
      </c>
      <c r="B534" s="458" t="s">
        <v>1636</v>
      </c>
      <c r="C534" s="451" t="s">
        <v>1637</v>
      </c>
      <c r="D534" s="452">
        <v>6.5</v>
      </c>
      <c r="E534" s="452">
        <v>6.7</v>
      </c>
      <c r="F534" s="452">
        <v>7.2</v>
      </c>
      <c r="G534" s="452">
        <v>6.7</v>
      </c>
      <c r="H534" s="452">
        <v>6.3</v>
      </c>
      <c r="I534" s="452">
        <v>5.6</v>
      </c>
      <c r="J534" s="452">
        <v>5.6</v>
      </c>
      <c r="K534" s="452">
        <v>5.0999999999999996</v>
      </c>
      <c r="L534" s="452">
        <v>6</v>
      </c>
      <c r="M534" s="452">
        <v>5.6</v>
      </c>
      <c r="N534" s="452">
        <v>5.6</v>
      </c>
      <c r="O534" s="452">
        <v>6</v>
      </c>
      <c r="P534" s="452">
        <v>6</v>
      </c>
      <c r="Q534" s="454">
        <v>3</v>
      </c>
      <c r="R534" s="455">
        <f t="shared" si="8"/>
        <v>6.0750000000000002</v>
      </c>
    </row>
    <row r="535" spans="1:18" ht="13.5" customHeight="1" x14ac:dyDescent="0.2">
      <c r="A535" s="449" t="s">
        <v>1441</v>
      </c>
      <c r="B535" s="458" t="s">
        <v>1636</v>
      </c>
      <c r="C535" s="451" t="s">
        <v>1637</v>
      </c>
      <c r="D535" s="452">
        <v>6.7</v>
      </c>
      <c r="E535" s="452">
        <v>6.7</v>
      </c>
      <c r="F535" s="452">
        <v>6.9</v>
      </c>
      <c r="G535" s="452">
        <v>6.5</v>
      </c>
      <c r="H535" s="452">
        <v>6</v>
      </c>
      <c r="I535" s="452">
        <v>5.4</v>
      </c>
      <c r="J535" s="452">
        <v>4.9000000000000004</v>
      </c>
      <c r="K535" s="452">
        <v>4.7</v>
      </c>
      <c r="L535" s="452">
        <v>5.4</v>
      </c>
      <c r="M535" s="452">
        <v>5.0999999999999996</v>
      </c>
      <c r="N535" s="452">
        <v>5.4</v>
      </c>
      <c r="O535" s="452">
        <v>6</v>
      </c>
      <c r="P535" s="452">
        <v>5.8</v>
      </c>
      <c r="Q535" s="454">
        <v>3</v>
      </c>
      <c r="R535" s="455">
        <f t="shared" si="8"/>
        <v>5.8083333333333327</v>
      </c>
    </row>
    <row r="536" spans="1:18" ht="13.5" customHeight="1" x14ac:dyDescent="0.2">
      <c r="A536" s="449" t="s">
        <v>1442</v>
      </c>
      <c r="B536" s="458" t="s">
        <v>1636</v>
      </c>
      <c r="C536" s="451" t="s">
        <v>1637</v>
      </c>
      <c r="D536" s="452">
        <v>7.2</v>
      </c>
      <c r="E536" s="452">
        <v>7.4</v>
      </c>
      <c r="F536" s="452">
        <v>7.8</v>
      </c>
      <c r="G536" s="452">
        <v>7.4</v>
      </c>
      <c r="H536" s="452">
        <v>6.7</v>
      </c>
      <c r="I536" s="452">
        <v>6.3</v>
      </c>
      <c r="J536" s="452">
        <v>5.6</v>
      </c>
      <c r="K536" s="452">
        <v>5.6</v>
      </c>
      <c r="L536" s="452">
        <v>6.5</v>
      </c>
      <c r="M536" s="452">
        <v>6.3</v>
      </c>
      <c r="N536" s="452">
        <v>6</v>
      </c>
      <c r="O536" s="452">
        <v>6.5</v>
      </c>
      <c r="P536" s="452">
        <v>6.5</v>
      </c>
      <c r="Q536" s="454">
        <v>3</v>
      </c>
      <c r="R536" s="455">
        <f t="shared" si="8"/>
        <v>6.6083333333333343</v>
      </c>
    </row>
    <row r="537" spans="1:18" ht="13.5" customHeight="1" x14ac:dyDescent="0.2">
      <c r="A537" s="449" t="s">
        <v>1443</v>
      </c>
      <c r="B537" s="458" t="s">
        <v>1636</v>
      </c>
      <c r="C537" s="451" t="s">
        <v>1637</v>
      </c>
      <c r="D537" s="452">
        <v>6.7</v>
      </c>
      <c r="E537" s="452">
        <v>7.2</v>
      </c>
      <c r="F537" s="452">
        <v>7.2</v>
      </c>
      <c r="G537" s="452">
        <v>6.9</v>
      </c>
      <c r="H537" s="452">
        <v>6.7</v>
      </c>
      <c r="I537" s="452">
        <v>6.5</v>
      </c>
      <c r="J537" s="452">
        <v>6.5</v>
      </c>
      <c r="K537" s="452">
        <v>6.3</v>
      </c>
      <c r="L537" s="452">
        <v>6.3</v>
      </c>
      <c r="M537" s="452">
        <v>6.3</v>
      </c>
      <c r="N537" s="452">
        <v>6.3</v>
      </c>
      <c r="O537" s="452">
        <v>6.5</v>
      </c>
      <c r="P537" s="452">
        <v>6.5</v>
      </c>
      <c r="Q537" s="454">
        <v>3</v>
      </c>
      <c r="R537" s="455">
        <f t="shared" si="8"/>
        <v>6.6166666666666663</v>
      </c>
    </row>
    <row r="538" spans="1:18" ht="13.5" customHeight="1" x14ac:dyDescent="0.2">
      <c r="A538" s="449" t="s">
        <v>1444</v>
      </c>
      <c r="B538" s="458" t="s">
        <v>1636</v>
      </c>
      <c r="C538" s="451" t="s">
        <v>1637</v>
      </c>
      <c r="D538" s="452">
        <v>8.6999999999999993</v>
      </c>
      <c r="E538" s="452">
        <v>9.1999999999999993</v>
      </c>
      <c r="F538" s="452">
        <v>10.3</v>
      </c>
      <c r="G538" s="452">
        <v>11.2</v>
      </c>
      <c r="H538" s="452">
        <v>10.3</v>
      </c>
      <c r="I538" s="452">
        <v>12.1</v>
      </c>
      <c r="J538" s="452">
        <v>12.1</v>
      </c>
      <c r="K538" s="452">
        <v>12.1</v>
      </c>
      <c r="L538" s="452">
        <v>10.5</v>
      </c>
      <c r="M538" s="452">
        <v>10.1</v>
      </c>
      <c r="N538" s="452">
        <v>9.6</v>
      </c>
      <c r="O538" s="452">
        <v>9.4</v>
      </c>
      <c r="P538" s="452">
        <v>10.5</v>
      </c>
      <c r="Q538" s="454">
        <v>3</v>
      </c>
      <c r="R538" s="455">
        <f t="shared" si="8"/>
        <v>10.466666666666667</v>
      </c>
    </row>
    <row r="539" spans="1:18" ht="13.5" customHeight="1" x14ac:dyDescent="0.2">
      <c r="A539" s="449" t="s">
        <v>1445</v>
      </c>
      <c r="B539" s="458" t="s">
        <v>1636</v>
      </c>
      <c r="C539" s="451" t="s">
        <v>1637</v>
      </c>
      <c r="D539" s="452">
        <v>10.5</v>
      </c>
      <c r="E539" s="452">
        <v>11.2</v>
      </c>
      <c r="F539" s="452">
        <v>11.9</v>
      </c>
      <c r="G539" s="452">
        <v>13</v>
      </c>
      <c r="H539" s="452">
        <v>12.1</v>
      </c>
      <c r="I539" s="452">
        <v>14.8</v>
      </c>
      <c r="J539" s="452">
        <v>15</v>
      </c>
      <c r="K539" s="452">
        <v>14.5</v>
      </c>
      <c r="L539" s="452">
        <v>12.8</v>
      </c>
      <c r="M539" s="452">
        <v>11.9</v>
      </c>
      <c r="N539" s="452">
        <v>11.2</v>
      </c>
      <c r="O539" s="452">
        <v>10.7</v>
      </c>
      <c r="P539" s="452">
        <v>12.5</v>
      </c>
      <c r="Q539" s="454">
        <v>3</v>
      </c>
      <c r="R539" s="455">
        <f t="shared" si="8"/>
        <v>12.466666666666667</v>
      </c>
    </row>
    <row r="540" spans="1:18" ht="13.5" customHeight="1" x14ac:dyDescent="0.2">
      <c r="A540" s="449" t="s">
        <v>1446</v>
      </c>
      <c r="B540" s="458" t="s">
        <v>1636</v>
      </c>
      <c r="C540" s="451" t="s">
        <v>1637</v>
      </c>
      <c r="D540" s="452">
        <v>11.9</v>
      </c>
      <c r="E540" s="452">
        <v>12.5</v>
      </c>
      <c r="F540" s="452">
        <v>13.2</v>
      </c>
      <c r="G540" s="452">
        <v>14.3</v>
      </c>
      <c r="H540" s="452">
        <v>12.8</v>
      </c>
      <c r="I540" s="452">
        <v>14.3</v>
      </c>
      <c r="J540" s="452">
        <v>14.8</v>
      </c>
      <c r="K540" s="452">
        <v>14.3</v>
      </c>
      <c r="L540" s="452">
        <v>13</v>
      </c>
      <c r="M540" s="452">
        <v>13</v>
      </c>
      <c r="N540" s="452">
        <v>13.2</v>
      </c>
      <c r="O540" s="452">
        <v>12.8</v>
      </c>
      <c r="P540" s="452">
        <v>13.4</v>
      </c>
      <c r="Q540" s="454">
        <v>3</v>
      </c>
      <c r="R540" s="455">
        <f t="shared" si="8"/>
        <v>13.341666666666663</v>
      </c>
    </row>
    <row r="541" spans="1:18" ht="13.5" customHeight="1" x14ac:dyDescent="0.2">
      <c r="A541" s="449" t="s">
        <v>1447</v>
      </c>
      <c r="B541" s="458" t="s">
        <v>1636</v>
      </c>
      <c r="C541" s="451" t="s">
        <v>1637</v>
      </c>
      <c r="D541" s="452">
        <v>6.9</v>
      </c>
      <c r="E541" s="452">
        <v>7.6</v>
      </c>
      <c r="F541" s="452">
        <v>8.6999999999999993</v>
      </c>
      <c r="G541" s="452">
        <v>8.6999999999999993</v>
      </c>
      <c r="H541" s="452">
        <v>8.3000000000000007</v>
      </c>
      <c r="I541" s="452">
        <v>8.1</v>
      </c>
      <c r="J541" s="452">
        <v>7.6</v>
      </c>
      <c r="K541" s="452">
        <v>7.4</v>
      </c>
      <c r="L541" s="452">
        <v>7.2</v>
      </c>
      <c r="M541" s="452">
        <v>7.2</v>
      </c>
      <c r="N541" s="452">
        <v>6.9</v>
      </c>
      <c r="O541" s="452">
        <v>7.4</v>
      </c>
      <c r="P541" s="452">
        <v>7.6</v>
      </c>
      <c r="Q541" s="454">
        <v>3</v>
      </c>
      <c r="R541" s="455">
        <f t="shared" si="8"/>
        <v>7.6666666666666679</v>
      </c>
    </row>
    <row r="542" spans="1:18" ht="13.5" customHeight="1" x14ac:dyDescent="0.2">
      <c r="A542" s="449" t="s">
        <v>1448</v>
      </c>
      <c r="B542" s="458" t="s">
        <v>1636</v>
      </c>
      <c r="C542" s="451" t="s">
        <v>1637</v>
      </c>
      <c r="D542" s="452">
        <v>6</v>
      </c>
      <c r="E542" s="452">
        <v>5.6</v>
      </c>
      <c r="F542" s="452">
        <v>6</v>
      </c>
      <c r="G542" s="452">
        <v>6</v>
      </c>
      <c r="H542" s="452">
        <v>5.6</v>
      </c>
      <c r="I542" s="452">
        <v>5.6</v>
      </c>
      <c r="J542" s="452">
        <v>5.6</v>
      </c>
      <c r="K542" s="452">
        <v>5.4</v>
      </c>
      <c r="L542" s="452">
        <v>4.7</v>
      </c>
      <c r="M542" s="452">
        <v>4.7</v>
      </c>
      <c r="N542" s="452">
        <v>5.4</v>
      </c>
      <c r="O542" s="452">
        <v>6</v>
      </c>
      <c r="P542" s="452">
        <v>5.6</v>
      </c>
      <c r="Q542" s="454">
        <v>3</v>
      </c>
      <c r="R542" s="455">
        <f t="shared" si="8"/>
        <v>5.5500000000000007</v>
      </c>
    </row>
    <row r="543" spans="1:18" ht="13.5" customHeight="1" x14ac:dyDescent="0.2">
      <c r="A543" s="449" t="s">
        <v>1449</v>
      </c>
      <c r="B543" s="458" t="s">
        <v>1636</v>
      </c>
      <c r="C543" s="451" t="s">
        <v>1637</v>
      </c>
      <c r="D543" s="452">
        <v>9.4</v>
      </c>
      <c r="E543" s="452">
        <v>8.9</v>
      </c>
      <c r="F543" s="452">
        <v>10.5</v>
      </c>
      <c r="G543" s="452">
        <v>11.2</v>
      </c>
      <c r="H543" s="452">
        <v>10.3</v>
      </c>
      <c r="I543" s="452">
        <v>9.6</v>
      </c>
      <c r="J543" s="452">
        <v>8.5</v>
      </c>
      <c r="K543" s="452">
        <v>8.5</v>
      </c>
      <c r="L543" s="452">
        <v>8.3000000000000007</v>
      </c>
      <c r="M543" s="452">
        <v>9.4</v>
      </c>
      <c r="N543" s="452">
        <v>9.4</v>
      </c>
      <c r="O543" s="452">
        <v>9.4</v>
      </c>
      <c r="P543" s="452">
        <v>9.4</v>
      </c>
      <c r="Q543" s="454">
        <v>3</v>
      </c>
      <c r="R543" s="455">
        <f t="shared" si="8"/>
        <v>9.4500000000000011</v>
      </c>
    </row>
    <row r="544" spans="1:18" ht="13.5" customHeight="1" x14ac:dyDescent="0.2">
      <c r="A544" s="449" t="s">
        <v>1450</v>
      </c>
      <c r="B544" s="458" t="s">
        <v>1636</v>
      </c>
      <c r="C544" s="451" t="s">
        <v>1637</v>
      </c>
      <c r="D544" s="452">
        <v>11</v>
      </c>
      <c r="E544" s="452">
        <v>10.7</v>
      </c>
      <c r="F544" s="452">
        <v>11</v>
      </c>
      <c r="G544" s="452">
        <v>11.2</v>
      </c>
      <c r="H544" s="452">
        <v>9.8000000000000007</v>
      </c>
      <c r="I544" s="452">
        <v>8.5</v>
      </c>
      <c r="J544" s="452">
        <v>8.3000000000000007</v>
      </c>
      <c r="K544" s="452">
        <v>7.8</v>
      </c>
      <c r="L544" s="452">
        <v>8.3000000000000007</v>
      </c>
      <c r="M544" s="452">
        <v>9.6</v>
      </c>
      <c r="N544" s="452">
        <v>10.5</v>
      </c>
      <c r="O544" s="452">
        <v>10.3</v>
      </c>
      <c r="P544" s="452">
        <v>9.8000000000000007</v>
      </c>
      <c r="Q544" s="454">
        <v>3</v>
      </c>
      <c r="R544" s="455">
        <f t="shared" si="8"/>
        <v>9.7499999999999982</v>
      </c>
    </row>
    <row r="545" spans="1:18" ht="13.5" customHeight="1" x14ac:dyDescent="0.2">
      <c r="A545" s="449" t="s">
        <v>1451</v>
      </c>
      <c r="B545" s="458" t="s">
        <v>1636</v>
      </c>
      <c r="C545" s="451" t="s">
        <v>1637</v>
      </c>
      <c r="D545" s="452">
        <v>9.1999999999999993</v>
      </c>
      <c r="E545" s="452">
        <v>8.9</v>
      </c>
      <c r="F545" s="452">
        <v>9.8000000000000007</v>
      </c>
      <c r="G545" s="452">
        <v>10.1</v>
      </c>
      <c r="H545" s="452">
        <v>8.5</v>
      </c>
      <c r="I545" s="452">
        <v>6.9</v>
      </c>
      <c r="J545" s="452">
        <v>6.3</v>
      </c>
      <c r="K545" s="452">
        <v>5.8</v>
      </c>
      <c r="L545" s="452">
        <v>6.5</v>
      </c>
      <c r="M545" s="452">
        <v>7.8</v>
      </c>
      <c r="N545" s="452">
        <v>8.6999999999999993</v>
      </c>
      <c r="O545" s="452">
        <v>8.5</v>
      </c>
      <c r="P545" s="452">
        <v>8.1</v>
      </c>
      <c r="Q545" s="454">
        <v>3</v>
      </c>
      <c r="R545" s="455">
        <f t="shared" si="8"/>
        <v>8.0833333333333339</v>
      </c>
    </row>
    <row r="546" spans="1:18" ht="13.5" customHeight="1" x14ac:dyDescent="0.2">
      <c r="A546" s="449" t="s">
        <v>1452</v>
      </c>
      <c r="B546" s="458" t="s">
        <v>1636</v>
      </c>
      <c r="C546" s="451" t="s">
        <v>1637</v>
      </c>
      <c r="D546" s="452">
        <v>9.1999999999999993</v>
      </c>
      <c r="E546" s="452">
        <v>9.1999999999999993</v>
      </c>
      <c r="F546" s="452">
        <v>9.8000000000000007</v>
      </c>
      <c r="G546" s="452">
        <v>10.1</v>
      </c>
      <c r="H546" s="456">
        <v>8.5</v>
      </c>
      <c r="I546" s="452">
        <v>7.2</v>
      </c>
      <c r="J546" s="452">
        <v>6.5</v>
      </c>
      <c r="K546" s="452">
        <v>6</v>
      </c>
      <c r="L546" s="452">
        <v>6.5</v>
      </c>
      <c r="M546" s="452">
        <v>7.8</v>
      </c>
      <c r="N546" s="452">
        <v>8.9</v>
      </c>
      <c r="O546" s="452">
        <v>8.6999999999999993</v>
      </c>
      <c r="P546" s="452">
        <v>8.3000000000000007</v>
      </c>
      <c r="Q546" s="454">
        <v>3</v>
      </c>
      <c r="R546" s="455">
        <f t="shared" si="8"/>
        <v>8.2000000000000011</v>
      </c>
    </row>
    <row r="547" spans="1:18" ht="13.5" customHeight="1" x14ac:dyDescent="0.2">
      <c r="A547" s="449" t="s">
        <v>1453</v>
      </c>
      <c r="B547" s="458" t="s">
        <v>1636</v>
      </c>
      <c r="C547" s="451" t="s">
        <v>1637</v>
      </c>
      <c r="D547" s="452">
        <v>9.8000000000000007</v>
      </c>
      <c r="E547" s="452">
        <v>9.8000000000000007</v>
      </c>
      <c r="F547" s="452">
        <v>10.5</v>
      </c>
      <c r="G547" s="452">
        <v>11.2</v>
      </c>
      <c r="H547" s="456">
        <v>9.6</v>
      </c>
      <c r="I547" s="452">
        <v>7.8</v>
      </c>
      <c r="J547" s="452">
        <v>7.2</v>
      </c>
      <c r="K547" s="452">
        <v>6.7</v>
      </c>
      <c r="L547" s="452">
        <v>7.4</v>
      </c>
      <c r="M547" s="452">
        <v>8.9</v>
      </c>
      <c r="N547" s="452">
        <v>9.8000000000000007</v>
      </c>
      <c r="O547" s="452">
        <v>9.4</v>
      </c>
      <c r="P547" s="452">
        <v>8.9</v>
      </c>
      <c r="Q547" s="454">
        <v>3</v>
      </c>
      <c r="R547" s="455">
        <f t="shared" si="8"/>
        <v>9.0083333333333346</v>
      </c>
    </row>
    <row r="548" spans="1:18" ht="13.5" customHeight="1" x14ac:dyDescent="0.2">
      <c r="A548" s="449" t="s">
        <v>1454</v>
      </c>
      <c r="B548" s="458" t="s">
        <v>1636</v>
      </c>
      <c r="C548" s="451" t="s">
        <v>1637</v>
      </c>
      <c r="D548" s="452">
        <v>10.7</v>
      </c>
      <c r="E548" s="452">
        <v>10.7</v>
      </c>
      <c r="F548" s="452">
        <v>11.2</v>
      </c>
      <c r="G548" s="452">
        <v>11.4</v>
      </c>
      <c r="H548" s="456">
        <v>9.4</v>
      </c>
      <c r="I548" s="452">
        <v>7.6</v>
      </c>
      <c r="J548" s="452">
        <v>6.5</v>
      </c>
      <c r="K548" s="452">
        <v>6.3</v>
      </c>
      <c r="L548" s="452">
        <v>6.7</v>
      </c>
      <c r="M548" s="452">
        <v>8.6999999999999993</v>
      </c>
      <c r="N548" s="452">
        <v>10.5</v>
      </c>
      <c r="O548" s="452">
        <v>10.3</v>
      </c>
      <c r="P548" s="452">
        <v>9.1999999999999993</v>
      </c>
      <c r="Q548" s="454">
        <v>3</v>
      </c>
      <c r="R548" s="455">
        <f t="shared" si="8"/>
        <v>9.1666666666666661</v>
      </c>
    </row>
    <row r="549" spans="1:18" ht="13.5" customHeight="1" x14ac:dyDescent="0.2">
      <c r="A549" s="449" t="s">
        <v>1455</v>
      </c>
      <c r="B549" s="458" t="s">
        <v>1636</v>
      </c>
      <c r="C549" s="451" t="s">
        <v>1637</v>
      </c>
      <c r="D549" s="452">
        <v>8.3000000000000007</v>
      </c>
      <c r="E549" s="452">
        <v>8.3000000000000007</v>
      </c>
      <c r="F549" s="452">
        <v>8.3000000000000007</v>
      </c>
      <c r="G549" s="452">
        <v>8.5</v>
      </c>
      <c r="H549" s="456">
        <v>6.9</v>
      </c>
      <c r="I549" s="452">
        <v>6</v>
      </c>
      <c r="J549" s="452">
        <v>5.6</v>
      </c>
      <c r="K549" s="452">
        <v>5.0999999999999996</v>
      </c>
      <c r="L549" s="452">
        <v>5.4</v>
      </c>
      <c r="M549" s="452">
        <v>6</v>
      </c>
      <c r="N549" s="452">
        <v>7.4</v>
      </c>
      <c r="O549" s="452">
        <v>7.6</v>
      </c>
      <c r="P549" s="452">
        <v>6.9</v>
      </c>
      <c r="Q549" s="454">
        <v>3</v>
      </c>
      <c r="R549" s="455">
        <f t="shared" si="8"/>
        <v>6.95</v>
      </c>
    </row>
    <row r="550" spans="1:18" ht="13.5" customHeight="1" x14ac:dyDescent="0.2">
      <c r="A550" s="449" t="s">
        <v>1456</v>
      </c>
      <c r="B550" s="458" t="s">
        <v>1636</v>
      </c>
      <c r="C550" s="451" t="s">
        <v>1637</v>
      </c>
      <c r="D550" s="452">
        <v>11</v>
      </c>
      <c r="E550" s="452">
        <v>10.5</v>
      </c>
      <c r="F550" s="452">
        <v>10.5</v>
      </c>
      <c r="G550" s="452">
        <v>10.7</v>
      </c>
      <c r="H550" s="456">
        <v>9.4</v>
      </c>
      <c r="I550" s="452">
        <v>7.6</v>
      </c>
      <c r="J550" s="452">
        <v>6.9</v>
      </c>
      <c r="K550" s="452">
        <v>6.3</v>
      </c>
      <c r="L550" s="452">
        <v>6.9</v>
      </c>
      <c r="M550" s="452">
        <v>8.5</v>
      </c>
      <c r="N550" s="452">
        <v>9.8000000000000007</v>
      </c>
      <c r="O550" s="452">
        <v>10.3</v>
      </c>
      <c r="P550" s="452">
        <v>9.1999999999999993</v>
      </c>
      <c r="Q550" s="454">
        <v>3</v>
      </c>
      <c r="R550" s="455">
        <f t="shared" si="8"/>
        <v>9.0333333333333332</v>
      </c>
    </row>
    <row r="551" spans="1:18" ht="13.5" customHeight="1" x14ac:dyDescent="0.2">
      <c r="A551" s="449" t="s">
        <v>1457</v>
      </c>
      <c r="B551" s="458" t="s">
        <v>1636</v>
      </c>
      <c r="C551" s="451" t="s">
        <v>1637</v>
      </c>
      <c r="D551" s="452">
        <v>11</v>
      </c>
      <c r="E551" s="452">
        <v>11</v>
      </c>
      <c r="F551" s="452">
        <v>11</v>
      </c>
      <c r="G551" s="452">
        <v>11.4</v>
      </c>
      <c r="H551" s="456">
        <v>9.6</v>
      </c>
      <c r="I551" s="452">
        <v>8.3000000000000007</v>
      </c>
      <c r="J551" s="452">
        <v>7.8</v>
      </c>
      <c r="K551" s="452">
        <v>7.4</v>
      </c>
      <c r="L551" s="452">
        <v>7.8</v>
      </c>
      <c r="M551" s="452">
        <v>8.9</v>
      </c>
      <c r="N551" s="452">
        <v>10.3</v>
      </c>
      <c r="O551" s="452">
        <v>10.5</v>
      </c>
      <c r="P551" s="452">
        <v>9.6</v>
      </c>
      <c r="Q551" s="454">
        <v>3</v>
      </c>
      <c r="R551" s="455">
        <f t="shared" si="8"/>
        <v>9.5833333333333339</v>
      </c>
    </row>
    <row r="552" spans="1:18" ht="13.5" customHeight="1" x14ac:dyDescent="0.2">
      <c r="A552" s="449" t="s">
        <v>1458</v>
      </c>
      <c r="B552" s="458" t="s">
        <v>1636</v>
      </c>
      <c r="C552" s="451" t="s">
        <v>1637</v>
      </c>
      <c r="D552" s="452">
        <v>10.7</v>
      </c>
      <c r="E552" s="452">
        <v>10.3</v>
      </c>
      <c r="F552" s="452">
        <v>10.3</v>
      </c>
      <c r="G552" s="452">
        <v>10.5</v>
      </c>
      <c r="H552" s="456">
        <v>9.1999999999999993</v>
      </c>
      <c r="I552" s="452">
        <v>7.6</v>
      </c>
      <c r="J552" s="452">
        <v>7.4</v>
      </c>
      <c r="K552" s="452">
        <v>6.7</v>
      </c>
      <c r="L552" s="452">
        <v>7.2</v>
      </c>
      <c r="M552" s="452">
        <v>8.5</v>
      </c>
      <c r="N552" s="452">
        <v>9.6</v>
      </c>
      <c r="O552" s="452">
        <v>10.1</v>
      </c>
      <c r="P552" s="452">
        <v>8.9</v>
      </c>
      <c r="Q552" s="454">
        <v>3</v>
      </c>
      <c r="R552" s="455">
        <f t="shared" si="8"/>
        <v>9.0083333333333329</v>
      </c>
    </row>
    <row r="553" spans="1:18" ht="13.5" customHeight="1" x14ac:dyDescent="0.2">
      <c r="A553" s="449" t="s">
        <v>1459</v>
      </c>
      <c r="B553" s="458" t="s">
        <v>1636</v>
      </c>
      <c r="C553" s="451" t="s">
        <v>1637</v>
      </c>
      <c r="D553" s="452">
        <v>10.3</v>
      </c>
      <c r="E553" s="452">
        <v>10.1</v>
      </c>
      <c r="F553" s="456">
        <v>11</v>
      </c>
      <c r="G553" s="456">
        <v>11.2</v>
      </c>
      <c r="H553" s="456">
        <v>10.1</v>
      </c>
      <c r="I553" s="452">
        <v>8.6999999999999993</v>
      </c>
      <c r="J553" s="452">
        <v>8.1</v>
      </c>
      <c r="K553" s="452">
        <v>7.6</v>
      </c>
      <c r="L553" s="452">
        <v>8.5</v>
      </c>
      <c r="M553" s="452">
        <v>9.6</v>
      </c>
      <c r="N553" s="452">
        <v>10.3</v>
      </c>
      <c r="O553" s="452">
        <v>9.8000000000000007</v>
      </c>
      <c r="P553" s="452">
        <v>9.6</v>
      </c>
      <c r="Q553" s="454">
        <v>3</v>
      </c>
      <c r="R553" s="455">
        <f t="shared" si="8"/>
        <v>9.6083333333333307</v>
      </c>
    </row>
    <row r="554" spans="1:18" ht="13.5" customHeight="1" x14ac:dyDescent="0.2">
      <c r="A554" s="449" t="s">
        <v>1460</v>
      </c>
      <c r="B554" s="458" t="s">
        <v>1636</v>
      </c>
      <c r="C554" s="451" t="s">
        <v>1637</v>
      </c>
      <c r="D554" s="452">
        <v>11</v>
      </c>
      <c r="E554" s="452">
        <v>11</v>
      </c>
      <c r="F554" s="456">
        <v>11.4</v>
      </c>
      <c r="G554" s="456">
        <v>11.9</v>
      </c>
      <c r="H554" s="456">
        <v>10.1</v>
      </c>
      <c r="I554" s="452">
        <v>8.5</v>
      </c>
      <c r="J554" s="452">
        <v>7.6</v>
      </c>
      <c r="K554" s="452">
        <v>7.2</v>
      </c>
      <c r="L554" s="452">
        <v>8.3000000000000007</v>
      </c>
      <c r="M554" s="452">
        <v>10.1</v>
      </c>
      <c r="N554" s="452">
        <v>11</v>
      </c>
      <c r="O554" s="452">
        <v>10.5</v>
      </c>
      <c r="P554" s="452">
        <v>9.8000000000000007</v>
      </c>
      <c r="Q554" s="454">
        <v>3</v>
      </c>
      <c r="R554" s="455">
        <f t="shared" si="8"/>
        <v>9.8833333333333329</v>
      </c>
    </row>
    <row r="555" spans="1:18" ht="13.5" customHeight="1" x14ac:dyDescent="0.2">
      <c r="A555" s="449" t="s">
        <v>1461</v>
      </c>
      <c r="B555" s="458" t="s">
        <v>1636</v>
      </c>
      <c r="C555" s="451" t="s">
        <v>1637</v>
      </c>
      <c r="D555" s="452">
        <v>12.3</v>
      </c>
      <c r="E555" s="452">
        <v>12.3</v>
      </c>
      <c r="F555" s="456">
        <v>12.5</v>
      </c>
      <c r="G555" s="456">
        <v>13.2</v>
      </c>
      <c r="H555" s="456">
        <v>12.3</v>
      </c>
      <c r="I555" s="452">
        <v>10.3</v>
      </c>
      <c r="J555" s="452">
        <v>8.6999999999999993</v>
      </c>
      <c r="K555" s="452">
        <v>7.8</v>
      </c>
      <c r="L555" s="452">
        <v>9.1999999999999993</v>
      </c>
      <c r="M555" s="452">
        <v>11</v>
      </c>
      <c r="N555" s="452">
        <v>11.9</v>
      </c>
      <c r="O555" s="452">
        <v>11.9</v>
      </c>
      <c r="P555" s="452">
        <v>11.2</v>
      </c>
      <c r="Q555" s="454">
        <v>3</v>
      </c>
      <c r="R555" s="455">
        <f t="shared" si="8"/>
        <v>11.116666666666667</v>
      </c>
    </row>
    <row r="556" spans="1:18" ht="13.5" customHeight="1" x14ac:dyDescent="0.2">
      <c r="A556" s="449" t="s">
        <v>1462</v>
      </c>
      <c r="B556" s="458" t="s">
        <v>1636</v>
      </c>
      <c r="C556" s="451" t="s">
        <v>1637</v>
      </c>
      <c r="D556" s="452">
        <v>11</v>
      </c>
      <c r="E556" s="452">
        <v>11</v>
      </c>
      <c r="F556" s="456">
        <v>11.4</v>
      </c>
      <c r="G556" s="456">
        <v>12.5</v>
      </c>
      <c r="H556" s="456">
        <v>11.6</v>
      </c>
      <c r="I556" s="452">
        <v>9.6</v>
      </c>
      <c r="J556" s="452">
        <v>8.3000000000000007</v>
      </c>
      <c r="K556" s="452">
        <v>7.8</v>
      </c>
      <c r="L556" s="452">
        <v>9.1999999999999993</v>
      </c>
      <c r="M556" s="452">
        <v>10.1</v>
      </c>
      <c r="N556" s="452">
        <v>10.7</v>
      </c>
      <c r="O556" s="452">
        <v>10.7</v>
      </c>
      <c r="P556" s="452">
        <v>10.3</v>
      </c>
      <c r="Q556" s="454">
        <v>3</v>
      </c>
      <c r="R556" s="455">
        <f t="shared" si="8"/>
        <v>10.324999999999999</v>
      </c>
    </row>
    <row r="557" spans="1:18" ht="13.5" customHeight="1" x14ac:dyDescent="0.2">
      <c r="A557" s="449" t="s">
        <v>1463</v>
      </c>
      <c r="B557" s="458" t="s">
        <v>1636</v>
      </c>
      <c r="C557" s="451" t="s">
        <v>1637</v>
      </c>
      <c r="D557" s="452">
        <v>10.5</v>
      </c>
      <c r="E557" s="452">
        <v>10.7</v>
      </c>
      <c r="F557" s="456">
        <v>11.2</v>
      </c>
      <c r="G557" s="456">
        <v>11.9</v>
      </c>
      <c r="H557" s="456">
        <v>10.5</v>
      </c>
      <c r="I557" s="452">
        <v>8.6999999999999993</v>
      </c>
      <c r="J557" s="452">
        <v>7.6</v>
      </c>
      <c r="K557" s="452">
        <v>7.2</v>
      </c>
      <c r="L557" s="452">
        <v>8.1</v>
      </c>
      <c r="M557" s="452">
        <v>9.6</v>
      </c>
      <c r="N557" s="452">
        <v>10.3</v>
      </c>
      <c r="O557" s="452">
        <v>10.1</v>
      </c>
      <c r="P557" s="452">
        <v>9.6</v>
      </c>
      <c r="Q557" s="454">
        <v>3</v>
      </c>
      <c r="R557" s="455">
        <f t="shared" si="8"/>
        <v>9.6999999999999975</v>
      </c>
    </row>
    <row r="558" spans="1:18" ht="13.5" customHeight="1" x14ac:dyDescent="0.2">
      <c r="A558" s="449" t="s">
        <v>1464</v>
      </c>
      <c r="B558" s="458" t="s">
        <v>1636</v>
      </c>
      <c r="C558" s="451" t="s">
        <v>1637</v>
      </c>
      <c r="D558" s="452">
        <v>10.3</v>
      </c>
      <c r="E558" s="452">
        <v>10.7</v>
      </c>
      <c r="F558" s="456">
        <v>12.1</v>
      </c>
      <c r="G558" s="456">
        <v>12.8</v>
      </c>
      <c r="H558" s="456">
        <v>11.2</v>
      </c>
      <c r="I558" s="452">
        <v>10.7</v>
      </c>
      <c r="J558" s="452">
        <v>10.1</v>
      </c>
      <c r="K558" s="452">
        <v>9.4</v>
      </c>
      <c r="L558" s="452">
        <v>10.5</v>
      </c>
      <c r="M558" s="452">
        <v>10.7</v>
      </c>
      <c r="N558" s="452">
        <v>11</v>
      </c>
      <c r="O558" s="452">
        <v>10.3</v>
      </c>
      <c r="P558" s="452">
        <v>10.7</v>
      </c>
      <c r="Q558" s="454">
        <v>3</v>
      </c>
      <c r="R558" s="455">
        <f t="shared" si="8"/>
        <v>10.816666666666668</v>
      </c>
    </row>
    <row r="559" spans="1:18" ht="13.5" customHeight="1" x14ac:dyDescent="0.2">
      <c r="A559" s="449" t="s">
        <v>1465</v>
      </c>
      <c r="B559" s="458" t="s">
        <v>1636</v>
      </c>
      <c r="C559" s="451" t="s">
        <v>1637</v>
      </c>
      <c r="D559" s="452">
        <v>12.1</v>
      </c>
      <c r="E559" s="452">
        <v>12.8</v>
      </c>
      <c r="F559" s="452">
        <v>14.1</v>
      </c>
      <c r="G559" s="452">
        <v>14.8</v>
      </c>
      <c r="H559" s="452">
        <v>13.6</v>
      </c>
      <c r="I559" s="452">
        <v>13.2</v>
      </c>
      <c r="J559" s="452">
        <v>12.1</v>
      </c>
      <c r="K559" s="452">
        <v>11.4</v>
      </c>
      <c r="L559" s="452">
        <v>12.8</v>
      </c>
      <c r="M559" s="452">
        <v>12.8</v>
      </c>
      <c r="N559" s="452">
        <v>12.5</v>
      </c>
      <c r="O559" s="452">
        <v>12.1</v>
      </c>
      <c r="P559" s="452">
        <v>13</v>
      </c>
      <c r="Q559" s="454">
        <v>3</v>
      </c>
      <c r="R559" s="455">
        <f t="shared" si="8"/>
        <v>12.858333333333333</v>
      </c>
    </row>
    <row r="560" spans="1:18" ht="13.5" customHeight="1" x14ac:dyDescent="0.2">
      <c r="A560" s="449" t="s">
        <v>1466</v>
      </c>
      <c r="B560" s="458" t="s">
        <v>1636</v>
      </c>
      <c r="C560" s="451" t="s">
        <v>1637</v>
      </c>
      <c r="D560" s="452">
        <v>11.6</v>
      </c>
      <c r="E560" s="452">
        <v>12.1</v>
      </c>
      <c r="F560" s="452">
        <v>13.2</v>
      </c>
      <c r="G560" s="452">
        <v>13.9</v>
      </c>
      <c r="H560" s="452">
        <v>13</v>
      </c>
      <c r="I560" s="452">
        <v>12.3</v>
      </c>
      <c r="J560" s="452">
        <v>11</v>
      </c>
      <c r="K560" s="452">
        <v>10.5</v>
      </c>
      <c r="L560" s="452">
        <v>11.4</v>
      </c>
      <c r="M560" s="452">
        <v>11.9</v>
      </c>
      <c r="N560" s="452">
        <v>11.6</v>
      </c>
      <c r="O560" s="452">
        <v>11.6</v>
      </c>
      <c r="P560" s="452">
        <v>12.1</v>
      </c>
      <c r="Q560" s="454">
        <v>3</v>
      </c>
      <c r="R560" s="455">
        <f t="shared" si="8"/>
        <v>12.008333333333333</v>
      </c>
    </row>
    <row r="561" spans="1:18" ht="13.5" customHeight="1" x14ac:dyDescent="0.2">
      <c r="A561" s="449" t="s">
        <v>1467</v>
      </c>
      <c r="B561" s="458" t="s">
        <v>1636</v>
      </c>
      <c r="C561" s="451" t="s">
        <v>1637</v>
      </c>
      <c r="D561" s="452">
        <v>11.4</v>
      </c>
      <c r="E561" s="452">
        <v>12.1</v>
      </c>
      <c r="F561" s="452">
        <v>13.4</v>
      </c>
      <c r="G561" s="452">
        <v>14.3</v>
      </c>
      <c r="H561" s="452">
        <v>12.8</v>
      </c>
      <c r="I561" s="452">
        <v>12.5</v>
      </c>
      <c r="J561" s="452">
        <v>11.9</v>
      </c>
      <c r="K561" s="452">
        <v>11.2</v>
      </c>
      <c r="L561" s="452">
        <v>12.3</v>
      </c>
      <c r="M561" s="452">
        <v>12.8</v>
      </c>
      <c r="N561" s="452">
        <v>12.3</v>
      </c>
      <c r="O561" s="452">
        <v>11.6</v>
      </c>
      <c r="P561" s="452">
        <v>12.3</v>
      </c>
      <c r="Q561" s="454">
        <v>3</v>
      </c>
      <c r="R561" s="455">
        <f t="shared" si="8"/>
        <v>12.383333333333333</v>
      </c>
    </row>
    <row r="562" spans="1:18" ht="13.5" customHeight="1" x14ac:dyDescent="0.2">
      <c r="A562" s="449" t="s">
        <v>1468</v>
      </c>
      <c r="B562" s="458" t="s">
        <v>1636</v>
      </c>
      <c r="C562" s="451" t="s">
        <v>1637</v>
      </c>
      <c r="D562" s="452">
        <v>8.1</v>
      </c>
      <c r="E562" s="452">
        <v>8.3000000000000007</v>
      </c>
      <c r="F562" s="452">
        <v>9.6</v>
      </c>
      <c r="G562" s="452">
        <v>9.8000000000000007</v>
      </c>
      <c r="H562" s="452">
        <v>8.3000000000000007</v>
      </c>
      <c r="I562" s="452">
        <v>7.6</v>
      </c>
      <c r="J562" s="452">
        <v>6.7</v>
      </c>
      <c r="K562" s="452">
        <v>6</v>
      </c>
      <c r="L562" s="452">
        <v>6.7</v>
      </c>
      <c r="M562" s="452">
        <v>7.4</v>
      </c>
      <c r="N562" s="452">
        <v>8.1</v>
      </c>
      <c r="O562" s="452">
        <v>7.6</v>
      </c>
      <c r="P562" s="452">
        <v>7.8</v>
      </c>
      <c r="Q562" s="454">
        <v>3</v>
      </c>
      <c r="R562" s="455">
        <f t="shared" si="8"/>
        <v>7.8500000000000005</v>
      </c>
    </row>
    <row r="563" spans="1:18" ht="13.5" customHeight="1" x14ac:dyDescent="0.2">
      <c r="A563" s="449" t="s">
        <v>1469</v>
      </c>
      <c r="B563" s="458" t="s">
        <v>1636</v>
      </c>
      <c r="C563" s="451" t="s">
        <v>1637</v>
      </c>
      <c r="D563" s="452">
        <v>11</v>
      </c>
      <c r="E563" s="452">
        <v>11.4</v>
      </c>
      <c r="F563" s="452">
        <v>12.8</v>
      </c>
      <c r="G563" s="452">
        <v>13.4</v>
      </c>
      <c r="H563" s="452">
        <v>11.6</v>
      </c>
      <c r="I563" s="452">
        <v>11.6</v>
      </c>
      <c r="J563" s="452">
        <v>10.7</v>
      </c>
      <c r="K563" s="452">
        <v>10.1</v>
      </c>
      <c r="L563" s="452">
        <v>10.7</v>
      </c>
      <c r="M563" s="452">
        <v>11.2</v>
      </c>
      <c r="N563" s="452">
        <v>11.4</v>
      </c>
      <c r="O563" s="452">
        <v>10.7</v>
      </c>
      <c r="P563" s="452">
        <v>11.4</v>
      </c>
      <c r="Q563" s="454">
        <v>3</v>
      </c>
      <c r="R563" s="455">
        <f t="shared" si="8"/>
        <v>11.383333333333333</v>
      </c>
    </row>
    <row r="564" spans="1:18" ht="13.5" customHeight="1" x14ac:dyDescent="0.2">
      <c r="A564" s="449" t="s">
        <v>1470</v>
      </c>
      <c r="B564" s="458" t="s">
        <v>1636</v>
      </c>
      <c r="C564" s="451" t="s">
        <v>1637</v>
      </c>
      <c r="D564" s="452">
        <v>9.4</v>
      </c>
      <c r="E564" s="452">
        <v>9.6</v>
      </c>
      <c r="F564" s="452">
        <v>9.8000000000000007</v>
      </c>
      <c r="G564" s="452">
        <v>9.6</v>
      </c>
      <c r="H564" s="452">
        <v>7.8</v>
      </c>
      <c r="I564" s="452">
        <v>6.9</v>
      </c>
      <c r="J564" s="452">
        <v>6.5</v>
      </c>
      <c r="K564" s="452">
        <v>6.3</v>
      </c>
      <c r="L564" s="452">
        <v>6.7</v>
      </c>
      <c r="M564" s="452">
        <v>7.4</v>
      </c>
      <c r="N564" s="452">
        <v>8.6999999999999993</v>
      </c>
      <c r="O564" s="452">
        <v>8.9</v>
      </c>
      <c r="P564" s="452">
        <v>8.1</v>
      </c>
      <c r="Q564" s="454">
        <v>3</v>
      </c>
      <c r="R564" s="455">
        <f t="shared" si="8"/>
        <v>8.1333333333333346</v>
      </c>
    </row>
    <row r="565" spans="1:18" ht="13.5" customHeight="1" x14ac:dyDescent="0.2">
      <c r="A565" s="449" t="s">
        <v>1471</v>
      </c>
      <c r="B565" s="458" t="s">
        <v>1636</v>
      </c>
      <c r="C565" s="451" t="s">
        <v>1637</v>
      </c>
      <c r="D565" s="452">
        <v>6</v>
      </c>
      <c r="E565" s="452">
        <v>6</v>
      </c>
      <c r="F565" s="452">
        <v>6.3</v>
      </c>
      <c r="G565" s="452">
        <v>6.3</v>
      </c>
      <c r="H565" s="452">
        <v>4.5</v>
      </c>
      <c r="I565" s="452">
        <v>3.6</v>
      </c>
      <c r="J565" s="452">
        <v>3.4</v>
      </c>
      <c r="K565" s="452">
        <v>3.1</v>
      </c>
      <c r="L565" s="452">
        <v>3.8</v>
      </c>
      <c r="M565" s="452">
        <v>4.3</v>
      </c>
      <c r="N565" s="452">
        <v>5.4</v>
      </c>
      <c r="O565" s="452">
        <v>5.6</v>
      </c>
      <c r="P565" s="452">
        <v>4.9000000000000004</v>
      </c>
      <c r="Q565" s="454">
        <v>3</v>
      </c>
      <c r="R565" s="455">
        <f t="shared" si="8"/>
        <v>4.8583333333333334</v>
      </c>
    </row>
    <row r="566" spans="1:18" ht="13.5" customHeight="1" x14ac:dyDescent="0.2">
      <c r="A566" s="449" t="s">
        <v>1472</v>
      </c>
      <c r="B566" s="458" t="s">
        <v>1636</v>
      </c>
      <c r="C566" s="451" t="s">
        <v>1637</v>
      </c>
      <c r="D566" s="452">
        <v>9.4</v>
      </c>
      <c r="E566" s="452">
        <v>9.1999999999999993</v>
      </c>
      <c r="F566" s="456">
        <v>9.1999999999999993</v>
      </c>
      <c r="G566" s="456">
        <v>9.1999999999999993</v>
      </c>
      <c r="H566" s="452">
        <v>7.6</v>
      </c>
      <c r="I566" s="456">
        <v>6.5</v>
      </c>
      <c r="J566" s="452">
        <v>6</v>
      </c>
      <c r="K566" s="452">
        <v>5.8</v>
      </c>
      <c r="L566" s="452">
        <v>6.3</v>
      </c>
      <c r="M566" s="452">
        <v>7.2</v>
      </c>
      <c r="N566" s="452">
        <v>8.3000000000000007</v>
      </c>
      <c r="O566" s="452">
        <v>8.6999999999999993</v>
      </c>
      <c r="P566" s="452">
        <v>7.8</v>
      </c>
      <c r="Q566" s="454">
        <v>3</v>
      </c>
      <c r="R566" s="455">
        <f t="shared" si="8"/>
        <v>7.7833333333333341</v>
      </c>
    </row>
    <row r="567" spans="1:18" ht="13.5" customHeight="1" x14ac:dyDescent="0.2">
      <c r="A567" s="449" t="s">
        <v>1473</v>
      </c>
      <c r="B567" s="458" t="s">
        <v>1636</v>
      </c>
      <c r="C567" s="451" t="s">
        <v>1637</v>
      </c>
      <c r="D567" s="452">
        <v>8.9</v>
      </c>
      <c r="E567" s="452">
        <v>8.9</v>
      </c>
      <c r="F567" s="456">
        <v>8.9</v>
      </c>
      <c r="G567" s="456">
        <v>8.9</v>
      </c>
      <c r="H567" s="452">
        <v>7.6</v>
      </c>
      <c r="I567" s="456">
        <v>6.9</v>
      </c>
      <c r="J567" s="452">
        <v>6.7</v>
      </c>
      <c r="K567" s="452">
        <v>6.3</v>
      </c>
      <c r="L567" s="452">
        <v>6.3</v>
      </c>
      <c r="M567" s="452">
        <v>6.7</v>
      </c>
      <c r="N567" s="452">
        <v>7.8</v>
      </c>
      <c r="O567" s="452">
        <v>8.1</v>
      </c>
      <c r="P567" s="452">
        <v>7.6</v>
      </c>
      <c r="Q567" s="454">
        <v>3</v>
      </c>
      <c r="R567" s="455">
        <f t="shared" si="8"/>
        <v>7.666666666666667</v>
      </c>
    </row>
    <row r="568" spans="1:18" ht="13.5" customHeight="1" x14ac:dyDescent="0.2">
      <c r="A568" s="449" t="s">
        <v>1474</v>
      </c>
      <c r="B568" s="458" t="s">
        <v>1636</v>
      </c>
      <c r="C568" s="451" t="s">
        <v>1637</v>
      </c>
      <c r="D568" s="452">
        <v>8.3000000000000007</v>
      </c>
      <c r="E568" s="452">
        <v>8.3000000000000007</v>
      </c>
      <c r="F568" s="456">
        <v>8.9</v>
      </c>
      <c r="G568" s="456">
        <v>8.5</v>
      </c>
      <c r="H568" s="452">
        <v>6.9</v>
      </c>
      <c r="I568" s="456">
        <v>5.8</v>
      </c>
      <c r="J568" s="452">
        <v>5.4</v>
      </c>
      <c r="K568" s="452">
        <v>4.7</v>
      </c>
      <c r="L568" s="452">
        <v>5.0999999999999996</v>
      </c>
      <c r="M568" s="452">
        <v>6</v>
      </c>
      <c r="N568" s="452">
        <v>7.4</v>
      </c>
      <c r="O568" s="452">
        <v>7.8</v>
      </c>
      <c r="P568" s="452">
        <v>6.9</v>
      </c>
      <c r="Q568" s="454">
        <v>3</v>
      </c>
      <c r="R568" s="455">
        <f t="shared" si="8"/>
        <v>6.9250000000000007</v>
      </c>
    </row>
    <row r="569" spans="1:18" ht="13.5" customHeight="1" x14ac:dyDescent="0.2">
      <c r="A569" s="449" t="s">
        <v>1475</v>
      </c>
      <c r="B569" s="458" t="s">
        <v>1636</v>
      </c>
      <c r="C569" s="451" t="s">
        <v>1637</v>
      </c>
      <c r="D569" s="452">
        <v>7.2</v>
      </c>
      <c r="E569" s="452">
        <v>7.4</v>
      </c>
      <c r="F569" s="456">
        <v>7.4</v>
      </c>
      <c r="G569" s="456">
        <v>7.4</v>
      </c>
      <c r="H569" s="452">
        <v>6.5</v>
      </c>
      <c r="I569" s="456">
        <v>5.4</v>
      </c>
      <c r="J569" s="452">
        <v>4.9000000000000004</v>
      </c>
      <c r="K569" s="452">
        <v>4.5</v>
      </c>
      <c r="L569" s="452">
        <v>5.0999999999999996</v>
      </c>
      <c r="M569" s="452">
        <v>5.4</v>
      </c>
      <c r="N569" s="452">
        <v>5.8</v>
      </c>
      <c r="O569" s="452">
        <v>6.5</v>
      </c>
      <c r="P569" s="452">
        <v>6</v>
      </c>
      <c r="Q569" s="454">
        <v>3</v>
      </c>
      <c r="R569" s="455">
        <f t="shared" si="8"/>
        <v>6.125</v>
      </c>
    </row>
    <row r="570" spans="1:18" ht="13.5" customHeight="1" x14ac:dyDescent="0.2">
      <c r="A570" s="449" t="s">
        <v>1476</v>
      </c>
      <c r="B570" s="458" t="s">
        <v>1636</v>
      </c>
      <c r="C570" s="451" t="s">
        <v>1637</v>
      </c>
      <c r="D570" s="452">
        <v>8.6999999999999993</v>
      </c>
      <c r="E570" s="452">
        <v>8.9</v>
      </c>
      <c r="F570" s="456">
        <v>8.9</v>
      </c>
      <c r="G570" s="456">
        <v>8.6999999999999993</v>
      </c>
      <c r="H570" s="452">
        <v>7.4</v>
      </c>
      <c r="I570" s="456">
        <v>6.3</v>
      </c>
      <c r="J570" s="452">
        <v>5.4</v>
      </c>
      <c r="K570" s="452">
        <v>5.0999999999999996</v>
      </c>
      <c r="L570" s="452">
        <v>6.5</v>
      </c>
      <c r="M570" s="452">
        <v>7.2</v>
      </c>
      <c r="N570" s="452">
        <v>7.6</v>
      </c>
      <c r="O570" s="452">
        <v>8.5</v>
      </c>
      <c r="P570" s="452">
        <v>7.4</v>
      </c>
      <c r="Q570" s="454">
        <v>3</v>
      </c>
      <c r="R570" s="455">
        <f t="shared" si="8"/>
        <v>7.4333333333333336</v>
      </c>
    </row>
    <row r="571" spans="1:18" ht="13.5" customHeight="1" x14ac:dyDescent="0.2">
      <c r="A571" s="449" t="s">
        <v>1477</v>
      </c>
      <c r="B571" s="458" t="s">
        <v>1636</v>
      </c>
      <c r="C571" s="451" t="s">
        <v>1637</v>
      </c>
      <c r="D571" s="452">
        <v>9.1999999999999993</v>
      </c>
      <c r="E571" s="452">
        <v>9.1999999999999993</v>
      </c>
      <c r="F571" s="456">
        <v>9.4</v>
      </c>
      <c r="G571" s="456">
        <v>9.4</v>
      </c>
      <c r="H571" s="452">
        <v>8.1</v>
      </c>
      <c r="I571" s="456">
        <v>6.5</v>
      </c>
      <c r="J571" s="452">
        <v>5.8</v>
      </c>
      <c r="K571" s="452">
        <v>5.8</v>
      </c>
      <c r="L571" s="452">
        <v>7.4</v>
      </c>
      <c r="M571" s="452">
        <v>8.1</v>
      </c>
      <c r="N571" s="452">
        <v>8.1</v>
      </c>
      <c r="O571" s="452">
        <v>8.6999999999999993</v>
      </c>
      <c r="P571" s="452">
        <v>8.1</v>
      </c>
      <c r="Q571" s="454">
        <v>3</v>
      </c>
      <c r="R571" s="455">
        <f t="shared" si="8"/>
        <v>7.9749999999999988</v>
      </c>
    </row>
    <row r="572" spans="1:18" ht="13.5" customHeight="1" x14ac:dyDescent="0.2">
      <c r="A572" s="449" t="s">
        <v>1478</v>
      </c>
      <c r="B572" s="458" t="s">
        <v>1636</v>
      </c>
      <c r="C572" s="451" t="s">
        <v>1637</v>
      </c>
      <c r="D572" s="452">
        <v>8.3000000000000007</v>
      </c>
      <c r="E572" s="452">
        <v>8.3000000000000007</v>
      </c>
      <c r="F572" s="452">
        <v>8.9</v>
      </c>
      <c r="G572" s="452">
        <v>8.6999999999999993</v>
      </c>
      <c r="H572" s="452">
        <v>7.6</v>
      </c>
      <c r="I572" s="452">
        <v>6.5</v>
      </c>
      <c r="J572" s="452">
        <v>6</v>
      </c>
      <c r="K572" s="452">
        <v>5.4</v>
      </c>
      <c r="L572" s="452">
        <v>6.3</v>
      </c>
      <c r="M572" s="452">
        <v>6.3</v>
      </c>
      <c r="N572" s="452">
        <v>7.2</v>
      </c>
      <c r="O572" s="452">
        <v>7.8</v>
      </c>
      <c r="P572" s="452">
        <v>7.2</v>
      </c>
      <c r="Q572" s="454">
        <v>3</v>
      </c>
      <c r="R572" s="455">
        <f t="shared" si="8"/>
        <v>7.2749999999999995</v>
      </c>
    </row>
    <row r="573" spans="1:18" ht="13.5" customHeight="1" x14ac:dyDescent="0.2">
      <c r="A573" s="449" t="s">
        <v>1479</v>
      </c>
      <c r="B573" s="458" t="s">
        <v>1636</v>
      </c>
      <c r="C573" s="451" t="s">
        <v>1637</v>
      </c>
      <c r="D573" s="452">
        <v>7.8</v>
      </c>
      <c r="E573" s="452">
        <v>8.1</v>
      </c>
      <c r="F573" s="452">
        <v>8.9</v>
      </c>
      <c r="G573" s="452">
        <v>8.9</v>
      </c>
      <c r="H573" s="452">
        <v>8.1</v>
      </c>
      <c r="I573" s="452">
        <v>7.2</v>
      </c>
      <c r="J573" s="452">
        <v>6.7</v>
      </c>
      <c r="K573" s="452">
        <v>6.3</v>
      </c>
      <c r="L573" s="452">
        <v>6.9</v>
      </c>
      <c r="M573" s="452">
        <v>7.8</v>
      </c>
      <c r="N573" s="452">
        <v>7.6</v>
      </c>
      <c r="O573" s="452">
        <v>7.6</v>
      </c>
      <c r="P573" s="452">
        <v>7.6</v>
      </c>
      <c r="Q573" s="454">
        <v>3</v>
      </c>
      <c r="R573" s="455">
        <f t="shared" si="8"/>
        <v>7.6583333333333323</v>
      </c>
    </row>
    <row r="574" spans="1:18" ht="13.5" customHeight="1" x14ac:dyDescent="0.2">
      <c r="A574" s="449" t="s">
        <v>1480</v>
      </c>
      <c r="B574" s="458" t="s">
        <v>1636</v>
      </c>
      <c r="C574" s="451" t="s">
        <v>1637</v>
      </c>
      <c r="D574" s="452">
        <v>7.8</v>
      </c>
      <c r="E574" s="452">
        <v>8.3000000000000007</v>
      </c>
      <c r="F574" s="452">
        <v>8.6999999999999993</v>
      </c>
      <c r="G574" s="452">
        <v>8.5</v>
      </c>
      <c r="H574" s="452">
        <v>7.6</v>
      </c>
      <c r="I574" s="452">
        <v>6.7</v>
      </c>
      <c r="J574" s="452">
        <v>6</v>
      </c>
      <c r="K574" s="452">
        <v>5.8</v>
      </c>
      <c r="L574" s="452">
        <v>6.5</v>
      </c>
      <c r="M574" s="452">
        <v>7.6</v>
      </c>
      <c r="N574" s="452">
        <v>7.6</v>
      </c>
      <c r="O574" s="452">
        <v>8.1</v>
      </c>
      <c r="P574" s="452">
        <v>7.4</v>
      </c>
      <c r="Q574" s="454">
        <v>3</v>
      </c>
      <c r="R574" s="455">
        <f t="shared" si="8"/>
        <v>7.4333333333333327</v>
      </c>
    </row>
    <row r="575" spans="1:18" ht="13.5" customHeight="1" x14ac:dyDescent="0.2">
      <c r="A575" s="449" t="s">
        <v>1481</v>
      </c>
      <c r="B575" s="458" t="s">
        <v>1636</v>
      </c>
      <c r="C575" s="451" t="s">
        <v>1637</v>
      </c>
      <c r="D575" s="452">
        <v>8.1</v>
      </c>
      <c r="E575" s="452">
        <v>8.5</v>
      </c>
      <c r="F575" s="452">
        <v>9.1999999999999993</v>
      </c>
      <c r="G575" s="452">
        <v>9.1999999999999993</v>
      </c>
      <c r="H575" s="452">
        <v>8.1</v>
      </c>
      <c r="I575" s="452">
        <v>7.2</v>
      </c>
      <c r="J575" s="452">
        <v>6.7</v>
      </c>
      <c r="K575" s="452">
        <v>6.5</v>
      </c>
      <c r="L575" s="452">
        <v>6.9</v>
      </c>
      <c r="M575" s="452">
        <v>7.6</v>
      </c>
      <c r="N575" s="452">
        <v>7.6</v>
      </c>
      <c r="O575" s="452">
        <v>8.1</v>
      </c>
      <c r="P575" s="452">
        <v>7.8</v>
      </c>
      <c r="Q575" s="454">
        <v>3</v>
      </c>
      <c r="R575" s="455">
        <f t="shared" si="8"/>
        <v>7.8083333333333327</v>
      </c>
    </row>
    <row r="576" spans="1:18" ht="13.5" customHeight="1" x14ac:dyDescent="0.2">
      <c r="A576" s="449" t="s">
        <v>1482</v>
      </c>
      <c r="B576" s="458" t="s">
        <v>1636</v>
      </c>
      <c r="C576" s="451" t="s">
        <v>1637</v>
      </c>
      <c r="D576" s="452">
        <v>7.8</v>
      </c>
      <c r="E576" s="452">
        <v>8.3000000000000007</v>
      </c>
      <c r="F576" s="452">
        <v>8.6999999999999993</v>
      </c>
      <c r="G576" s="452">
        <v>8.3000000000000007</v>
      </c>
      <c r="H576" s="452">
        <v>7.2</v>
      </c>
      <c r="I576" s="452">
        <v>6.5</v>
      </c>
      <c r="J576" s="452">
        <v>6</v>
      </c>
      <c r="K576" s="452">
        <v>5.6</v>
      </c>
      <c r="L576" s="452">
        <v>6.3</v>
      </c>
      <c r="M576" s="452">
        <v>6.3</v>
      </c>
      <c r="N576" s="452">
        <v>6.9</v>
      </c>
      <c r="O576" s="452">
        <v>7.4</v>
      </c>
      <c r="P576" s="452">
        <v>7.2</v>
      </c>
      <c r="Q576" s="454">
        <v>3</v>
      </c>
      <c r="R576" s="455">
        <f t="shared" si="8"/>
        <v>7.1083333333333343</v>
      </c>
    </row>
    <row r="577" spans="1:18" ht="13.5" customHeight="1" x14ac:dyDescent="0.2">
      <c r="A577" s="449" t="s">
        <v>1483</v>
      </c>
      <c r="B577" s="458" t="s">
        <v>1636</v>
      </c>
      <c r="C577" s="451" t="s">
        <v>1637</v>
      </c>
      <c r="D577" s="452">
        <v>12.5</v>
      </c>
      <c r="E577" s="452">
        <v>12.8</v>
      </c>
      <c r="F577" s="452">
        <v>13</v>
      </c>
      <c r="G577" s="452">
        <v>12.1</v>
      </c>
      <c r="H577" s="452">
        <v>11.2</v>
      </c>
      <c r="I577" s="452">
        <v>10.3</v>
      </c>
      <c r="J577" s="452">
        <v>10.1</v>
      </c>
      <c r="K577" s="452">
        <v>9.8000000000000007</v>
      </c>
      <c r="L577" s="452">
        <v>10.5</v>
      </c>
      <c r="M577" s="452">
        <v>11.2</v>
      </c>
      <c r="N577" s="452">
        <v>11.4</v>
      </c>
      <c r="O577" s="452">
        <v>12.5</v>
      </c>
      <c r="P577" s="452">
        <v>11.4</v>
      </c>
      <c r="Q577" s="454">
        <v>3</v>
      </c>
      <c r="R577" s="455">
        <f t="shared" si="8"/>
        <v>11.449999999999998</v>
      </c>
    </row>
    <row r="578" spans="1:18" ht="13.5" customHeight="1" x14ac:dyDescent="0.2">
      <c r="A578" s="449" t="s">
        <v>1484</v>
      </c>
      <c r="B578" s="458" t="s">
        <v>1636</v>
      </c>
      <c r="C578" s="451" t="s">
        <v>1637</v>
      </c>
      <c r="D578" s="452">
        <v>11.4</v>
      </c>
      <c r="E578" s="452">
        <v>11.9</v>
      </c>
      <c r="F578" s="452">
        <v>11.4</v>
      </c>
      <c r="G578" s="452">
        <v>10.7</v>
      </c>
      <c r="H578" s="452">
        <v>10.1</v>
      </c>
      <c r="I578" s="452">
        <v>9.1999999999999993</v>
      </c>
      <c r="J578" s="452">
        <v>8.9</v>
      </c>
      <c r="K578" s="452">
        <v>8.5</v>
      </c>
      <c r="L578" s="452">
        <v>8.9</v>
      </c>
      <c r="M578" s="452">
        <v>10.1</v>
      </c>
      <c r="N578" s="452">
        <v>10.5</v>
      </c>
      <c r="O578" s="452">
        <v>11.6</v>
      </c>
      <c r="P578" s="452">
        <v>10.3</v>
      </c>
      <c r="Q578" s="454">
        <v>3</v>
      </c>
      <c r="R578" s="455">
        <f t="shared" si="8"/>
        <v>10.266666666666667</v>
      </c>
    </row>
    <row r="579" spans="1:18" ht="13.5" customHeight="1" x14ac:dyDescent="0.2">
      <c r="A579" s="449" t="s">
        <v>1485</v>
      </c>
      <c r="B579" s="458" t="s">
        <v>1636</v>
      </c>
      <c r="C579" s="451" t="s">
        <v>1637</v>
      </c>
      <c r="D579" s="452">
        <v>8.3000000000000007</v>
      </c>
      <c r="E579" s="452">
        <v>8.3000000000000007</v>
      </c>
      <c r="F579" s="452">
        <v>8.3000000000000007</v>
      </c>
      <c r="G579" s="452">
        <v>8.6999999999999993</v>
      </c>
      <c r="H579" s="456">
        <v>7.8</v>
      </c>
      <c r="I579" s="452">
        <v>6.5</v>
      </c>
      <c r="J579" s="452">
        <v>6.3</v>
      </c>
      <c r="K579" s="452">
        <v>6</v>
      </c>
      <c r="L579" s="452">
        <v>6.7</v>
      </c>
      <c r="M579" s="452">
        <v>7.4</v>
      </c>
      <c r="N579" s="452">
        <v>7.8</v>
      </c>
      <c r="O579" s="452">
        <v>7.8</v>
      </c>
      <c r="P579" s="452">
        <v>7.4</v>
      </c>
      <c r="Q579" s="454">
        <v>3</v>
      </c>
      <c r="R579" s="455">
        <f t="shared" si="8"/>
        <v>7.4916666666666663</v>
      </c>
    </row>
    <row r="580" spans="1:18" ht="13.5" customHeight="1" x14ac:dyDescent="0.2">
      <c r="A580" s="449" t="s">
        <v>1486</v>
      </c>
      <c r="B580" s="458" t="s">
        <v>1636</v>
      </c>
      <c r="C580" s="451" t="s">
        <v>1637</v>
      </c>
      <c r="D580" s="452">
        <v>11</v>
      </c>
      <c r="E580" s="452">
        <v>10.3</v>
      </c>
      <c r="F580" s="452">
        <v>10.1</v>
      </c>
      <c r="G580" s="452">
        <v>10.3</v>
      </c>
      <c r="H580" s="456">
        <v>8.9</v>
      </c>
      <c r="I580" s="452">
        <v>8.1</v>
      </c>
      <c r="J580" s="452">
        <v>8.1</v>
      </c>
      <c r="K580" s="452">
        <v>7.2</v>
      </c>
      <c r="L580" s="452">
        <v>7.6</v>
      </c>
      <c r="M580" s="452">
        <v>9.1999999999999993</v>
      </c>
      <c r="N580" s="452">
        <v>10.1</v>
      </c>
      <c r="O580" s="452">
        <v>10.3</v>
      </c>
      <c r="P580" s="452">
        <v>9.1999999999999993</v>
      </c>
      <c r="Q580" s="454">
        <v>3</v>
      </c>
      <c r="R580" s="455">
        <f t="shared" ref="R580:R643" si="9">AVERAGE(D580:O580)</f>
        <v>9.2666666666666657</v>
      </c>
    </row>
    <row r="581" spans="1:18" ht="13.5" customHeight="1" x14ac:dyDescent="0.2">
      <c r="A581" s="449" t="s">
        <v>1487</v>
      </c>
      <c r="B581" s="458" t="s">
        <v>1636</v>
      </c>
      <c r="C581" s="451" t="s">
        <v>1637</v>
      </c>
      <c r="D581" s="452">
        <v>10.1</v>
      </c>
      <c r="E581" s="452">
        <v>9.8000000000000007</v>
      </c>
      <c r="F581" s="452">
        <v>9.6</v>
      </c>
      <c r="G581" s="452">
        <v>9.8000000000000007</v>
      </c>
      <c r="H581" s="456">
        <v>8.6999999999999993</v>
      </c>
      <c r="I581" s="452">
        <v>7.6</v>
      </c>
      <c r="J581" s="452">
        <v>7.6</v>
      </c>
      <c r="K581" s="452">
        <v>6.9</v>
      </c>
      <c r="L581" s="452">
        <v>7.4</v>
      </c>
      <c r="M581" s="452">
        <v>8.5</v>
      </c>
      <c r="N581" s="452">
        <v>9.1999999999999993</v>
      </c>
      <c r="O581" s="452">
        <v>9.6</v>
      </c>
      <c r="P581" s="452">
        <v>8.6999999999999993</v>
      </c>
      <c r="Q581" s="454">
        <v>3</v>
      </c>
      <c r="R581" s="455">
        <f t="shared" si="9"/>
        <v>8.7333333333333343</v>
      </c>
    </row>
    <row r="582" spans="1:18" ht="13.5" customHeight="1" x14ac:dyDescent="0.2">
      <c r="A582" s="449" t="s">
        <v>1488</v>
      </c>
      <c r="B582" s="458" t="s">
        <v>1636</v>
      </c>
      <c r="C582" s="451" t="s">
        <v>1637</v>
      </c>
      <c r="D582" s="452">
        <v>10.3</v>
      </c>
      <c r="E582" s="452">
        <v>10.3</v>
      </c>
      <c r="F582" s="452">
        <v>10.3</v>
      </c>
      <c r="G582" s="452">
        <v>10.5</v>
      </c>
      <c r="H582" s="456">
        <v>9.1999999999999993</v>
      </c>
      <c r="I582" s="452">
        <v>7.6</v>
      </c>
      <c r="J582" s="452">
        <v>7.4</v>
      </c>
      <c r="K582" s="452">
        <v>6.9</v>
      </c>
      <c r="L582" s="452">
        <v>7.6</v>
      </c>
      <c r="M582" s="452">
        <v>8.9</v>
      </c>
      <c r="N582" s="452">
        <v>9.6</v>
      </c>
      <c r="O582" s="452">
        <v>9.6</v>
      </c>
      <c r="P582" s="452">
        <v>8.9</v>
      </c>
      <c r="Q582" s="454">
        <v>3</v>
      </c>
      <c r="R582" s="455">
        <f t="shared" si="9"/>
        <v>9.0166666666666675</v>
      </c>
    </row>
    <row r="583" spans="1:18" ht="13.5" customHeight="1" x14ac:dyDescent="0.2">
      <c r="A583" s="449" t="s">
        <v>1489</v>
      </c>
      <c r="B583" s="458" t="s">
        <v>1636</v>
      </c>
      <c r="C583" s="451" t="s">
        <v>1637</v>
      </c>
      <c r="D583" s="452">
        <v>11</v>
      </c>
      <c r="E583" s="452">
        <v>10.5</v>
      </c>
      <c r="F583" s="452">
        <v>10.5</v>
      </c>
      <c r="G583" s="452">
        <v>11</v>
      </c>
      <c r="H583" s="456">
        <v>9.8000000000000007</v>
      </c>
      <c r="I583" s="452">
        <v>8.3000000000000007</v>
      </c>
      <c r="J583" s="452">
        <v>8.1</v>
      </c>
      <c r="K583" s="452">
        <v>7.4</v>
      </c>
      <c r="L583" s="452">
        <v>7.8</v>
      </c>
      <c r="M583" s="452">
        <v>9.4</v>
      </c>
      <c r="N583" s="452">
        <v>10.1</v>
      </c>
      <c r="O583" s="452">
        <v>10.3</v>
      </c>
      <c r="P583" s="452">
        <v>9.6</v>
      </c>
      <c r="Q583" s="454">
        <v>3</v>
      </c>
      <c r="R583" s="455">
        <f t="shared" si="9"/>
        <v>9.5166666666666657</v>
      </c>
    </row>
    <row r="584" spans="1:18" ht="13.5" customHeight="1" x14ac:dyDescent="0.2">
      <c r="A584" s="449" t="s">
        <v>1490</v>
      </c>
      <c r="B584" s="458" t="s">
        <v>1636</v>
      </c>
      <c r="C584" s="451" t="s">
        <v>1637</v>
      </c>
      <c r="D584" s="452">
        <v>8.6999999999999993</v>
      </c>
      <c r="E584" s="452">
        <v>8.3000000000000007</v>
      </c>
      <c r="F584" s="452">
        <v>8.3000000000000007</v>
      </c>
      <c r="G584" s="452">
        <v>9.1999999999999993</v>
      </c>
      <c r="H584" s="456">
        <v>8.3000000000000007</v>
      </c>
      <c r="I584" s="452">
        <v>6.9</v>
      </c>
      <c r="J584" s="452">
        <v>6.7</v>
      </c>
      <c r="K584" s="452">
        <v>6.5</v>
      </c>
      <c r="L584" s="452">
        <v>6.9</v>
      </c>
      <c r="M584" s="452">
        <v>8.1</v>
      </c>
      <c r="N584" s="452">
        <v>8.6999999999999993</v>
      </c>
      <c r="O584" s="452">
        <v>8.6999999999999993</v>
      </c>
      <c r="P584" s="452">
        <v>7.8</v>
      </c>
      <c r="Q584" s="454">
        <v>3</v>
      </c>
      <c r="R584" s="455">
        <f t="shared" si="9"/>
        <v>7.9416666666666664</v>
      </c>
    </row>
    <row r="585" spans="1:18" ht="13.5" customHeight="1" x14ac:dyDescent="0.2">
      <c r="A585" s="449" t="s">
        <v>1491</v>
      </c>
      <c r="B585" s="458" t="s">
        <v>1636</v>
      </c>
      <c r="C585" s="451" t="s">
        <v>1637</v>
      </c>
      <c r="D585" s="452">
        <v>10.3</v>
      </c>
      <c r="E585" s="452">
        <v>10.1</v>
      </c>
      <c r="F585" s="452">
        <v>9.8000000000000007</v>
      </c>
      <c r="G585" s="452">
        <v>10.1</v>
      </c>
      <c r="H585" s="456">
        <v>8.9</v>
      </c>
      <c r="I585" s="452">
        <v>7.6</v>
      </c>
      <c r="J585" s="452">
        <v>7.4</v>
      </c>
      <c r="K585" s="452">
        <v>6.7</v>
      </c>
      <c r="L585" s="452">
        <v>7.2</v>
      </c>
      <c r="M585" s="452">
        <v>8.6999999999999993</v>
      </c>
      <c r="N585" s="452">
        <v>9.6</v>
      </c>
      <c r="O585" s="452">
        <v>10.1</v>
      </c>
      <c r="P585" s="452">
        <v>8.9</v>
      </c>
      <c r="Q585" s="454">
        <v>3</v>
      </c>
      <c r="R585" s="455">
        <f t="shared" si="9"/>
        <v>8.875</v>
      </c>
    </row>
    <row r="586" spans="1:18" ht="13.5" customHeight="1" x14ac:dyDescent="0.2">
      <c r="A586" s="449" t="s">
        <v>1492</v>
      </c>
      <c r="B586" s="458" t="s">
        <v>1636</v>
      </c>
      <c r="C586" s="451" t="s">
        <v>1637</v>
      </c>
      <c r="D586" s="452">
        <v>11.2</v>
      </c>
      <c r="E586" s="452">
        <v>10.7</v>
      </c>
      <c r="F586" s="452">
        <v>10.3</v>
      </c>
      <c r="G586" s="452">
        <v>10.7</v>
      </c>
      <c r="H586" s="452">
        <v>9.4</v>
      </c>
      <c r="I586" s="452">
        <v>8.3000000000000007</v>
      </c>
      <c r="J586" s="452">
        <v>8.1</v>
      </c>
      <c r="K586" s="452">
        <v>7.8</v>
      </c>
      <c r="L586" s="452">
        <v>8.3000000000000007</v>
      </c>
      <c r="M586" s="452">
        <v>9.8000000000000007</v>
      </c>
      <c r="N586" s="452">
        <v>11</v>
      </c>
      <c r="O586" s="452">
        <v>11</v>
      </c>
      <c r="P586" s="452">
        <v>9.6</v>
      </c>
      <c r="Q586" s="454">
        <v>3</v>
      </c>
      <c r="R586" s="455">
        <f t="shared" si="9"/>
        <v>9.7166666666666668</v>
      </c>
    </row>
    <row r="587" spans="1:18" ht="13.5" customHeight="1" x14ac:dyDescent="0.2">
      <c r="A587" s="449" t="s">
        <v>1493</v>
      </c>
      <c r="B587" s="458" t="s">
        <v>1636</v>
      </c>
      <c r="C587" s="451" t="s">
        <v>1637</v>
      </c>
      <c r="D587" s="452">
        <v>7.8</v>
      </c>
      <c r="E587" s="452">
        <v>7.8</v>
      </c>
      <c r="F587" s="452">
        <v>8.1</v>
      </c>
      <c r="G587" s="452">
        <v>8.6999999999999993</v>
      </c>
      <c r="H587" s="452">
        <v>8.5</v>
      </c>
      <c r="I587" s="452">
        <v>7.2</v>
      </c>
      <c r="J587" s="452">
        <v>6.9</v>
      </c>
      <c r="K587" s="452">
        <v>6.7</v>
      </c>
      <c r="L587" s="452">
        <v>7.2</v>
      </c>
      <c r="M587" s="452">
        <v>7.8</v>
      </c>
      <c r="N587" s="452">
        <v>8.5</v>
      </c>
      <c r="O587" s="452">
        <v>8.1</v>
      </c>
      <c r="P587" s="452">
        <v>7.8</v>
      </c>
      <c r="Q587" s="454">
        <v>3</v>
      </c>
      <c r="R587" s="455">
        <f t="shared" si="9"/>
        <v>7.7749999999999995</v>
      </c>
    </row>
    <row r="588" spans="1:18" ht="13.5" customHeight="1" x14ac:dyDescent="0.2">
      <c r="A588" s="449" t="s">
        <v>1494</v>
      </c>
      <c r="B588" s="458" t="s">
        <v>1636</v>
      </c>
      <c r="C588" s="451" t="s">
        <v>1637</v>
      </c>
      <c r="D588" s="452">
        <v>8.3000000000000007</v>
      </c>
      <c r="E588" s="452">
        <v>8.3000000000000007</v>
      </c>
      <c r="F588" s="452">
        <v>7.6</v>
      </c>
      <c r="G588" s="452">
        <v>8.1</v>
      </c>
      <c r="H588" s="452">
        <v>6.9</v>
      </c>
      <c r="I588" s="452">
        <v>6.3</v>
      </c>
      <c r="J588" s="452">
        <v>6.5</v>
      </c>
      <c r="K588" s="452">
        <v>6</v>
      </c>
      <c r="L588" s="452">
        <v>6.5</v>
      </c>
      <c r="M588" s="452">
        <v>7.6</v>
      </c>
      <c r="N588" s="452">
        <v>8.1</v>
      </c>
      <c r="O588" s="452">
        <v>7.8</v>
      </c>
      <c r="P588" s="452">
        <v>7.4</v>
      </c>
      <c r="Q588" s="454">
        <v>3</v>
      </c>
      <c r="R588" s="455">
        <f t="shared" si="9"/>
        <v>7.3333333333333321</v>
      </c>
    </row>
    <row r="589" spans="1:18" ht="13.5" customHeight="1" x14ac:dyDescent="0.2">
      <c r="A589" s="449" t="s">
        <v>1495</v>
      </c>
      <c r="B589" s="458" t="s">
        <v>1636</v>
      </c>
      <c r="C589" s="451" t="s">
        <v>1637</v>
      </c>
      <c r="D589" s="452">
        <v>10.5</v>
      </c>
      <c r="E589" s="452">
        <v>10.3</v>
      </c>
      <c r="F589" s="452">
        <v>10.5</v>
      </c>
      <c r="G589" s="452">
        <v>11</v>
      </c>
      <c r="H589" s="452">
        <v>10.7</v>
      </c>
      <c r="I589" s="452">
        <v>9.4</v>
      </c>
      <c r="J589" s="452">
        <v>8.6999999999999993</v>
      </c>
      <c r="K589" s="452">
        <v>8.6999999999999993</v>
      </c>
      <c r="L589" s="452">
        <v>9.6</v>
      </c>
      <c r="M589" s="452">
        <v>10.5</v>
      </c>
      <c r="N589" s="452">
        <v>10.7</v>
      </c>
      <c r="O589" s="452">
        <v>10.3</v>
      </c>
      <c r="P589" s="452">
        <v>10.1</v>
      </c>
      <c r="Q589" s="454">
        <v>3</v>
      </c>
      <c r="R589" s="455">
        <f t="shared" si="9"/>
        <v>10.074999999999999</v>
      </c>
    </row>
    <row r="590" spans="1:18" ht="13.5" customHeight="1" x14ac:dyDescent="0.2">
      <c r="A590" s="449" t="s">
        <v>1496</v>
      </c>
      <c r="B590" s="458" t="s">
        <v>1636</v>
      </c>
      <c r="C590" s="451" t="s">
        <v>1637</v>
      </c>
      <c r="D590" s="452">
        <v>7.8</v>
      </c>
      <c r="E590" s="452">
        <v>7.8</v>
      </c>
      <c r="F590" s="452">
        <v>8.5</v>
      </c>
      <c r="G590" s="452">
        <v>8.5</v>
      </c>
      <c r="H590" s="452">
        <v>8.6999999999999993</v>
      </c>
      <c r="I590" s="452">
        <v>7.6</v>
      </c>
      <c r="J590" s="452">
        <v>6.9</v>
      </c>
      <c r="K590" s="452">
        <v>6.7</v>
      </c>
      <c r="L590" s="452">
        <v>7.6</v>
      </c>
      <c r="M590" s="452">
        <v>8.3000000000000007</v>
      </c>
      <c r="N590" s="452">
        <v>8.3000000000000007</v>
      </c>
      <c r="O590" s="452">
        <v>7.6</v>
      </c>
      <c r="P590" s="452">
        <v>7.8</v>
      </c>
      <c r="Q590" s="454">
        <v>3</v>
      </c>
      <c r="R590" s="455">
        <f t="shared" si="9"/>
        <v>7.8583333333333316</v>
      </c>
    </row>
    <row r="591" spans="1:18" ht="13.5" customHeight="1" x14ac:dyDescent="0.2">
      <c r="A591" s="449" t="s">
        <v>1497</v>
      </c>
      <c r="B591" s="458" t="s">
        <v>1636</v>
      </c>
      <c r="C591" s="451" t="s">
        <v>1637</v>
      </c>
      <c r="D591" s="452">
        <v>9.4</v>
      </c>
      <c r="E591" s="452">
        <v>9.4</v>
      </c>
      <c r="F591" s="452">
        <v>9.8000000000000007</v>
      </c>
      <c r="G591" s="452">
        <v>10.7</v>
      </c>
      <c r="H591" s="452">
        <v>10.3</v>
      </c>
      <c r="I591" s="452">
        <v>9.1999999999999993</v>
      </c>
      <c r="J591" s="452">
        <v>8.5</v>
      </c>
      <c r="K591" s="452">
        <v>8.3000000000000007</v>
      </c>
      <c r="L591" s="452">
        <v>9.1999999999999993</v>
      </c>
      <c r="M591" s="452">
        <v>9.8000000000000007</v>
      </c>
      <c r="N591" s="452">
        <v>9.6</v>
      </c>
      <c r="O591" s="452">
        <v>9.1999999999999993</v>
      </c>
      <c r="P591" s="452">
        <v>9.4</v>
      </c>
      <c r="Q591" s="454">
        <v>3</v>
      </c>
      <c r="R591" s="455">
        <f t="shared" si="9"/>
        <v>9.4499999999999993</v>
      </c>
    </row>
    <row r="592" spans="1:18" ht="13.5" customHeight="1" x14ac:dyDescent="0.2">
      <c r="A592" s="449" t="s">
        <v>1498</v>
      </c>
      <c r="B592" s="458" t="s">
        <v>1636</v>
      </c>
      <c r="C592" s="451" t="s">
        <v>1637</v>
      </c>
      <c r="D592" s="452">
        <v>13</v>
      </c>
      <c r="E592" s="452">
        <v>13</v>
      </c>
      <c r="F592" s="452">
        <v>13</v>
      </c>
      <c r="G592" s="452">
        <v>13.4</v>
      </c>
      <c r="H592" s="452">
        <v>12.8</v>
      </c>
      <c r="I592" s="452">
        <v>10.7</v>
      </c>
      <c r="J592" s="452">
        <v>9.6</v>
      </c>
      <c r="K592" s="452">
        <v>8.9</v>
      </c>
      <c r="L592" s="452">
        <v>10.3</v>
      </c>
      <c r="M592" s="452">
        <v>11.6</v>
      </c>
      <c r="N592" s="452">
        <v>12.8</v>
      </c>
      <c r="O592" s="452">
        <v>13</v>
      </c>
      <c r="P592" s="452">
        <v>11.9</v>
      </c>
      <c r="Q592" s="454">
        <v>3</v>
      </c>
      <c r="R592" s="455">
        <f t="shared" si="9"/>
        <v>11.841666666666667</v>
      </c>
    </row>
    <row r="593" spans="1:18" ht="13.5" customHeight="1" x14ac:dyDescent="0.2">
      <c r="A593" s="449" t="s">
        <v>1499</v>
      </c>
      <c r="B593" s="458" t="s">
        <v>1636</v>
      </c>
      <c r="C593" s="451" t="s">
        <v>1637</v>
      </c>
      <c r="D593" s="452">
        <v>8.3000000000000007</v>
      </c>
      <c r="E593" s="452">
        <v>8.3000000000000007</v>
      </c>
      <c r="F593" s="452">
        <v>8.6999999999999993</v>
      </c>
      <c r="G593" s="452">
        <v>9.4</v>
      </c>
      <c r="H593" s="452">
        <v>9.1999999999999993</v>
      </c>
      <c r="I593" s="452">
        <v>7.8</v>
      </c>
      <c r="J593" s="452">
        <v>6.7</v>
      </c>
      <c r="K593" s="452">
        <v>6.5</v>
      </c>
      <c r="L593" s="452">
        <v>7.4</v>
      </c>
      <c r="M593" s="452">
        <v>8.5</v>
      </c>
      <c r="N593" s="452">
        <v>8.5</v>
      </c>
      <c r="O593" s="452">
        <v>8.3000000000000007</v>
      </c>
      <c r="P593" s="452">
        <v>8.1</v>
      </c>
      <c r="Q593" s="454">
        <v>3</v>
      </c>
      <c r="R593" s="455">
        <f t="shared" si="9"/>
        <v>8.1333333333333346</v>
      </c>
    </row>
    <row r="594" spans="1:18" ht="13.5" customHeight="1" x14ac:dyDescent="0.2">
      <c r="A594" s="449" t="s">
        <v>1500</v>
      </c>
      <c r="B594" s="458" t="s">
        <v>1636</v>
      </c>
      <c r="C594" s="451" t="s">
        <v>1637</v>
      </c>
      <c r="D594" s="452">
        <v>6.7</v>
      </c>
      <c r="E594" s="452">
        <v>6.9</v>
      </c>
      <c r="F594" s="452">
        <v>7.2</v>
      </c>
      <c r="G594" s="452">
        <v>6.7</v>
      </c>
      <c r="H594" s="452">
        <v>5.6</v>
      </c>
      <c r="I594" s="452">
        <v>4.7</v>
      </c>
      <c r="J594" s="452">
        <v>4</v>
      </c>
      <c r="K594" s="452">
        <v>4</v>
      </c>
      <c r="L594" s="452">
        <v>5.0999999999999996</v>
      </c>
      <c r="M594" s="452">
        <v>5.0999999999999996</v>
      </c>
      <c r="N594" s="452">
        <v>5.4</v>
      </c>
      <c r="O594" s="452">
        <v>6.3</v>
      </c>
      <c r="P594" s="452">
        <v>5.6</v>
      </c>
      <c r="Q594" s="454">
        <v>3</v>
      </c>
      <c r="R594" s="455">
        <f t="shared" si="9"/>
        <v>5.6416666666666666</v>
      </c>
    </row>
    <row r="595" spans="1:18" ht="13.5" customHeight="1" x14ac:dyDescent="0.2">
      <c r="A595" s="449" t="s">
        <v>1501</v>
      </c>
      <c r="B595" s="458" t="s">
        <v>1636</v>
      </c>
      <c r="C595" s="451" t="s">
        <v>1637</v>
      </c>
      <c r="D595" s="452">
        <v>6.9</v>
      </c>
      <c r="E595" s="452">
        <v>7.2</v>
      </c>
      <c r="F595" s="452">
        <v>7.4</v>
      </c>
      <c r="G595" s="452">
        <v>6.9</v>
      </c>
      <c r="H595" s="452">
        <v>5.8</v>
      </c>
      <c r="I595" s="452">
        <v>4.9000000000000004</v>
      </c>
      <c r="J595" s="452">
        <v>4.5</v>
      </c>
      <c r="K595" s="452">
        <v>4.3</v>
      </c>
      <c r="L595" s="452">
        <v>5.0999999999999996</v>
      </c>
      <c r="M595" s="452">
        <v>5.0999999999999996</v>
      </c>
      <c r="N595" s="452">
        <v>5.6</v>
      </c>
      <c r="O595" s="452">
        <v>6.3</v>
      </c>
      <c r="P595" s="452">
        <v>5.8</v>
      </c>
      <c r="Q595" s="454">
        <v>3</v>
      </c>
      <c r="R595" s="455">
        <f t="shared" si="9"/>
        <v>5.833333333333333</v>
      </c>
    </row>
    <row r="596" spans="1:18" ht="13.5" customHeight="1" x14ac:dyDescent="0.2">
      <c r="A596" s="449" t="s">
        <v>1502</v>
      </c>
      <c r="B596" s="458" t="s">
        <v>1636</v>
      </c>
      <c r="C596" s="451" t="s">
        <v>1637</v>
      </c>
      <c r="D596" s="452">
        <v>7.6</v>
      </c>
      <c r="E596" s="452">
        <v>7.8</v>
      </c>
      <c r="F596" s="452">
        <v>8.1</v>
      </c>
      <c r="G596" s="452">
        <v>7.6</v>
      </c>
      <c r="H596" s="452">
        <v>6.3</v>
      </c>
      <c r="I596" s="452">
        <v>5.4</v>
      </c>
      <c r="J596" s="452">
        <v>4.7</v>
      </c>
      <c r="K596" s="452">
        <v>4.7</v>
      </c>
      <c r="L596" s="452">
        <v>5.6</v>
      </c>
      <c r="M596" s="452">
        <v>5.6</v>
      </c>
      <c r="N596" s="452">
        <v>6</v>
      </c>
      <c r="O596" s="452">
        <v>6.9</v>
      </c>
      <c r="P596" s="452">
        <v>6.3</v>
      </c>
      <c r="Q596" s="454">
        <v>3</v>
      </c>
      <c r="R596" s="455">
        <f t="shared" si="9"/>
        <v>6.3583333333333343</v>
      </c>
    </row>
    <row r="597" spans="1:18" ht="13.5" customHeight="1" x14ac:dyDescent="0.2">
      <c r="A597" s="449" t="s">
        <v>1503</v>
      </c>
      <c r="B597" s="458" t="s">
        <v>1636</v>
      </c>
      <c r="C597" s="451" t="s">
        <v>1637</v>
      </c>
      <c r="D597" s="452">
        <v>10.3</v>
      </c>
      <c r="E597" s="452">
        <v>10.5</v>
      </c>
      <c r="F597" s="452">
        <v>11.2</v>
      </c>
      <c r="G597" s="452">
        <v>11.2</v>
      </c>
      <c r="H597" s="452">
        <v>9.1999999999999993</v>
      </c>
      <c r="I597" s="452">
        <v>8.1</v>
      </c>
      <c r="J597" s="452">
        <v>7.4</v>
      </c>
      <c r="K597" s="452">
        <v>7.2</v>
      </c>
      <c r="L597" s="452">
        <v>7.8</v>
      </c>
      <c r="M597" s="452">
        <v>9.1999999999999993</v>
      </c>
      <c r="N597" s="452">
        <v>10.1</v>
      </c>
      <c r="O597" s="452">
        <v>10.1</v>
      </c>
      <c r="P597" s="452">
        <v>9.4</v>
      </c>
      <c r="Q597" s="454">
        <v>3</v>
      </c>
      <c r="R597" s="455">
        <f t="shared" si="9"/>
        <v>9.3583333333333325</v>
      </c>
    </row>
    <row r="598" spans="1:18" ht="13.5" customHeight="1" x14ac:dyDescent="0.2">
      <c r="A598" s="449" t="s">
        <v>1504</v>
      </c>
      <c r="B598" s="458" t="s">
        <v>1636</v>
      </c>
      <c r="C598" s="451" t="s">
        <v>1637</v>
      </c>
      <c r="D598" s="452">
        <v>10.7</v>
      </c>
      <c r="E598" s="452">
        <v>10.7</v>
      </c>
      <c r="F598" s="452">
        <v>11.9</v>
      </c>
      <c r="G598" s="452">
        <v>12.3</v>
      </c>
      <c r="H598" s="452">
        <v>10.3</v>
      </c>
      <c r="I598" s="452">
        <v>9.6</v>
      </c>
      <c r="J598" s="452">
        <v>8.6999999999999993</v>
      </c>
      <c r="K598" s="452">
        <v>8.5</v>
      </c>
      <c r="L598" s="452">
        <v>9.1999999999999993</v>
      </c>
      <c r="M598" s="452">
        <v>10.3</v>
      </c>
      <c r="N598" s="452">
        <v>10.7</v>
      </c>
      <c r="O598" s="452">
        <v>10.5</v>
      </c>
      <c r="P598" s="452">
        <v>10.3</v>
      </c>
      <c r="Q598" s="454">
        <v>3</v>
      </c>
      <c r="R598" s="455">
        <f t="shared" si="9"/>
        <v>10.283333333333333</v>
      </c>
    </row>
    <row r="599" spans="1:18" ht="13.5" customHeight="1" x14ac:dyDescent="0.2">
      <c r="A599" s="449" t="s">
        <v>1505</v>
      </c>
      <c r="B599" s="458" t="s">
        <v>1636</v>
      </c>
      <c r="C599" s="451" t="s">
        <v>1637</v>
      </c>
      <c r="D599" s="452">
        <v>9.8000000000000007</v>
      </c>
      <c r="E599" s="452">
        <v>10.1</v>
      </c>
      <c r="F599" s="452">
        <v>11</v>
      </c>
      <c r="G599" s="452">
        <v>10.7</v>
      </c>
      <c r="H599" s="452">
        <v>8.9</v>
      </c>
      <c r="I599" s="452">
        <v>8.1</v>
      </c>
      <c r="J599" s="452">
        <v>7.2</v>
      </c>
      <c r="K599" s="452">
        <v>7.2</v>
      </c>
      <c r="L599" s="452">
        <v>7.8</v>
      </c>
      <c r="M599" s="452">
        <v>8.9</v>
      </c>
      <c r="N599" s="452">
        <v>9.8000000000000007</v>
      </c>
      <c r="O599" s="452">
        <v>9.8000000000000007</v>
      </c>
      <c r="P599" s="452">
        <v>9.1999999999999993</v>
      </c>
      <c r="Q599" s="454">
        <v>3</v>
      </c>
      <c r="R599" s="455">
        <f t="shared" si="9"/>
        <v>9.1083333333333325</v>
      </c>
    </row>
    <row r="600" spans="1:18" ht="13.5" customHeight="1" x14ac:dyDescent="0.2">
      <c r="A600" s="449" t="s">
        <v>1506</v>
      </c>
      <c r="B600" s="458" t="s">
        <v>1636</v>
      </c>
      <c r="C600" s="451" t="s">
        <v>1637</v>
      </c>
      <c r="D600" s="452">
        <v>9.8000000000000007</v>
      </c>
      <c r="E600" s="452">
        <v>10.1</v>
      </c>
      <c r="F600" s="452">
        <v>10.5</v>
      </c>
      <c r="G600" s="452">
        <v>10.5</v>
      </c>
      <c r="H600" s="452">
        <v>9.1999999999999993</v>
      </c>
      <c r="I600" s="452">
        <v>8.1</v>
      </c>
      <c r="J600" s="452">
        <v>7.6</v>
      </c>
      <c r="K600" s="452">
        <v>7.2</v>
      </c>
      <c r="L600" s="452">
        <v>7.4</v>
      </c>
      <c r="M600" s="452">
        <v>8.5</v>
      </c>
      <c r="N600" s="452">
        <v>9.4</v>
      </c>
      <c r="O600" s="452">
        <v>9.6</v>
      </c>
      <c r="P600" s="452">
        <v>8.9</v>
      </c>
      <c r="Q600" s="454">
        <v>3</v>
      </c>
      <c r="R600" s="455">
        <f t="shared" si="9"/>
        <v>8.9916666666666671</v>
      </c>
    </row>
    <row r="601" spans="1:18" ht="13.5" customHeight="1" x14ac:dyDescent="0.2">
      <c r="A601" s="449" t="s">
        <v>1507</v>
      </c>
      <c r="B601" s="458" t="s">
        <v>1636</v>
      </c>
      <c r="C601" s="451" t="s">
        <v>1637</v>
      </c>
      <c r="D601" s="452">
        <v>8.1</v>
      </c>
      <c r="E601" s="452">
        <v>8.1</v>
      </c>
      <c r="F601" s="452">
        <v>8.5</v>
      </c>
      <c r="G601" s="452">
        <v>8.6999999999999993</v>
      </c>
      <c r="H601" s="452">
        <v>6.7</v>
      </c>
      <c r="I601" s="452">
        <v>5.8</v>
      </c>
      <c r="J601" s="452">
        <v>5.4</v>
      </c>
      <c r="K601" s="452">
        <v>4.9000000000000004</v>
      </c>
      <c r="L601" s="452">
        <v>4.9000000000000004</v>
      </c>
      <c r="M601" s="452">
        <v>6.3</v>
      </c>
      <c r="N601" s="452">
        <v>7.4</v>
      </c>
      <c r="O601" s="452">
        <v>7.4</v>
      </c>
      <c r="P601" s="452">
        <v>6.9</v>
      </c>
      <c r="Q601" s="454">
        <v>3</v>
      </c>
      <c r="R601" s="455">
        <f t="shared" si="9"/>
        <v>6.8500000000000005</v>
      </c>
    </row>
    <row r="602" spans="1:18" ht="13.5" customHeight="1" x14ac:dyDescent="0.2">
      <c r="A602" s="449" t="s">
        <v>1508</v>
      </c>
      <c r="B602" s="458" t="s">
        <v>1636</v>
      </c>
      <c r="C602" s="451" t="s">
        <v>1637</v>
      </c>
      <c r="D602" s="452">
        <v>12.8</v>
      </c>
      <c r="E602" s="452">
        <v>11.6</v>
      </c>
      <c r="F602" s="452">
        <v>10.7</v>
      </c>
      <c r="G602" s="452">
        <v>10.5</v>
      </c>
      <c r="H602" s="452">
        <v>9.8000000000000007</v>
      </c>
      <c r="I602" s="452">
        <v>9.4</v>
      </c>
      <c r="J602" s="452">
        <v>8.9</v>
      </c>
      <c r="K602" s="452">
        <v>8.9</v>
      </c>
      <c r="L602" s="452">
        <v>9.4</v>
      </c>
      <c r="M602" s="452">
        <v>10.5</v>
      </c>
      <c r="N602" s="452">
        <v>11.9</v>
      </c>
      <c r="O602" s="452">
        <v>12.5</v>
      </c>
      <c r="P602" s="452">
        <v>10.5</v>
      </c>
      <c r="Q602" s="454">
        <v>3</v>
      </c>
      <c r="R602" s="455">
        <f t="shared" si="9"/>
        <v>10.575000000000001</v>
      </c>
    </row>
    <row r="603" spans="1:18" ht="13.5" customHeight="1" x14ac:dyDescent="0.2">
      <c r="A603" s="449" t="s">
        <v>1509</v>
      </c>
      <c r="B603" s="458" t="s">
        <v>1636</v>
      </c>
      <c r="C603" s="451" t="s">
        <v>1637</v>
      </c>
      <c r="D603" s="452">
        <v>9.4</v>
      </c>
      <c r="E603" s="452">
        <v>9.4</v>
      </c>
      <c r="F603" s="452">
        <v>11</v>
      </c>
      <c r="G603" s="452">
        <v>12.1</v>
      </c>
      <c r="H603" s="452">
        <v>12.1</v>
      </c>
      <c r="I603" s="452">
        <v>11</v>
      </c>
      <c r="J603" s="452">
        <v>10.1</v>
      </c>
      <c r="K603" s="452">
        <v>10.7</v>
      </c>
      <c r="L603" s="452">
        <v>10.3</v>
      </c>
      <c r="M603" s="452">
        <v>10.3</v>
      </c>
      <c r="N603" s="452">
        <v>9.6</v>
      </c>
      <c r="O603" s="452">
        <v>9.4</v>
      </c>
      <c r="P603" s="452">
        <v>10.5</v>
      </c>
      <c r="Q603" s="454">
        <v>3</v>
      </c>
      <c r="R603" s="455">
        <f t="shared" si="9"/>
        <v>10.45</v>
      </c>
    </row>
    <row r="604" spans="1:18" ht="13.5" customHeight="1" x14ac:dyDescent="0.2">
      <c r="A604" s="449" t="s">
        <v>1510</v>
      </c>
      <c r="B604" s="458" t="s">
        <v>1636</v>
      </c>
      <c r="C604" s="451" t="s">
        <v>1637</v>
      </c>
      <c r="D604" s="452">
        <v>13.4</v>
      </c>
      <c r="E604" s="452">
        <v>11.9</v>
      </c>
      <c r="F604" s="452">
        <v>11.9</v>
      </c>
      <c r="G604" s="452">
        <v>11.2</v>
      </c>
      <c r="H604" s="452">
        <v>10.5</v>
      </c>
      <c r="I604" s="452">
        <v>9.8000000000000007</v>
      </c>
      <c r="J604" s="452">
        <v>8.9</v>
      </c>
      <c r="K604" s="452">
        <v>8.9</v>
      </c>
      <c r="L604" s="452">
        <v>10.1</v>
      </c>
      <c r="M604" s="452">
        <v>11.9</v>
      </c>
      <c r="N604" s="452">
        <v>13.4</v>
      </c>
      <c r="O604" s="452">
        <v>13.6</v>
      </c>
      <c r="P604" s="452">
        <v>11.4</v>
      </c>
      <c r="Q604" s="454">
        <v>3</v>
      </c>
      <c r="R604" s="455">
        <f t="shared" si="9"/>
        <v>11.29166666666667</v>
      </c>
    </row>
    <row r="605" spans="1:18" ht="13.5" customHeight="1" x14ac:dyDescent="0.2">
      <c r="A605" s="449" t="s">
        <v>1511</v>
      </c>
      <c r="B605" s="458" t="s">
        <v>1636</v>
      </c>
      <c r="C605" s="451" t="s">
        <v>1637</v>
      </c>
      <c r="D605" s="452">
        <v>9.6</v>
      </c>
      <c r="E605" s="452">
        <v>9.1999999999999993</v>
      </c>
      <c r="F605" s="452">
        <v>9.8000000000000007</v>
      </c>
      <c r="G605" s="452">
        <v>10.5</v>
      </c>
      <c r="H605" s="452">
        <v>10.5</v>
      </c>
      <c r="I605" s="452">
        <v>9.6</v>
      </c>
      <c r="J605" s="452">
        <v>8.6999999999999993</v>
      </c>
      <c r="K605" s="452">
        <v>8.6999999999999993</v>
      </c>
      <c r="L605" s="452">
        <v>8.9</v>
      </c>
      <c r="M605" s="452">
        <v>9.4</v>
      </c>
      <c r="N605" s="452">
        <v>10.1</v>
      </c>
      <c r="O605" s="452">
        <v>9.8000000000000007</v>
      </c>
      <c r="P605" s="452">
        <v>9.6</v>
      </c>
      <c r="Q605" s="454">
        <v>3</v>
      </c>
      <c r="R605" s="455">
        <f t="shared" si="9"/>
        <v>9.5666666666666664</v>
      </c>
    </row>
    <row r="606" spans="1:18" ht="13.5" customHeight="1" x14ac:dyDescent="0.2">
      <c r="A606" s="449" t="s">
        <v>1512</v>
      </c>
      <c r="B606" s="458" t="s">
        <v>1636</v>
      </c>
      <c r="C606" s="451" t="s">
        <v>1637</v>
      </c>
      <c r="D606" s="452">
        <v>5.6</v>
      </c>
      <c r="E606" s="452">
        <v>6</v>
      </c>
      <c r="F606" s="452">
        <v>7.4</v>
      </c>
      <c r="G606" s="452">
        <v>8.3000000000000007</v>
      </c>
      <c r="H606" s="452">
        <v>8.1</v>
      </c>
      <c r="I606" s="452">
        <v>7.8</v>
      </c>
      <c r="J606" s="452">
        <v>7.2</v>
      </c>
      <c r="K606" s="452">
        <v>6.5</v>
      </c>
      <c r="L606" s="452">
        <v>6.3</v>
      </c>
      <c r="M606" s="452">
        <v>6.5</v>
      </c>
      <c r="N606" s="452">
        <v>6</v>
      </c>
      <c r="O606" s="452">
        <v>5.6</v>
      </c>
      <c r="P606" s="452">
        <v>6.7</v>
      </c>
      <c r="Q606" s="454">
        <v>3</v>
      </c>
      <c r="R606" s="455">
        <f t="shared" si="9"/>
        <v>6.7749999999999986</v>
      </c>
    </row>
    <row r="607" spans="1:18" ht="13.5" customHeight="1" x14ac:dyDescent="0.2">
      <c r="A607" s="449" t="s">
        <v>1513</v>
      </c>
      <c r="B607" s="458" t="s">
        <v>1636</v>
      </c>
      <c r="C607" s="451" t="s">
        <v>1637</v>
      </c>
      <c r="D607" s="452">
        <v>4</v>
      </c>
      <c r="E607" s="452">
        <v>4.3</v>
      </c>
      <c r="F607" s="452">
        <v>5.8</v>
      </c>
      <c r="G607" s="452">
        <v>6.7</v>
      </c>
      <c r="H607" s="452">
        <v>6.5</v>
      </c>
      <c r="I607" s="452">
        <v>5.8</v>
      </c>
      <c r="J607" s="452">
        <v>5.4</v>
      </c>
      <c r="K607" s="452">
        <v>5.0999999999999996</v>
      </c>
      <c r="L607" s="452">
        <v>4.7</v>
      </c>
      <c r="M607" s="452">
        <v>4.5</v>
      </c>
      <c r="N607" s="452">
        <v>4</v>
      </c>
      <c r="O607" s="452">
        <v>3.8</v>
      </c>
      <c r="P607" s="452">
        <v>5.0999999999999996</v>
      </c>
      <c r="Q607" s="454">
        <v>3</v>
      </c>
      <c r="R607" s="455">
        <f t="shared" si="9"/>
        <v>5.05</v>
      </c>
    </row>
    <row r="608" spans="1:18" ht="13.5" customHeight="1" x14ac:dyDescent="0.2">
      <c r="A608" s="449" t="s">
        <v>1514</v>
      </c>
      <c r="B608" s="458" t="s">
        <v>1636</v>
      </c>
      <c r="C608" s="451" t="s">
        <v>1637</v>
      </c>
      <c r="D608" s="452">
        <v>3.8</v>
      </c>
      <c r="E608" s="452">
        <v>4.3</v>
      </c>
      <c r="F608" s="452">
        <v>5.8</v>
      </c>
      <c r="G608" s="452">
        <v>6.5</v>
      </c>
      <c r="H608" s="452">
        <v>6.3</v>
      </c>
      <c r="I608" s="452">
        <v>6.5</v>
      </c>
      <c r="J608" s="452">
        <v>6.3</v>
      </c>
      <c r="K608" s="452">
        <v>5.8</v>
      </c>
      <c r="L608" s="452">
        <v>4.9000000000000004</v>
      </c>
      <c r="M608" s="452">
        <v>4.5</v>
      </c>
      <c r="N608" s="452">
        <v>4</v>
      </c>
      <c r="O608" s="452">
        <v>4</v>
      </c>
      <c r="P608" s="452">
        <v>5.0999999999999996</v>
      </c>
      <c r="Q608" s="454">
        <v>3</v>
      </c>
      <c r="R608" s="455">
        <f t="shared" si="9"/>
        <v>5.2249999999999996</v>
      </c>
    </row>
    <row r="609" spans="1:18" ht="13.5" customHeight="1" x14ac:dyDescent="0.2">
      <c r="A609" s="449" t="s">
        <v>1515</v>
      </c>
      <c r="B609" s="458" t="s">
        <v>1636</v>
      </c>
      <c r="C609" s="451" t="s">
        <v>1637</v>
      </c>
      <c r="D609" s="452">
        <v>11</v>
      </c>
      <c r="E609" s="452">
        <v>11.4</v>
      </c>
      <c r="F609" s="452">
        <v>12.5</v>
      </c>
      <c r="G609" s="452">
        <v>13.4</v>
      </c>
      <c r="H609" s="452">
        <v>12.1</v>
      </c>
      <c r="I609" s="452">
        <v>10.7</v>
      </c>
      <c r="J609" s="452">
        <v>9.1999999999999993</v>
      </c>
      <c r="K609" s="452">
        <v>8.9</v>
      </c>
      <c r="L609" s="452">
        <v>10.5</v>
      </c>
      <c r="M609" s="452">
        <v>11.2</v>
      </c>
      <c r="N609" s="452">
        <v>11.2</v>
      </c>
      <c r="O609" s="452">
        <v>11</v>
      </c>
      <c r="P609" s="452">
        <v>11.2</v>
      </c>
      <c r="Q609" s="454">
        <v>3</v>
      </c>
      <c r="R609" s="455">
        <f t="shared" si="9"/>
        <v>11.091666666666669</v>
      </c>
    </row>
    <row r="610" spans="1:18" ht="13.5" customHeight="1" x14ac:dyDescent="0.2">
      <c r="A610" s="449" t="s">
        <v>1516</v>
      </c>
      <c r="B610" s="458" t="s">
        <v>1636</v>
      </c>
      <c r="C610" s="451" t="s">
        <v>1637</v>
      </c>
      <c r="D610" s="452">
        <v>8.9</v>
      </c>
      <c r="E610" s="452">
        <v>9.6</v>
      </c>
      <c r="F610" s="452">
        <v>11</v>
      </c>
      <c r="G610" s="452">
        <v>11.9</v>
      </c>
      <c r="H610" s="452">
        <v>10.5</v>
      </c>
      <c r="I610" s="452">
        <v>9.6</v>
      </c>
      <c r="J610" s="452">
        <v>8.6999999999999993</v>
      </c>
      <c r="K610" s="452">
        <v>8.3000000000000007</v>
      </c>
      <c r="L610" s="452">
        <v>9.1999999999999993</v>
      </c>
      <c r="M610" s="452">
        <v>9.6</v>
      </c>
      <c r="N610" s="452">
        <v>9.4</v>
      </c>
      <c r="O610" s="452">
        <v>8.9</v>
      </c>
      <c r="P610" s="452">
        <v>9.6</v>
      </c>
      <c r="Q610" s="454">
        <v>3</v>
      </c>
      <c r="R610" s="455">
        <f t="shared" si="9"/>
        <v>9.6333333333333346</v>
      </c>
    </row>
    <row r="611" spans="1:18" ht="13.5" customHeight="1" x14ac:dyDescent="0.2">
      <c r="A611" s="449" t="s">
        <v>1517</v>
      </c>
      <c r="B611" s="458" t="s">
        <v>1636</v>
      </c>
      <c r="C611" s="451" t="s">
        <v>1637</v>
      </c>
      <c r="D611" s="452">
        <v>10.5</v>
      </c>
      <c r="E611" s="452">
        <v>11</v>
      </c>
      <c r="F611" s="452">
        <v>11.6</v>
      </c>
      <c r="G611" s="452">
        <v>12.5</v>
      </c>
      <c r="H611" s="452">
        <v>11.2</v>
      </c>
      <c r="I611" s="452">
        <v>9.8000000000000007</v>
      </c>
      <c r="J611" s="452">
        <v>8.9</v>
      </c>
      <c r="K611" s="452">
        <v>8.6999999999999993</v>
      </c>
      <c r="L611" s="452">
        <v>9.8000000000000007</v>
      </c>
      <c r="M611" s="452">
        <v>10.3</v>
      </c>
      <c r="N611" s="452">
        <v>10.5</v>
      </c>
      <c r="O611" s="452">
        <v>10.5</v>
      </c>
      <c r="P611" s="452">
        <v>10.5</v>
      </c>
      <c r="Q611" s="454">
        <v>3</v>
      </c>
      <c r="R611" s="455">
        <f t="shared" si="9"/>
        <v>10.441666666666666</v>
      </c>
    </row>
    <row r="612" spans="1:18" ht="13.5" customHeight="1" x14ac:dyDescent="0.2">
      <c r="A612" s="449" t="s">
        <v>1518</v>
      </c>
      <c r="B612" s="458" t="s">
        <v>1636</v>
      </c>
      <c r="C612" s="451" t="s">
        <v>1637</v>
      </c>
      <c r="D612" s="452">
        <v>8.3000000000000007</v>
      </c>
      <c r="E612" s="452">
        <v>8.9</v>
      </c>
      <c r="F612" s="452">
        <v>10.3</v>
      </c>
      <c r="G612" s="452">
        <v>11.4</v>
      </c>
      <c r="H612" s="452">
        <v>10.3</v>
      </c>
      <c r="I612" s="452">
        <v>9.4</v>
      </c>
      <c r="J612" s="453">
        <v>8.5</v>
      </c>
      <c r="K612" s="452">
        <v>8.1</v>
      </c>
      <c r="L612" s="452">
        <v>8.9</v>
      </c>
      <c r="M612" s="452">
        <v>8.9</v>
      </c>
      <c r="N612" s="452">
        <v>8.6999999999999993</v>
      </c>
      <c r="O612" s="452">
        <v>8.3000000000000007</v>
      </c>
      <c r="P612" s="452">
        <v>9.1999999999999993</v>
      </c>
      <c r="Q612" s="454">
        <v>3</v>
      </c>
      <c r="R612" s="455">
        <f t="shared" si="9"/>
        <v>9.1666666666666661</v>
      </c>
    </row>
    <row r="613" spans="1:18" ht="13.5" customHeight="1" x14ac:dyDescent="0.2">
      <c r="A613" s="449" t="s">
        <v>1519</v>
      </c>
      <c r="B613" s="458" t="s">
        <v>1636</v>
      </c>
      <c r="C613" s="451" t="s">
        <v>1637</v>
      </c>
      <c r="D613" s="452">
        <v>10.1</v>
      </c>
      <c r="E613" s="452">
        <v>10.3</v>
      </c>
      <c r="F613" s="452">
        <v>11.2</v>
      </c>
      <c r="G613" s="452">
        <v>11.9</v>
      </c>
      <c r="H613" s="452">
        <v>10.5</v>
      </c>
      <c r="I613" s="452">
        <v>9.4</v>
      </c>
      <c r="J613" s="453">
        <v>8.3000000000000007</v>
      </c>
      <c r="K613" s="452">
        <v>8.1</v>
      </c>
      <c r="L613" s="452">
        <v>8.9</v>
      </c>
      <c r="M613" s="452">
        <v>9.6</v>
      </c>
      <c r="N613" s="452">
        <v>10.1</v>
      </c>
      <c r="O613" s="452">
        <v>9.8000000000000007</v>
      </c>
      <c r="P613" s="452">
        <v>9.8000000000000007</v>
      </c>
      <c r="Q613" s="454">
        <v>3</v>
      </c>
      <c r="R613" s="455">
        <f t="shared" si="9"/>
        <v>9.85</v>
      </c>
    </row>
    <row r="614" spans="1:18" ht="13.5" customHeight="1" x14ac:dyDescent="0.2">
      <c r="A614" s="449" t="s">
        <v>1520</v>
      </c>
      <c r="B614" s="458" t="s">
        <v>1636</v>
      </c>
      <c r="C614" s="451" t="s">
        <v>1637</v>
      </c>
      <c r="D614" s="452">
        <v>9.6</v>
      </c>
      <c r="E614" s="452">
        <v>10.3</v>
      </c>
      <c r="F614" s="452">
        <v>11</v>
      </c>
      <c r="G614" s="452">
        <v>11.4</v>
      </c>
      <c r="H614" s="452">
        <v>11</v>
      </c>
      <c r="I614" s="452">
        <v>9.8000000000000007</v>
      </c>
      <c r="J614" s="453">
        <v>8.5</v>
      </c>
      <c r="K614" s="452">
        <v>8.3000000000000007</v>
      </c>
      <c r="L614" s="452">
        <v>8.3000000000000007</v>
      </c>
      <c r="M614" s="452">
        <v>9.1999999999999993</v>
      </c>
      <c r="N614" s="452">
        <v>9.4</v>
      </c>
      <c r="O614" s="452">
        <v>9.4</v>
      </c>
      <c r="P614" s="452">
        <v>9.6</v>
      </c>
      <c r="Q614" s="454">
        <v>3</v>
      </c>
      <c r="R614" s="455">
        <f t="shared" si="9"/>
        <v>9.6833333333333336</v>
      </c>
    </row>
    <row r="615" spans="1:18" ht="13.5" customHeight="1" x14ac:dyDescent="0.2">
      <c r="A615" s="449" t="s">
        <v>1521</v>
      </c>
      <c r="B615" s="458" t="s">
        <v>1636</v>
      </c>
      <c r="C615" s="451" t="s">
        <v>1637</v>
      </c>
      <c r="D615" s="452">
        <v>9.4</v>
      </c>
      <c r="E615" s="452">
        <v>9.8000000000000007</v>
      </c>
      <c r="F615" s="452">
        <v>10.5</v>
      </c>
      <c r="G615" s="452">
        <v>11.4</v>
      </c>
      <c r="H615" s="452">
        <v>11.4</v>
      </c>
      <c r="I615" s="452">
        <v>10.3</v>
      </c>
      <c r="J615" s="453">
        <v>9.1999999999999993</v>
      </c>
      <c r="K615" s="452">
        <v>9.6</v>
      </c>
      <c r="L615" s="452">
        <v>10.3</v>
      </c>
      <c r="M615" s="452">
        <v>10.1</v>
      </c>
      <c r="N615" s="452">
        <v>9.8000000000000007</v>
      </c>
      <c r="O615" s="452">
        <v>9.6</v>
      </c>
      <c r="P615" s="452">
        <v>10.1</v>
      </c>
      <c r="Q615" s="454">
        <v>3</v>
      </c>
      <c r="R615" s="455">
        <f t="shared" si="9"/>
        <v>10.116666666666665</v>
      </c>
    </row>
    <row r="616" spans="1:18" ht="13.5" customHeight="1" x14ac:dyDescent="0.2">
      <c r="A616" s="449" t="s">
        <v>1522</v>
      </c>
      <c r="B616" s="458" t="s">
        <v>1636</v>
      </c>
      <c r="C616" s="451" t="s">
        <v>1637</v>
      </c>
      <c r="D616" s="452">
        <v>9.1999999999999993</v>
      </c>
      <c r="E616" s="452">
        <v>8.9</v>
      </c>
      <c r="F616" s="452">
        <v>9.6</v>
      </c>
      <c r="G616" s="452">
        <v>9.8000000000000007</v>
      </c>
      <c r="H616" s="452">
        <v>9.4</v>
      </c>
      <c r="I616" s="452">
        <v>9.6</v>
      </c>
      <c r="J616" s="453">
        <v>9.4</v>
      </c>
      <c r="K616" s="452">
        <v>9.6</v>
      </c>
      <c r="L616" s="452">
        <v>9.1999999999999993</v>
      </c>
      <c r="M616" s="452">
        <v>9.1999999999999993</v>
      </c>
      <c r="N616" s="452">
        <v>8.6999999999999993</v>
      </c>
      <c r="O616" s="452">
        <v>8.9</v>
      </c>
      <c r="P616" s="452">
        <v>9.4</v>
      </c>
      <c r="Q616" s="454">
        <v>3</v>
      </c>
      <c r="R616" s="455">
        <f t="shared" si="9"/>
        <v>9.2916666666666679</v>
      </c>
    </row>
    <row r="617" spans="1:18" ht="13.5" customHeight="1" x14ac:dyDescent="0.2">
      <c r="A617" s="449" t="s">
        <v>1523</v>
      </c>
      <c r="B617" s="458" t="s">
        <v>1636</v>
      </c>
      <c r="C617" s="451" t="s">
        <v>1637</v>
      </c>
      <c r="D617" s="452">
        <v>6.5</v>
      </c>
      <c r="E617" s="452">
        <v>7.2</v>
      </c>
      <c r="F617" s="452">
        <v>8.6999999999999993</v>
      </c>
      <c r="G617" s="452">
        <v>10.3</v>
      </c>
      <c r="H617" s="452">
        <v>10.1</v>
      </c>
      <c r="I617" s="452">
        <v>10.1</v>
      </c>
      <c r="J617" s="453">
        <v>8.9</v>
      </c>
      <c r="K617" s="452">
        <v>8.5</v>
      </c>
      <c r="L617" s="452">
        <v>7.8</v>
      </c>
      <c r="M617" s="452">
        <v>7.2</v>
      </c>
      <c r="N617" s="452">
        <v>6.5</v>
      </c>
      <c r="O617" s="452">
        <v>6.5</v>
      </c>
      <c r="P617" s="452">
        <v>8.3000000000000007</v>
      </c>
      <c r="Q617" s="454">
        <v>3</v>
      </c>
      <c r="R617" s="455">
        <f t="shared" si="9"/>
        <v>8.1916666666666682</v>
      </c>
    </row>
    <row r="618" spans="1:18" ht="13.5" customHeight="1" x14ac:dyDescent="0.2">
      <c r="A618" s="449" t="s">
        <v>1524</v>
      </c>
      <c r="B618" s="458" t="s">
        <v>1636</v>
      </c>
      <c r="C618" s="451" t="s">
        <v>1637</v>
      </c>
      <c r="D618" s="452">
        <v>4.9000000000000004</v>
      </c>
      <c r="E618" s="452">
        <v>6</v>
      </c>
      <c r="F618" s="452">
        <v>7.4</v>
      </c>
      <c r="G618" s="452">
        <v>8.3000000000000007</v>
      </c>
      <c r="H618" s="452">
        <v>8.5</v>
      </c>
      <c r="I618" s="452">
        <v>8.3000000000000007</v>
      </c>
      <c r="J618" s="453">
        <v>7.6</v>
      </c>
      <c r="K618" s="452">
        <v>6.9</v>
      </c>
      <c r="L618" s="452">
        <v>6</v>
      </c>
      <c r="M618" s="452">
        <v>5.8</v>
      </c>
      <c r="N618" s="452">
        <v>5.0999999999999996</v>
      </c>
      <c r="O618" s="452">
        <v>4.7</v>
      </c>
      <c r="P618" s="452">
        <v>6.7</v>
      </c>
      <c r="Q618" s="454">
        <v>3</v>
      </c>
      <c r="R618" s="455">
        <f t="shared" si="9"/>
        <v>6.625</v>
      </c>
    </row>
    <row r="619" spans="1:18" ht="13.5" customHeight="1" x14ac:dyDescent="0.2">
      <c r="A619" s="449" t="s">
        <v>1525</v>
      </c>
      <c r="B619" s="458" t="s">
        <v>1636</v>
      </c>
      <c r="C619" s="451" t="s">
        <v>1637</v>
      </c>
      <c r="D619" s="452">
        <v>8.3000000000000007</v>
      </c>
      <c r="E619" s="452">
        <v>8.5</v>
      </c>
      <c r="F619" s="452">
        <v>9.1999999999999993</v>
      </c>
      <c r="G619" s="452">
        <v>10.3</v>
      </c>
      <c r="H619" s="452">
        <v>9.8000000000000007</v>
      </c>
      <c r="I619" s="452">
        <v>10.1</v>
      </c>
      <c r="J619" s="452">
        <v>9.1999999999999993</v>
      </c>
      <c r="K619" s="452">
        <v>9.1999999999999993</v>
      </c>
      <c r="L619" s="452">
        <v>8.3000000000000007</v>
      </c>
      <c r="M619" s="452">
        <v>8.1</v>
      </c>
      <c r="N619" s="452">
        <v>8.1</v>
      </c>
      <c r="O619" s="452">
        <v>8.1</v>
      </c>
      <c r="P619" s="452">
        <v>8.9</v>
      </c>
      <c r="Q619" s="454">
        <v>3</v>
      </c>
      <c r="R619" s="455">
        <f t="shared" si="9"/>
        <v>8.9333333333333318</v>
      </c>
    </row>
    <row r="620" spans="1:18" ht="13.5" customHeight="1" x14ac:dyDescent="0.2">
      <c r="A620" s="449" t="s">
        <v>1526</v>
      </c>
      <c r="B620" s="458" t="s">
        <v>1636</v>
      </c>
      <c r="C620" s="451" t="s">
        <v>1637</v>
      </c>
      <c r="D620" s="452">
        <v>4.7</v>
      </c>
      <c r="E620" s="452">
        <v>5.6</v>
      </c>
      <c r="F620" s="452">
        <v>6.9</v>
      </c>
      <c r="G620" s="452">
        <v>8.3000000000000007</v>
      </c>
      <c r="H620" s="452">
        <v>7.8</v>
      </c>
      <c r="I620" s="452">
        <v>7.6</v>
      </c>
      <c r="J620" s="452">
        <v>7.2</v>
      </c>
      <c r="K620" s="452">
        <v>6.5</v>
      </c>
      <c r="L620" s="452">
        <v>5.4</v>
      </c>
      <c r="M620" s="452">
        <v>4.7</v>
      </c>
      <c r="N620" s="452">
        <v>4.9000000000000004</v>
      </c>
      <c r="O620" s="452">
        <v>5.0999999999999996</v>
      </c>
      <c r="P620" s="452">
        <v>6.3</v>
      </c>
      <c r="Q620" s="454">
        <v>3</v>
      </c>
      <c r="R620" s="455">
        <f t="shared" si="9"/>
        <v>6.2250000000000005</v>
      </c>
    </row>
    <row r="621" spans="1:18" ht="13.5" customHeight="1" x14ac:dyDescent="0.2">
      <c r="A621" s="449" t="s">
        <v>1527</v>
      </c>
      <c r="B621" s="458" t="s">
        <v>1636</v>
      </c>
      <c r="C621" s="451" t="s">
        <v>1637</v>
      </c>
      <c r="D621" s="452">
        <v>8.9</v>
      </c>
      <c r="E621" s="452">
        <v>9.6</v>
      </c>
      <c r="F621" s="452">
        <v>10.7</v>
      </c>
      <c r="G621" s="452">
        <v>11.6</v>
      </c>
      <c r="H621" s="452">
        <v>10.7</v>
      </c>
      <c r="I621" s="452">
        <v>10.3</v>
      </c>
      <c r="J621" s="452">
        <v>9.1999999999999993</v>
      </c>
      <c r="K621" s="452">
        <v>9.1999999999999993</v>
      </c>
      <c r="L621" s="452">
        <v>8.9</v>
      </c>
      <c r="M621" s="452">
        <v>9.4</v>
      </c>
      <c r="N621" s="452">
        <v>9.1999999999999993</v>
      </c>
      <c r="O621" s="452">
        <v>8.6999999999999993</v>
      </c>
      <c r="P621" s="452">
        <v>9.6</v>
      </c>
      <c r="Q621" s="454">
        <v>3</v>
      </c>
      <c r="R621" s="455">
        <f t="shared" si="9"/>
        <v>9.7000000000000011</v>
      </c>
    </row>
    <row r="622" spans="1:18" ht="13.5" customHeight="1" x14ac:dyDescent="0.2">
      <c r="A622" s="449" t="s">
        <v>1528</v>
      </c>
      <c r="B622" s="458" t="s">
        <v>1636</v>
      </c>
      <c r="C622" s="451" t="s">
        <v>1637</v>
      </c>
      <c r="D622" s="452">
        <v>7.2</v>
      </c>
      <c r="E622" s="452">
        <v>7.6</v>
      </c>
      <c r="F622" s="452">
        <v>8.1</v>
      </c>
      <c r="G622" s="452">
        <v>8.3000000000000007</v>
      </c>
      <c r="H622" s="452">
        <v>8.3000000000000007</v>
      </c>
      <c r="I622" s="452">
        <v>8.3000000000000007</v>
      </c>
      <c r="J622" s="452">
        <v>7.6</v>
      </c>
      <c r="K622" s="452">
        <v>7.4</v>
      </c>
      <c r="L622" s="452">
        <v>6.9</v>
      </c>
      <c r="M622" s="452">
        <v>6.7</v>
      </c>
      <c r="N622" s="452">
        <v>6.7</v>
      </c>
      <c r="O622" s="452">
        <v>7.2</v>
      </c>
      <c r="P622" s="452">
        <v>7.6</v>
      </c>
      <c r="Q622" s="454">
        <v>3</v>
      </c>
      <c r="R622" s="455">
        <f t="shared" si="9"/>
        <v>7.5250000000000012</v>
      </c>
    </row>
    <row r="623" spans="1:18" ht="13.5" customHeight="1" x14ac:dyDescent="0.2">
      <c r="A623" s="449" t="s">
        <v>1529</v>
      </c>
      <c r="B623" s="458" t="s">
        <v>1636</v>
      </c>
      <c r="C623" s="451" t="s">
        <v>1637</v>
      </c>
      <c r="D623" s="452">
        <v>6.7</v>
      </c>
      <c r="E623" s="452">
        <v>7.4</v>
      </c>
      <c r="F623" s="452">
        <v>7.4</v>
      </c>
      <c r="G623" s="452">
        <v>7.2</v>
      </c>
      <c r="H623" s="452">
        <v>6.3</v>
      </c>
      <c r="I623" s="452">
        <v>5.6</v>
      </c>
      <c r="J623" s="452">
        <v>5.0999999999999996</v>
      </c>
      <c r="K623" s="452">
        <v>4.7</v>
      </c>
      <c r="L623" s="452">
        <v>4.9000000000000004</v>
      </c>
      <c r="M623" s="452">
        <v>5.6</v>
      </c>
      <c r="N623" s="452">
        <v>5.6</v>
      </c>
      <c r="O623" s="452">
        <v>6.5</v>
      </c>
      <c r="P623" s="452">
        <v>6</v>
      </c>
      <c r="Q623" s="454">
        <v>3</v>
      </c>
      <c r="R623" s="455">
        <f t="shared" si="9"/>
        <v>6.083333333333333</v>
      </c>
    </row>
    <row r="624" spans="1:18" ht="13.5" customHeight="1" x14ac:dyDescent="0.2">
      <c r="A624" s="449" t="s">
        <v>1530</v>
      </c>
      <c r="B624" s="458" t="s">
        <v>1636</v>
      </c>
      <c r="C624" s="451" t="s">
        <v>1637</v>
      </c>
      <c r="D624" s="452">
        <v>9.8000000000000007</v>
      </c>
      <c r="E624" s="452">
        <v>10.1</v>
      </c>
      <c r="F624" s="452">
        <v>10.5</v>
      </c>
      <c r="G624" s="452">
        <v>10.3</v>
      </c>
      <c r="H624" s="452">
        <v>8.6999999999999993</v>
      </c>
      <c r="I624" s="452">
        <v>7.8</v>
      </c>
      <c r="J624" s="452">
        <v>7.4</v>
      </c>
      <c r="K624" s="452">
        <v>6.7</v>
      </c>
      <c r="L624" s="452">
        <v>7.4</v>
      </c>
      <c r="M624" s="452">
        <v>7.6</v>
      </c>
      <c r="N624" s="452">
        <v>8.5</v>
      </c>
      <c r="O624" s="452">
        <v>9.4</v>
      </c>
      <c r="P624" s="452">
        <v>8.6999999999999993</v>
      </c>
      <c r="Q624" s="454">
        <v>3</v>
      </c>
      <c r="R624" s="455">
        <f t="shared" si="9"/>
        <v>8.6833333333333353</v>
      </c>
    </row>
    <row r="625" spans="1:18" ht="13.5" customHeight="1" x14ac:dyDescent="0.2">
      <c r="A625" s="449" t="s">
        <v>1531</v>
      </c>
      <c r="B625" s="458" t="s">
        <v>1636</v>
      </c>
      <c r="C625" s="451" t="s">
        <v>1637</v>
      </c>
      <c r="D625" s="452">
        <v>11</v>
      </c>
      <c r="E625" s="452">
        <v>11.2</v>
      </c>
      <c r="F625" s="452">
        <v>11.2</v>
      </c>
      <c r="G625" s="452">
        <v>10.5</v>
      </c>
      <c r="H625" s="452">
        <v>9.6</v>
      </c>
      <c r="I625" s="452">
        <v>9.1999999999999993</v>
      </c>
      <c r="J625" s="452">
        <v>8.9</v>
      </c>
      <c r="K625" s="452">
        <v>8.5</v>
      </c>
      <c r="L625" s="452">
        <v>8.9</v>
      </c>
      <c r="M625" s="452">
        <v>9.4</v>
      </c>
      <c r="N625" s="452">
        <v>9.8000000000000007</v>
      </c>
      <c r="O625" s="452">
        <v>10.7</v>
      </c>
      <c r="P625" s="452">
        <v>9.8000000000000007</v>
      </c>
      <c r="Q625" s="454">
        <v>3</v>
      </c>
      <c r="R625" s="455">
        <f t="shared" si="9"/>
        <v>9.908333333333335</v>
      </c>
    </row>
    <row r="626" spans="1:18" ht="13.5" customHeight="1" x14ac:dyDescent="0.2">
      <c r="A626" s="449" t="s">
        <v>1532</v>
      </c>
      <c r="B626" s="458" t="s">
        <v>1636</v>
      </c>
      <c r="C626" s="451" t="s">
        <v>1637</v>
      </c>
      <c r="D626" s="452">
        <v>7.2</v>
      </c>
      <c r="E626" s="452">
        <v>7.8</v>
      </c>
      <c r="F626" s="452">
        <v>8.6999999999999993</v>
      </c>
      <c r="G626" s="452">
        <v>9.8000000000000007</v>
      </c>
      <c r="H626" s="452">
        <v>9.4</v>
      </c>
      <c r="I626" s="452">
        <v>8.9</v>
      </c>
      <c r="J626" s="452">
        <v>7.8</v>
      </c>
      <c r="K626" s="452">
        <v>7.4</v>
      </c>
      <c r="L626" s="452">
        <v>7.4</v>
      </c>
      <c r="M626" s="452">
        <v>7.4</v>
      </c>
      <c r="N626" s="452">
        <v>7.2</v>
      </c>
      <c r="O626" s="452">
        <v>6.7</v>
      </c>
      <c r="P626" s="452">
        <v>8.1</v>
      </c>
      <c r="Q626" s="454">
        <v>3</v>
      </c>
      <c r="R626" s="455">
        <f t="shared" si="9"/>
        <v>7.9750000000000014</v>
      </c>
    </row>
    <row r="627" spans="1:18" ht="13.5" customHeight="1" x14ac:dyDescent="0.2">
      <c r="A627" s="449" t="s">
        <v>1533</v>
      </c>
      <c r="B627" s="458" t="s">
        <v>1636</v>
      </c>
      <c r="C627" s="451" t="s">
        <v>1637</v>
      </c>
      <c r="D627" s="452">
        <v>5.4</v>
      </c>
      <c r="E627" s="452">
        <v>6.5</v>
      </c>
      <c r="F627" s="452">
        <v>7.8</v>
      </c>
      <c r="G627" s="452">
        <v>9.4</v>
      </c>
      <c r="H627" s="452">
        <v>8.6999999999999993</v>
      </c>
      <c r="I627" s="452">
        <v>8.1</v>
      </c>
      <c r="J627" s="452">
        <v>6.7</v>
      </c>
      <c r="K627" s="452">
        <v>5.8</v>
      </c>
      <c r="L627" s="452">
        <v>5.8</v>
      </c>
      <c r="M627" s="452">
        <v>6</v>
      </c>
      <c r="N627" s="452">
        <v>5.6</v>
      </c>
      <c r="O627" s="452">
        <v>5.0999999999999996</v>
      </c>
      <c r="P627" s="452">
        <v>6.7</v>
      </c>
      <c r="Q627" s="454">
        <v>3</v>
      </c>
      <c r="R627" s="455">
        <f t="shared" si="9"/>
        <v>6.7416666666666663</v>
      </c>
    </row>
    <row r="628" spans="1:18" ht="13.5" customHeight="1" x14ac:dyDescent="0.2">
      <c r="A628" s="449" t="s">
        <v>1534</v>
      </c>
      <c r="B628" s="458" t="s">
        <v>1636</v>
      </c>
      <c r="C628" s="451" t="s">
        <v>1637</v>
      </c>
      <c r="D628" s="452">
        <v>7.6</v>
      </c>
      <c r="E628" s="452">
        <v>8.6999999999999993</v>
      </c>
      <c r="F628" s="452">
        <v>9.6</v>
      </c>
      <c r="G628" s="452">
        <v>10.5</v>
      </c>
      <c r="H628" s="452">
        <v>10.1</v>
      </c>
      <c r="I628" s="452">
        <v>10.1</v>
      </c>
      <c r="J628" s="452">
        <v>8.5</v>
      </c>
      <c r="K628" s="452">
        <v>7.6</v>
      </c>
      <c r="L628" s="452">
        <v>7.8</v>
      </c>
      <c r="M628" s="452">
        <v>7.8</v>
      </c>
      <c r="N628" s="452">
        <v>7.6</v>
      </c>
      <c r="O628" s="452">
        <v>7.4</v>
      </c>
      <c r="P628" s="452">
        <v>8.6999999999999993</v>
      </c>
      <c r="Q628" s="454">
        <v>3</v>
      </c>
      <c r="R628" s="455">
        <f t="shared" si="9"/>
        <v>8.6083333333333325</v>
      </c>
    </row>
    <row r="629" spans="1:18" ht="13.5" customHeight="1" x14ac:dyDescent="0.2">
      <c r="A629" s="449" t="s">
        <v>1535</v>
      </c>
      <c r="B629" s="458" t="s">
        <v>1636</v>
      </c>
      <c r="C629" s="451" t="s">
        <v>1637</v>
      </c>
      <c r="D629" s="452">
        <v>8.5</v>
      </c>
      <c r="E629" s="452">
        <v>8.9</v>
      </c>
      <c r="F629" s="452">
        <v>9.4</v>
      </c>
      <c r="G629" s="452">
        <v>9.1999999999999993</v>
      </c>
      <c r="H629" s="452">
        <v>7.8</v>
      </c>
      <c r="I629" s="452">
        <v>6.9</v>
      </c>
      <c r="J629" s="452">
        <v>6.7</v>
      </c>
      <c r="K629" s="452">
        <v>5.8</v>
      </c>
      <c r="L629" s="452">
        <v>6.3</v>
      </c>
      <c r="M629" s="452">
        <v>7.2</v>
      </c>
      <c r="N629" s="452">
        <v>7.8</v>
      </c>
      <c r="O629" s="452">
        <v>8.5</v>
      </c>
      <c r="P629" s="452">
        <v>7.8</v>
      </c>
      <c r="Q629" s="454">
        <v>3</v>
      </c>
      <c r="R629" s="455">
        <f t="shared" si="9"/>
        <v>7.75</v>
      </c>
    </row>
    <row r="630" spans="1:18" ht="13.5" customHeight="1" x14ac:dyDescent="0.2">
      <c r="A630" s="449" t="s">
        <v>1536</v>
      </c>
      <c r="B630" s="458" t="s">
        <v>1636</v>
      </c>
      <c r="C630" s="451" t="s">
        <v>1637</v>
      </c>
      <c r="D630" s="452">
        <v>9.8000000000000007</v>
      </c>
      <c r="E630" s="452">
        <v>9.8000000000000007</v>
      </c>
      <c r="F630" s="452">
        <v>9.8000000000000007</v>
      </c>
      <c r="G630" s="452">
        <v>9.6</v>
      </c>
      <c r="H630" s="452">
        <v>8.5</v>
      </c>
      <c r="I630" s="452">
        <v>7.8</v>
      </c>
      <c r="J630" s="452">
        <v>7.4</v>
      </c>
      <c r="K630" s="452">
        <v>6.9</v>
      </c>
      <c r="L630" s="452">
        <v>7.8</v>
      </c>
      <c r="M630" s="452">
        <v>8.5</v>
      </c>
      <c r="N630" s="452">
        <v>8.9</v>
      </c>
      <c r="O630" s="452">
        <v>9.6</v>
      </c>
      <c r="P630" s="452">
        <v>8.6999999999999993</v>
      </c>
      <c r="Q630" s="454">
        <v>3</v>
      </c>
      <c r="R630" s="455">
        <f t="shared" si="9"/>
        <v>8.6999999999999993</v>
      </c>
    </row>
    <row r="631" spans="1:18" ht="13.5" customHeight="1" x14ac:dyDescent="0.2">
      <c r="A631" s="449" t="s">
        <v>1537</v>
      </c>
      <c r="B631" s="458" t="s">
        <v>1636</v>
      </c>
      <c r="C631" s="451" t="s">
        <v>1637</v>
      </c>
      <c r="D631" s="452">
        <v>12.1</v>
      </c>
      <c r="E631" s="452">
        <v>11.6</v>
      </c>
      <c r="F631" s="452">
        <v>10.7</v>
      </c>
      <c r="G631" s="452">
        <v>10.5</v>
      </c>
      <c r="H631" s="452">
        <v>9.8000000000000007</v>
      </c>
      <c r="I631" s="452">
        <v>8.9</v>
      </c>
      <c r="J631" s="452">
        <v>8.9</v>
      </c>
      <c r="K631" s="452">
        <v>8.1</v>
      </c>
      <c r="L631" s="452">
        <v>8.6999999999999993</v>
      </c>
      <c r="M631" s="452">
        <v>9.6</v>
      </c>
      <c r="N631" s="452">
        <v>10.5</v>
      </c>
      <c r="O631" s="452">
        <v>11.4</v>
      </c>
      <c r="P631" s="452">
        <v>10.1</v>
      </c>
      <c r="Q631" s="454">
        <v>3</v>
      </c>
      <c r="R631" s="455">
        <f t="shared" si="9"/>
        <v>10.066666666666666</v>
      </c>
    </row>
    <row r="632" spans="1:18" ht="13.5" customHeight="1" x14ac:dyDescent="0.2">
      <c r="A632" s="449" t="s">
        <v>1538</v>
      </c>
      <c r="B632" s="458" t="s">
        <v>1636</v>
      </c>
      <c r="C632" s="451" t="s">
        <v>1637</v>
      </c>
      <c r="D632" s="452">
        <v>10.1</v>
      </c>
      <c r="E632" s="452">
        <v>10.3</v>
      </c>
      <c r="F632" s="452">
        <v>10.5</v>
      </c>
      <c r="G632" s="452">
        <v>10.1</v>
      </c>
      <c r="H632" s="452">
        <v>8.9</v>
      </c>
      <c r="I632" s="452">
        <v>8.3000000000000007</v>
      </c>
      <c r="J632" s="452">
        <v>7.8</v>
      </c>
      <c r="K632" s="452">
        <v>7.4</v>
      </c>
      <c r="L632" s="452">
        <v>8.1</v>
      </c>
      <c r="M632" s="452">
        <v>8.5</v>
      </c>
      <c r="N632" s="452">
        <v>9.1999999999999993</v>
      </c>
      <c r="O632" s="452">
        <v>9.8000000000000007</v>
      </c>
      <c r="P632" s="452">
        <v>8.9</v>
      </c>
      <c r="Q632" s="454">
        <v>3</v>
      </c>
      <c r="R632" s="455">
        <f t="shared" si="9"/>
        <v>9.0833333333333339</v>
      </c>
    </row>
    <row r="633" spans="1:18" ht="13.5" customHeight="1" x14ac:dyDescent="0.2">
      <c r="A633" s="449" t="s">
        <v>1539</v>
      </c>
      <c r="B633" s="458" t="s">
        <v>1636</v>
      </c>
      <c r="C633" s="451" t="s">
        <v>1637</v>
      </c>
      <c r="D633" s="452">
        <v>8.6999999999999993</v>
      </c>
      <c r="E633" s="452">
        <v>8.5</v>
      </c>
      <c r="F633" s="452">
        <v>8.6999999999999993</v>
      </c>
      <c r="G633" s="452">
        <v>8.9</v>
      </c>
      <c r="H633" s="452">
        <v>7.8</v>
      </c>
      <c r="I633" s="452">
        <v>6.7</v>
      </c>
      <c r="J633" s="452">
        <v>6.5</v>
      </c>
      <c r="K633" s="452">
        <v>5.8</v>
      </c>
      <c r="L633" s="452">
        <v>6.3</v>
      </c>
      <c r="M633" s="452">
        <v>7.6</v>
      </c>
      <c r="N633" s="452">
        <v>8.3000000000000007</v>
      </c>
      <c r="O633" s="452">
        <v>8.5</v>
      </c>
      <c r="P633" s="452">
        <v>7.6</v>
      </c>
      <c r="Q633" s="454">
        <v>3</v>
      </c>
      <c r="R633" s="455">
        <f t="shared" si="9"/>
        <v>7.6916666666666655</v>
      </c>
    </row>
    <row r="634" spans="1:18" ht="13.5" customHeight="1" x14ac:dyDescent="0.2">
      <c r="A634" s="449" t="s">
        <v>1540</v>
      </c>
      <c r="B634" s="458" t="s">
        <v>1636</v>
      </c>
      <c r="C634" s="451" t="s">
        <v>1637</v>
      </c>
      <c r="D634" s="452">
        <v>12.8</v>
      </c>
      <c r="E634" s="452">
        <v>12.8</v>
      </c>
      <c r="F634" s="452">
        <v>12.8</v>
      </c>
      <c r="G634" s="452">
        <v>11.6</v>
      </c>
      <c r="H634" s="452">
        <v>10.7</v>
      </c>
      <c r="I634" s="452">
        <v>10.1</v>
      </c>
      <c r="J634" s="452">
        <v>9.6</v>
      </c>
      <c r="K634" s="452">
        <v>9.4</v>
      </c>
      <c r="L634" s="452">
        <v>10.3</v>
      </c>
      <c r="M634" s="452">
        <v>10.7</v>
      </c>
      <c r="N634" s="452">
        <v>11.6</v>
      </c>
      <c r="O634" s="452">
        <v>12.5</v>
      </c>
      <c r="P634" s="452">
        <v>11.2</v>
      </c>
      <c r="Q634" s="454">
        <v>3</v>
      </c>
      <c r="R634" s="455">
        <f t="shared" si="9"/>
        <v>11.241666666666665</v>
      </c>
    </row>
    <row r="635" spans="1:18" ht="13.5" customHeight="1" x14ac:dyDescent="0.2">
      <c r="A635" s="449" t="s">
        <v>1541</v>
      </c>
      <c r="B635" s="458" t="s">
        <v>1636</v>
      </c>
      <c r="C635" s="451" t="s">
        <v>1637</v>
      </c>
      <c r="D635" s="452">
        <v>12.5</v>
      </c>
      <c r="E635" s="452">
        <v>12.8</v>
      </c>
      <c r="F635" s="452">
        <v>12.8</v>
      </c>
      <c r="G635" s="452">
        <v>11.9</v>
      </c>
      <c r="H635" s="452">
        <v>10.5</v>
      </c>
      <c r="I635" s="452">
        <v>10.1</v>
      </c>
      <c r="J635" s="452">
        <v>9.8000000000000007</v>
      </c>
      <c r="K635" s="452">
        <v>9.4</v>
      </c>
      <c r="L635" s="452">
        <v>9.8000000000000007</v>
      </c>
      <c r="M635" s="452">
        <v>10.7</v>
      </c>
      <c r="N635" s="452">
        <v>11.4</v>
      </c>
      <c r="O635" s="452">
        <v>12.8</v>
      </c>
      <c r="P635" s="452">
        <v>11.2</v>
      </c>
      <c r="Q635" s="454">
        <v>3</v>
      </c>
      <c r="R635" s="455">
        <f t="shared" si="9"/>
        <v>11.208333333333334</v>
      </c>
    </row>
    <row r="636" spans="1:18" ht="13.5" customHeight="1" x14ac:dyDescent="0.2">
      <c r="A636" s="449" t="s">
        <v>1542</v>
      </c>
      <c r="B636" s="458" t="s">
        <v>1636</v>
      </c>
      <c r="C636" s="451" t="s">
        <v>1637</v>
      </c>
      <c r="D636" s="452">
        <v>10.7</v>
      </c>
      <c r="E636" s="452">
        <v>10.5</v>
      </c>
      <c r="F636" s="452">
        <v>10.3</v>
      </c>
      <c r="G636" s="452">
        <v>10.1</v>
      </c>
      <c r="H636" s="452">
        <v>8.9</v>
      </c>
      <c r="I636" s="452">
        <v>8.1</v>
      </c>
      <c r="J636" s="452">
        <v>7.8</v>
      </c>
      <c r="K636" s="452">
        <v>7.2</v>
      </c>
      <c r="L636" s="452">
        <v>7.6</v>
      </c>
      <c r="M636" s="452">
        <v>8.6999999999999993</v>
      </c>
      <c r="N636" s="452">
        <v>9.4</v>
      </c>
      <c r="O636" s="452">
        <v>10.3</v>
      </c>
      <c r="P636" s="452">
        <v>9.1999999999999993</v>
      </c>
      <c r="Q636" s="454">
        <v>3</v>
      </c>
      <c r="R636" s="455">
        <f t="shared" si="9"/>
        <v>9.1333333333333346</v>
      </c>
    </row>
    <row r="637" spans="1:18" ht="13.5" customHeight="1" x14ac:dyDescent="0.2">
      <c r="A637" s="449" t="s">
        <v>1543</v>
      </c>
      <c r="B637" s="458" t="s">
        <v>1636</v>
      </c>
      <c r="C637" s="451" t="s">
        <v>1637</v>
      </c>
      <c r="D637" s="452">
        <v>9.8000000000000007</v>
      </c>
      <c r="E637" s="452">
        <v>9.6</v>
      </c>
      <c r="F637" s="452">
        <v>9.4</v>
      </c>
      <c r="G637" s="452">
        <v>9.1999999999999993</v>
      </c>
      <c r="H637" s="452">
        <v>8.1</v>
      </c>
      <c r="I637" s="452">
        <v>7.2</v>
      </c>
      <c r="J637" s="452">
        <v>7.2</v>
      </c>
      <c r="K637" s="452">
        <v>6.5</v>
      </c>
      <c r="L637" s="452">
        <v>7.2</v>
      </c>
      <c r="M637" s="452">
        <v>7.8</v>
      </c>
      <c r="N637" s="452">
        <v>8.6999999999999993</v>
      </c>
      <c r="O637" s="452">
        <v>9.6</v>
      </c>
      <c r="P637" s="452">
        <v>8.3000000000000007</v>
      </c>
      <c r="Q637" s="454">
        <v>3</v>
      </c>
      <c r="R637" s="455">
        <f t="shared" si="9"/>
        <v>8.3583333333333325</v>
      </c>
    </row>
    <row r="638" spans="1:18" ht="13.5" customHeight="1" x14ac:dyDescent="0.2">
      <c r="A638" s="449" t="s">
        <v>1544</v>
      </c>
      <c r="B638" s="458" t="s">
        <v>1636</v>
      </c>
      <c r="C638" s="451" t="s">
        <v>1637</v>
      </c>
      <c r="D638" s="452">
        <v>8.5</v>
      </c>
      <c r="E638" s="452">
        <v>8.3000000000000007</v>
      </c>
      <c r="F638" s="452">
        <v>8.3000000000000007</v>
      </c>
      <c r="G638" s="452">
        <v>7.6</v>
      </c>
      <c r="H638" s="452">
        <v>6</v>
      </c>
      <c r="I638" s="452">
        <v>4.9000000000000004</v>
      </c>
      <c r="J638" s="452">
        <v>4.7</v>
      </c>
      <c r="K638" s="452">
        <v>4.3</v>
      </c>
      <c r="L638" s="452">
        <v>4.7</v>
      </c>
      <c r="M638" s="452">
        <v>5.6</v>
      </c>
      <c r="N638" s="452">
        <v>6.9</v>
      </c>
      <c r="O638" s="452">
        <v>7.6</v>
      </c>
      <c r="P638" s="452">
        <v>6.5</v>
      </c>
      <c r="Q638" s="454">
        <v>3</v>
      </c>
      <c r="R638" s="455">
        <f t="shared" si="9"/>
        <v>6.45</v>
      </c>
    </row>
    <row r="639" spans="1:18" ht="13.5" customHeight="1" x14ac:dyDescent="0.2">
      <c r="A639" s="449" t="s">
        <v>1545</v>
      </c>
      <c r="B639" s="458" t="s">
        <v>1636</v>
      </c>
      <c r="C639" s="451" t="s">
        <v>1637</v>
      </c>
      <c r="D639" s="452">
        <v>6.5</v>
      </c>
      <c r="E639" s="452">
        <v>6.9</v>
      </c>
      <c r="F639" s="452">
        <v>7.6</v>
      </c>
      <c r="G639" s="452">
        <v>7.4</v>
      </c>
      <c r="H639" s="452">
        <v>6.7</v>
      </c>
      <c r="I639" s="452">
        <v>5.8</v>
      </c>
      <c r="J639" s="452">
        <v>5.6</v>
      </c>
      <c r="K639" s="452">
        <v>5.4</v>
      </c>
      <c r="L639" s="452">
        <v>6</v>
      </c>
      <c r="M639" s="452">
        <v>5.4</v>
      </c>
      <c r="N639" s="452">
        <v>5.8</v>
      </c>
      <c r="O639" s="452">
        <v>6</v>
      </c>
      <c r="P639" s="452">
        <v>6.3</v>
      </c>
      <c r="Q639" s="454">
        <v>3</v>
      </c>
      <c r="R639" s="455">
        <f t="shared" si="9"/>
        <v>6.2583333333333329</v>
      </c>
    </row>
    <row r="640" spans="1:18" ht="13.5" customHeight="1" x14ac:dyDescent="0.2">
      <c r="A640" s="449" t="s">
        <v>1546</v>
      </c>
      <c r="B640" s="458" t="s">
        <v>1636</v>
      </c>
      <c r="C640" s="451" t="s">
        <v>1637</v>
      </c>
      <c r="D640" s="452">
        <v>6.9</v>
      </c>
      <c r="E640" s="452">
        <v>6.9</v>
      </c>
      <c r="F640" s="452">
        <v>7.8</v>
      </c>
      <c r="G640" s="452">
        <v>7.8</v>
      </c>
      <c r="H640" s="452">
        <v>6.9</v>
      </c>
      <c r="I640" s="452">
        <v>6</v>
      </c>
      <c r="J640" s="452">
        <v>6</v>
      </c>
      <c r="K640" s="452">
        <v>5.4</v>
      </c>
      <c r="L640" s="452">
        <v>5.8</v>
      </c>
      <c r="M640" s="452">
        <v>5.0999999999999996</v>
      </c>
      <c r="N640" s="452">
        <v>5.6</v>
      </c>
      <c r="O640" s="452">
        <v>6</v>
      </c>
      <c r="P640" s="452">
        <v>6.5</v>
      </c>
      <c r="Q640" s="454">
        <v>3</v>
      </c>
      <c r="R640" s="455">
        <f t="shared" si="9"/>
        <v>6.3499999999999988</v>
      </c>
    </row>
    <row r="641" spans="1:18" ht="13.5" customHeight="1" x14ac:dyDescent="0.2">
      <c r="A641" s="449" t="s">
        <v>1547</v>
      </c>
      <c r="B641" s="458" t="s">
        <v>1636</v>
      </c>
      <c r="C641" s="451" t="s">
        <v>1637</v>
      </c>
      <c r="D641" s="452">
        <v>8.1</v>
      </c>
      <c r="E641" s="452">
        <v>8.1</v>
      </c>
      <c r="F641" s="452">
        <v>8.6999999999999993</v>
      </c>
      <c r="G641" s="452">
        <v>8.6999999999999993</v>
      </c>
      <c r="H641" s="452">
        <v>7.6</v>
      </c>
      <c r="I641" s="452">
        <v>6.7</v>
      </c>
      <c r="J641" s="452">
        <v>6.3</v>
      </c>
      <c r="K641" s="452">
        <v>5.8</v>
      </c>
      <c r="L641" s="452">
        <v>6.3</v>
      </c>
      <c r="M641" s="452">
        <v>6.3</v>
      </c>
      <c r="N641" s="452">
        <v>6.7</v>
      </c>
      <c r="O641" s="452">
        <v>6.9</v>
      </c>
      <c r="P641" s="452">
        <v>7.2</v>
      </c>
      <c r="Q641" s="454">
        <v>3</v>
      </c>
      <c r="R641" s="455">
        <f t="shared" si="9"/>
        <v>7.1833333333333336</v>
      </c>
    </row>
    <row r="642" spans="1:18" ht="13.5" customHeight="1" x14ac:dyDescent="0.2">
      <c r="A642" s="449" t="s">
        <v>1548</v>
      </c>
      <c r="B642" s="458" t="s">
        <v>1636</v>
      </c>
      <c r="C642" s="451" t="s">
        <v>1637</v>
      </c>
      <c r="D642" s="452">
        <v>8.1</v>
      </c>
      <c r="E642" s="452">
        <v>8.3000000000000007</v>
      </c>
      <c r="F642" s="452">
        <v>8.9</v>
      </c>
      <c r="G642" s="452">
        <v>9.1999999999999993</v>
      </c>
      <c r="H642" s="452">
        <v>8.3000000000000007</v>
      </c>
      <c r="I642" s="452">
        <v>7.4</v>
      </c>
      <c r="J642" s="452">
        <v>6.9</v>
      </c>
      <c r="K642" s="452">
        <v>6.5</v>
      </c>
      <c r="L642" s="452">
        <v>7.2</v>
      </c>
      <c r="M642" s="452">
        <v>6.5</v>
      </c>
      <c r="N642" s="452">
        <v>6.9</v>
      </c>
      <c r="O642" s="452">
        <v>7.4</v>
      </c>
      <c r="P642" s="452">
        <v>7.6</v>
      </c>
      <c r="Q642" s="454">
        <v>3</v>
      </c>
      <c r="R642" s="455">
        <f t="shared" si="9"/>
        <v>7.6333333333333337</v>
      </c>
    </row>
    <row r="643" spans="1:18" ht="13.5" customHeight="1" x14ac:dyDescent="0.2">
      <c r="A643" s="449" t="s">
        <v>1549</v>
      </c>
      <c r="B643" s="458" t="s">
        <v>1636</v>
      </c>
      <c r="C643" s="451" t="s">
        <v>1637</v>
      </c>
      <c r="D643" s="452">
        <v>8.9</v>
      </c>
      <c r="E643" s="452">
        <v>9.1999999999999993</v>
      </c>
      <c r="F643" s="452">
        <v>10.1</v>
      </c>
      <c r="G643" s="452">
        <v>10.7</v>
      </c>
      <c r="H643" s="452">
        <v>10.7</v>
      </c>
      <c r="I643" s="452">
        <v>9.6</v>
      </c>
      <c r="J643" s="452">
        <v>8.6999999999999993</v>
      </c>
      <c r="K643" s="452">
        <v>8.9</v>
      </c>
      <c r="L643" s="452">
        <v>9.1999999999999993</v>
      </c>
      <c r="M643" s="452">
        <v>9.4</v>
      </c>
      <c r="N643" s="452">
        <v>8.9</v>
      </c>
      <c r="O643" s="452">
        <v>9.1999999999999993</v>
      </c>
      <c r="P643" s="452">
        <v>9.4</v>
      </c>
      <c r="Q643" s="454">
        <v>3</v>
      </c>
      <c r="R643" s="455">
        <f t="shared" si="9"/>
        <v>9.4583333333333357</v>
      </c>
    </row>
    <row r="644" spans="1:18" ht="13.5" customHeight="1" x14ac:dyDescent="0.2">
      <c r="A644" s="449" t="s">
        <v>1550</v>
      </c>
      <c r="B644" s="458" t="s">
        <v>1636</v>
      </c>
      <c r="C644" s="451" t="s">
        <v>1637</v>
      </c>
      <c r="D644" s="452">
        <v>11</v>
      </c>
      <c r="E644" s="452">
        <v>11.4</v>
      </c>
      <c r="F644" s="452">
        <v>12.1</v>
      </c>
      <c r="G644" s="452">
        <v>12.3</v>
      </c>
      <c r="H644" s="452">
        <v>12.3</v>
      </c>
      <c r="I644" s="452">
        <v>10.3</v>
      </c>
      <c r="J644" s="452">
        <v>9.1999999999999993</v>
      </c>
      <c r="K644" s="452">
        <v>9.6</v>
      </c>
      <c r="L644" s="452">
        <v>10.5</v>
      </c>
      <c r="M644" s="452">
        <v>11.4</v>
      </c>
      <c r="N644" s="452">
        <v>11.4</v>
      </c>
      <c r="O644" s="452">
        <v>11.2</v>
      </c>
      <c r="P644" s="452">
        <v>11</v>
      </c>
      <c r="Q644" s="454">
        <v>3</v>
      </c>
      <c r="R644" s="455">
        <f t="shared" ref="R644:R707" si="10">AVERAGE(D644:O644)</f>
        <v>11.058333333333332</v>
      </c>
    </row>
    <row r="645" spans="1:18" ht="13.5" customHeight="1" x14ac:dyDescent="0.2">
      <c r="A645" s="449" t="s">
        <v>1551</v>
      </c>
      <c r="B645" s="458" t="s">
        <v>1636</v>
      </c>
      <c r="C645" s="451" t="s">
        <v>1637</v>
      </c>
      <c r="D645" s="452">
        <v>12.1</v>
      </c>
      <c r="E645" s="452">
        <v>11.6</v>
      </c>
      <c r="F645" s="452">
        <v>11.6</v>
      </c>
      <c r="G645" s="452">
        <v>11.4</v>
      </c>
      <c r="H645" s="452">
        <v>11.9</v>
      </c>
      <c r="I645" s="453">
        <v>10.5</v>
      </c>
      <c r="J645" s="452">
        <v>9.6</v>
      </c>
      <c r="K645" s="452">
        <v>9.8000000000000007</v>
      </c>
      <c r="L645" s="452">
        <v>10.5</v>
      </c>
      <c r="M645" s="452">
        <v>11.6</v>
      </c>
      <c r="N645" s="452">
        <v>11.9</v>
      </c>
      <c r="O645" s="452">
        <v>12.1</v>
      </c>
      <c r="P645" s="452">
        <v>11.2</v>
      </c>
      <c r="Q645" s="454">
        <v>3</v>
      </c>
      <c r="R645" s="455">
        <f t="shared" si="10"/>
        <v>11.216666666666667</v>
      </c>
    </row>
    <row r="646" spans="1:18" ht="13.5" customHeight="1" x14ac:dyDescent="0.2">
      <c r="A646" s="449" t="s">
        <v>1552</v>
      </c>
      <c r="B646" s="458" t="s">
        <v>1636</v>
      </c>
      <c r="C646" s="451" t="s">
        <v>1637</v>
      </c>
      <c r="D646" s="452">
        <v>8.3000000000000007</v>
      </c>
      <c r="E646" s="452">
        <v>8.5</v>
      </c>
      <c r="F646" s="452">
        <v>9.1999999999999993</v>
      </c>
      <c r="G646" s="452">
        <v>10.1</v>
      </c>
      <c r="H646" s="452">
        <v>10.3</v>
      </c>
      <c r="I646" s="456">
        <v>9.4</v>
      </c>
      <c r="J646" s="452">
        <v>8.3000000000000007</v>
      </c>
      <c r="K646" s="452">
        <v>8.6999999999999993</v>
      </c>
      <c r="L646" s="452">
        <v>8.6999999999999993</v>
      </c>
      <c r="M646" s="452">
        <v>8.9</v>
      </c>
      <c r="N646" s="452">
        <v>8.5</v>
      </c>
      <c r="O646" s="452">
        <v>8.5</v>
      </c>
      <c r="P646" s="452">
        <v>8.9</v>
      </c>
      <c r="Q646" s="454">
        <v>3</v>
      </c>
      <c r="R646" s="455">
        <f t="shared" si="10"/>
        <v>8.9500000000000011</v>
      </c>
    </row>
    <row r="647" spans="1:18" ht="13.5" customHeight="1" x14ac:dyDescent="0.2">
      <c r="A647" s="449" t="s">
        <v>1553</v>
      </c>
      <c r="B647" s="458" t="s">
        <v>1636</v>
      </c>
      <c r="C647" s="451" t="s">
        <v>1637</v>
      </c>
      <c r="D647" s="452">
        <v>10.7</v>
      </c>
      <c r="E647" s="452">
        <v>10.5</v>
      </c>
      <c r="F647" s="452">
        <v>10.3</v>
      </c>
      <c r="G647" s="452">
        <v>10.1</v>
      </c>
      <c r="H647" s="452">
        <v>8.6999999999999993</v>
      </c>
      <c r="I647" s="456">
        <v>7.6</v>
      </c>
      <c r="J647" s="452">
        <v>7.4</v>
      </c>
      <c r="K647" s="452">
        <v>6.7</v>
      </c>
      <c r="L647" s="452">
        <v>7.4</v>
      </c>
      <c r="M647" s="452">
        <v>8.5</v>
      </c>
      <c r="N647" s="452">
        <v>9.6</v>
      </c>
      <c r="O647" s="452">
        <v>10.3</v>
      </c>
      <c r="P647" s="452">
        <v>8.9</v>
      </c>
      <c r="Q647" s="454">
        <v>3</v>
      </c>
      <c r="R647" s="455">
        <f t="shared" si="10"/>
        <v>8.9833333333333325</v>
      </c>
    </row>
    <row r="648" spans="1:18" ht="13.5" customHeight="1" x14ac:dyDescent="0.2">
      <c r="A648" s="449" t="s">
        <v>1554</v>
      </c>
      <c r="B648" s="458" t="s">
        <v>1636</v>
      </c>
      <c r="C648" s="451" t="s">
        <v>1637</v>
      </c>
      <c r="D648" s="452">
        <v>11.2</v>
      </c>
      <c r="E648" s="452">
        <v>10.5</v>
      </c>
      <c r="F648" s="452">
        <v>10.5</v>
      </c>
      <c r="G648" s="452">
        <v>10.3</v>
      </c>
      <c r="H648" s="452">
        <v>9.1999999999999993</v>
      </c>
      <c r="I648" s="456">
        <v>8.3000000000000007</v>
      </c>
      <c r="J648" s="452">
        <v>8.1</v>
      </c>
      <c r="K648" s="452">
        <v>7.6</v>
      </c>
      <c r="L648" s="452">
        <v>8.3000000000000007</v>
      </c>
      <c r="M648" s="452">
        <v>9.4</v>
      </c>
      <c r="N648" s="452">
        <v>10.5</v>
      </c>
      <c r="O648" s="452">
        <v>11</v>
      </c>
      <c r="P648" s="452">
        <v>9.6</v>
      </c>
      <c r="Q648" s="454">
        <v>3</v>
      </c>
      <c r="R648" s="455">
        <f t="shared" si="10"/>
        <v>9.5749999999999993</v>
      </c>
    </row>
    <row r="649" spans="1:18" ht="13.5" customHeight="1" x14ac:dyDescent="0.2">
      <c r="A649" s="449" t="s">
        <v>1555</v>
      </c>
      <c r="B649" s="458" t="s">
        <v>1636</v>
      </c>
      <c r="C649" s="451" t="s">
        <v>1637</v>
      </c>
      <c r="D649" s="452">
        <v>9.1999999999999993</v>
      </c>
      <c r="E649" s="452">
        <v>8.9</v>
      </c>
      <c r="F649" s="452">
        <v>8.9</v>
      </c>
      <c r="G649" s="452">
        <v>8.9</v>
      </c>
      <c r="H649" s="452">
        <v>7.6</v>
      </c>
      <c r="I649" s="456">
        <v>6.7</v>
      </c>
      <c r="J649" s="452">
        <v>6.3</v>
      </c>
      <c r="K649" s="452">
        <v>5.8</v>
      </c>
      <c r="L649" s="452">
        <v>6</v>
      </c>
      <c r="M649" s="452">
        <v>6.9</v>
      </c>
      <c r="N649" s="452">
        <v>8.1</v>
      </c>
      <c r="O649" s="452">
        <v>8.6999999999999993</v>
      </c>
      <c r="P649" s="452">
        <v>7.6</v>
      </c>
      <c r="Q649" s="454">
        <v>3</v>
      </c>
      <c r="R649" s="455">
        <f t="shared" si="10"/>
        <v>7.666666666666667</v>
      </c>
    </row>
    <row r="650" spans="1:18" ht="13.5" customHeight="1" x14ac:dyDescent="0.2">
      <c r="A650" s="449" t="s">
        <v>1556</v>
      </c>
      <c r="B650" s="458" t="s">
        <v>1636</v>
      </c>
      <c r="C650" s="451" t="s">
        <v>1637</v>
      </c>
      <c r="D650" s="452">
        <v>11.4</v>
      </c>
      <c r="E650" s="452">
        <v>11</v>
      </c>
      <c r="F650" s="452">
        <v>11</v>
      </c>
      <c r="G650" s="452">
        <v>11</v>
      </c>
      <c r="H650" s="452">
        <v>9.4</v>
      </c>
      <c r="I650" s="456">
        <v>8.3000000000000007</v>
      </c>
      <c r="J650" s="452">
        <v>7.8</v>
      </c>
      <c r="K650" s="452">
        <v>7.2</v>
      </c>
      <c r="L650" s="452">
        <v>7.8</v>
      </c>
      <c r="M650" s="452">
        <v>9.1999999999999993</v>
      </c>
      <c r="N650" s="452">
        <v>10.3</v>
      </c>
      <c r="O650" s="452">
        <v>10.7</v>
      </c>
      <c r="P650" s="452">
        <v>9.6</v>
      </c>
      <c r="Q650" s="454">
        <v>3</v>
      </c>
      <c r="R650" s="455">
        <f t="shared" si="10"/>
        <v>9.5916666666666668</v>
      </c>
    </row>
    <row r="651" spans="1:18" ht="13.5" customHeight="1" x14ac:dyDescent="0.2">
      <c r="A651" s="449" t="s">
        <v>1557</v>
      </c>
      <c r="B651" s="458" t="s">
        <v>1636</v>
      </c>
      <c r="C651" s="451" t="s">
        <v>1637</v>
      </c>
      <c r="D651" s="452">
        <v>11.2</v>
      </c>
      <c r="E651" s="452">
        <v>10.7</v>
      </c>
      <c r="F651" s="452">
        <v>10.5</v>
      </c>
      <c r="G651" s="452">
        <v>10.7</v>
      </c>
      <c r="H651" s="452">
        <v>9.1999999999999993</v>
      </c>
      <c r="I651" s="456">
        <v>7.8</v>
      </c>
      <c r="J651" s="452">
        <v>7.4</v>
      </c>
      <c r="K651" s="452">
        <v>6.7</v>
      </c>
      <c r="L651" s="452">
        <v>7.4</v>
      </c>
      <c r="M651" s="452">
        <v>8.9</v>
      </c>
      <c r="N651" s="452">
        <v>10.3</v>
      </c>
      <c r="O651" s="452">
        <v>10.7</v>
      </c>
      <c r="P651" s="452">
        <v>9.4</v>
      </c>
      <c r="Q651" s="454">
        <v>3</v>
      </c>
      <c r="R651" s="455">
        <f t="shared" si="10"/>
        <v>9.2916666666666679</v>
      </c>
    </row>
    <row r="652" spans="1:18" ht="13.5" customHeight="1" x14ac:dyDescent="0.2">
      <c r="A652" s="449" t="s">
        <v>1558</v>
      </c>
      <c r="B652" s="458" t="s">
        <v>1636</v>
      </c>
      <c r="C652" s="451" t="s">
        <v>1637</v>
      </c>
      <c r="D652" s="452">
        <v>10.5</v>
      </c>
      <c r="E652" s="452">
        <v>9.8000000000000007</v>
      </c>
      <c r="F652" s="452">
        <v>9.8000000000000007</v>
      </c>
      <c r="G652" s="452">
        <v>10.3</v>
      </c>
      <c r="H652" s="452">
        <v>8.6999999999999993</v>
      </c>
      <c r="I652" s="452">
        <v>7.2</v>
      </c>
      <c r="J652" s="452">
        <v>6.9</v>
      </c>
      <c r="K652" s="452">
        <v>6.3</v>
      </c>
      <c r="L652" s="452">
        <v>6.7</v>
      </c>
      <c r="M652" s="452">
        <v>8.3000000000000007</v>
      </c>
      <c r="N652" s="452">
        <v>9.4</v>
      </c>
      <c r="O652" s="452">
        <v>9.6</v>
      </c>
      <c r="P652" s="452">
        <v>8.6999999999999993</v>
      </c>
      <c r="Q652" s="454">
        <v>3</v>
      </c>
      <c r="R652" s="455">
        <f t="shared" si="10"/>
        <v>8.6250000000000018</v>
      </c>
    </row>
    <row r="653" spans="1:18" ht="13.5" customHeight="1" x14ac:dyDescent="0.2">
      <c r="A653" s="449" t="s">
        <v>1559</v>
      </c>
      <c r="B653" s="458" t="s">
        <v>1636</v>
      </c>
      <c r="C653" s="451" t="s">
        <v>1637</v>
      </c>
      <c r="D653" s="452">
        <v>10.1</v>
      </c>
      <c r="E653" s="452">
        <v>9.6</v>
      </c>
      <c r="F653" s="452">
        <v>9.6</v>
      </c>
      <c r="G653" s="452">
        <v>9.6</v>
      </c>
      <c r="H653" s="452">
        <v>8.3000000000000007</v>
      </c>
      <c r="I653" s="452">
        <v>7.2</v>
      </c>
      <c r="J653" s="452">
        <v>6.9</v>
      </c>
      <c r="K653" s="452">
        <v>6.5</v>
      </c>
      <c r="L653" s="452">
        <v>7.2</v>
      </c>
      <c r="M653" s="452">
        <v>8.1</v>
      </c>
      <c r="N653" s="452">
        <v>9.1999999999999993</v>
      </c>
      <c r="O653" s="452">
        <v>9.6</v>
      </c>
      <c r="P653" s="452">
        <v>8.5</v>
      </c>
      <c r="Q653" s="454">
        <v>3</v>
      </c>
      <c r="R653" s="455">
        <f t="shared" si="10"/>
        <v>8.4916666666666671</v>
      </c>
    </row>
    <row r="654" spans="1:18" ht="13.5" customHeight="1" x14ac:dyDescent="0.2">
      <c r="A654" s="449" t="s">
        <v>1560</v>
      </c>
      <c r="B654" s="458" t="s">
        <v>1636</v>
      </c>
      <c r="C654" s="451" t="s">
        <v>1637</v>
      </c>
      <c r="D654" s="452">
        <v>11.4</v>
      </c>
      <c r="E654" s="452">
        <v>11.9</v>
      </c>
      <c r="F654" s="452">
        <v>13.4</v>
      </c>
      <c r="G654" s="452">
        <v>13.4</v>
      </c>
      <c r="H654" s="452">
        <v>11.4</v>
      </c>
      <c r="I654" s="452">
        <v>10.7</v>
      </c>
      <c r="J654" s="452">
        <v>9.8000000000000007</v>
      </c>
      <c r="K654" s="452">
        <v>9.1999999999999993</v>
      </c>
      <c r="L654" s="452">
        <v>9.6</v>
      </c>
      <c r="M654" s="452">
        <v>11</v>
      </c>
      <c r="N654" s="452">
        <v>11.6</v>
      </c>
      <c r="O654" s="452">
        <v>11.4</v>
      </c>
      <c r="P654" s="452">
        <v>11.2</v>
      </c>
      <c r="Q654" s="454">
        <v>3</v>
      </c>
      <c r="R654" s="455">
        <f t="shared" si="10"/>
        <v>11.233333333333333</v>
      </c>
    </row>
    <row r="655" spans="1:18" ht="13.5" customHeight="1" x14ac:dyDescent="0.2">
      <c r="A655" s="449" t="s">
        <v>1561</v>
      </c>
      <c r="B655" s="458" t="s">
        <v>1636</v>
      </c>
      <c r="C655" s="451" t="s">
        <v>1637</v>
      </c>
      <c r="D655" s="452">
        <v>9.1999999999999993</v>
      </c>
      <c r="E655" s="452">
        <v>9.4</v>
      </c>
      <c r="F655" s="452">
        <v>10.7</v>
      </c>
      <c r="G655" s="452">
        <v>11.2</v>
      </c>
      <c r="H655" s="452">
        <v>9.6</v>
      </c>
      <c r="I655" s="452">
        <v>9.1999999999999993</v>
      </c>
      <c r="J655" s="452">
        <v>8.6999999999999993</v>
      </c>
      <c r="K655" s="452">
        <v>7.6</v>
      </c>
      <c r="L655" s="452">
        <v>7.8</v>
      </c>
      <c r="M655" s="452">
        <v>8.6999999999999993</v>
      </c>
      <c r="N655" s="452">
        <v>9.4</v>
      </c>
      <c r="O655" s="452">
        <v>9.1999999999999993</v>
      </c>
      <c r="P655" s="452">
        <v>9.1999999999999993</v>
      </c>
      <c r="Q655" s="454">
        <v>3</v>
      </c>
      <c r="R655" s="455">
        <f t="shared" si="10"/>
        <v>9.2249999999999996</v>
      </c>
    </row>
    <row r="656" spans="1:18" ht="13.5" customHeight="1" x14ac:dyDescent="0.2">
      <c r="A656" s="449" t="s">
        <v>1562</v>
      </c>
      <c r="B656" s="458" t="s">
        <v>1636</v>
      </c>
      <c r="C656" s="451" t="s">
        <v>1637</v>
      </c>
      <c r="D656" s="452">
        <v>8.5</v>
      </c>
      <c r="E656" s="452">
        <v>7.8</v>
      </c>
      <c r="F656" s="452">
        <v>7.8</v>
      </c>
      <c r="G656" s="452">
        <v>7.8</v>
      </c>
      <c r="H656" s="452">
        <v>7.6</v>
      </c>
      <c r="I656" s="452">
        <v>7.8</v>
      </c>
      <c r="J656" s="452">
        <v>8.1</v>
      </c>
      <c r="K656" s="452">
        <v>7.2</v>
      </c>
      <c r="L656" s="452">
        <v>6.7</v>
      </c>
      <c r="M656" s="452">
        <v>6.7</v>
      </c>
      <c r="N656" s="452">
        <v>7.8</v>
      </c>
      <c r="O656" s="452">
        <v>8.6999999999999993</v>
      </c>
      <c r="P656" s="452">
        <v>7.6</v>
      </c>
      <c r="Q656" s="454">
        <v>3</v>
      </c>
      <c r="R656" s="455">
        <f t="shared" si="10"/>
        <v>7.708333333333333</v>
      </c>
    </row>
    <row r="657" spans="1:18" ht="13.5" customHeight="1" x14ac:dyDescent="0.2">
      <c r="A657" s="449" t="s">
        <v>1563</v>
      </c>
      <c r="B657" s="458" t="s">
        <v>1636</v>
      </c>
      <c r="C657" s="451" t="s">
        <v>1637</v>
      </c>
      <c r="D657" s="452">
        <v>5.0999999999999996</v>
      </c>
      <c r="E657" s="452">
        <v>5.6</v>
      </c>
      <c r="F657" s="452">
        <v>6.9</v>
      </c>
      <c r="G657" s="452">
        <v>7.8</v>
      </c>
      <c r="H657" s="452">
        <v>7.6</v>
      </c>
      <c r="I657" s="452">
        <v>7.2</v>
      </c>
      <c r="J657" s="452">
        <v>6.7</v>
      </c>
      <c r="K657" s="452">
        <v>6.5</v>
      </c>
      <c r="L657" s="452">
        <v>6</v>
      </c>
      <c r="M657" s="452">
        <v>5.8</v>
      </c>
      <c r="N657" s="452">
        <v>5.4</v>
      </c>
      <c r="O657" s="452">
        <v>5.0999999999999996</v>
      </c>
      <c r="P657" s="452">
        <v>6.3</v>
      </c>
      <c r="Q657" s="454">
        <v>3</v>
      </c>
      <c r="R657" s="455">
        <f t="shared" si="10"/>
        <v>6.3083333333333336</v>
      </c>
    </row>
    <row r="658" spans="1:18" ht="13.5" customHeight="1" x14ac:dyDescent="0.2">
      <c r="A658" s="449" t="s">
        <v>1564</v>
      </c>
      <c r="B658" s="458" t="s">
        <v>1636</v>
      </c>
      <c r="C658" s="451" t="s">
        <v>1637</v>
      </c>
      <c r="D658" s="452">
        <v>6.9</v>
      </c>
      <c r="E658" s="452">
        <v>6.9</v>
      </c>
      <c r="F658" s="456">
        <v>7.2</v>
      </c>
      <c r="G658" s="452">
        <v>6.9</v>
      </c>
      <c r="H658" s="452">
        <v>6.5</v>
      </c>
      <c r="I658" s="456">
        <v>6.9</v>
      </c>
      <c r="J658" s="452">
        <v>7.4</v>
      </c>
      <c r="K658" s="452">
        <v>7.2</v>
      </c>
      <c r="L658" s="452">
        <v>6.7</v>
      </c>
      <c r="M658" s="452">
        <v>6.5</v>
      </c>
      <c r="N658" s="452">
        <v>6.7</v>
      </c>
      <c r="O658" s="452">
        <v>7.2</v>
      </c>
      <c r="P658" s="452">
        <v>6.9</v>
      </c>
      <c r="Q658" s="454">
        <v>3</v>
      </c>
      <c r="R658" s="455">
        <f t="shared" si="10"/>
        <v>6.916666666666667</v>
      </c>
    </row>
    <row r="659" spans="1:18" ht="13.5" customHeight="1" x14ac:dyDescent="0.2">
      <c r="A659" s="449" t="s">
        <v>1565</v>
      </c>
      <c r="B659" s="458" t="s">
        <v>1636</v>
      </c>
      <c r="C659" s="451" t="s">
        <v>1637</v>
      </c>
      <c r="D659" s="452">
        <v>3.4</v>
      </c>
      <c r="E659" s="452">
        <v>4</v>
      </c>
      <c r="F659" s="456">
        <v>4.5</v>
      </c>
      <c r="G659" s="452">
        <v>4.7</v>
      </c>
      <c r="H659" s="452">
        <v>5.0999999999999996</v>
      </c>
      <c r="I659" s="456">
        <v>5.4</v>
      </c>
      <c r="J659" s="452">
        <v>5.0999999999999996</v>
      </c>
      <c r="K659" s="452">
        <v>4.7</v>
      </c>
      <c r="L659" s="452">
        <v>3.6</v>
      </c>
      <c r="M659" s="452">
        <v>3.1</v>
      </c>
      <c r="N659" s="452">
        <v>2.9</v>
      </c>
      <c r="O659" s="452">
        <v>3.4</v>
      </c>
      <c r="P659" s="452">
        <v>4</v>
      </c>
      <c r="Q659" s="454">
        <v>3</v>
      </c>
      <c r="R659" s="455">
        <f t="shared" si="10"/>
        <v>4.1583333333333341</v>
      </c>
    </row>
    <row r="660" spans="1:18" ht="13.5" customHeight="1" x14ac:dyDescent="0.2">
      <c r="A660" s="449" t="s">
        <v>1566</v>
      </c>
      <c r="B660" s="458" t="s">
        <v>1636</v>
      </c>
      <c r="C660" s="451" t="s">
        <v>1637</v>
      </c>
      <c r="D660" s="452">
        <v>7.2</v>
      </c>
      <c r="E660" s="452">
        <v>7.2</v>
      </c>
      <c r="F660" s="456">
        <v>8.9</v>
      </c>
      <c r="G660" s="452">
        <v>9.4</v>
      </c>
      <c r="H660" s="452">
        <v>9.1999999999999993</v>
      </c>
      <c r="I660" s="456">
        <v>9.1999999999999993</v>
      </c>
      <c r="J660" s="452">
        <v>8.6999999999999993</v>
      </c>
      <c r="K660" s="452">
        <v>8.5</v>
      </c>
      <c r="L660" s="452">
        <v>8.1</v>
      </c>
      <c r="M660" s="452">
        <v>7.6</v>
      </c>
      <c r="N660" s="452">
        <v>7.4</v>
      </c>
      <c r="O660" s="452">
        <v>7.2</v>
      </c>
      <c r="P660" s="452">
        <v>8.3000000000000007</v>
      </c>
      <c r="Q660" s="454">
        <v>3</v>
      </c>
      <c r="R660" s="455">
        <f t="shared" si="10"/>
        <v>8.2166666666666668</v>
      </c>
    </row>
    <row r="661" spans="1:18" ht="13.5" customHeight="1" x14ac:dyDescent="0.2">
      <c r="A661" s="449" t="s">
        <v>1567</v>
      </c>
      <c r="B661" s="458" t="s">
        <v>1636</v>
      </c>
      <c r="C661" s="451" t="s">
        <v>1637</v>
      </c>
      <c r="D661" s="452">
        <v>7.2</v>
      </c>
      <c r="E661" s="452">
        <v>6.7</v>
      </c>
      <c r="F661" s="456">
        <v>7.2</v>
      </c>
      <c r="G661" s="452">
        <v>6.7</v>
      </c>
      <c r="H661" s="452">
        <v>6.3</v>
      </c>
      <c r="I661" s="456">
        <v>6.5</v>
      </c>
      <c r="J661" s="452">
        <v>6.3</v>
      </c>
      <c r="K661" s="452">
        <v>5.8</v>
      </c>
      <c r="L661" s="452">
        <v>5.4</v>
      </c>
      <c r="M661" s="452">
        <v>5.6</v>
      </c>
      <c r="N661" s="452">
        <v>6.9</v>
      </c>
      <c r="O661" s="452">
        <v>7.4</v>
      </c>
      <c r="P661" s="452">
        <v>6.5</v>
      </c>
      <c r="Q661" s="454">
        <v>3</v>
      </c>
      <c r="R661" s="455">
        <f t="shared" si="10"/>
        <v>6.5</v>
      </c>
    </row>
    <row r="662" spans="1:18" ht="13.5" customHeight="1" x14ac:dyDescent="0.2">
      <c r="A662" s="449" t="s">
        <v>1568</v>
      </c>
      <c r="B662" s="458" t="s">
        <v>1636</v>
      </c>
      <c r="C662" s="451" t="s">
        <v>1637</v>
      </c>
      <c r="D662" s="452">
        <v>8.3000000000000007</v>
      </c>
      <c r="E662" s="452">
        <v>8.6999999999999993</v>
      </c>
      <c r="F662" s="456">
        <v>8.9</v>
      </c>
      <c r="G662" s="452">
        <v>8.6999999999999993</v>
      </c>
      <c r="H662" s="452">
        <v>7.4</v>
      </c>
      <c r="I662" s="456">
        <v>6.7</v>
      </c>
      <c r="J662" s="452">
        <v>6.3</v>
      </c>
      <c r="K662" s="452">
        <v>5.6</v>
      </c>
      <c r="L662" s="452">
        <v>6.3</v>
      </c>
      <c r="M662" s="452">
        <v>6.5</v>
      </c>
      <c r="N662" s="452">
        <v>6.9</v>
      </c>
      <c r="O662" s="452">
        <v>7.8</v>
      </c>
      <c r="P662" s="452">
        <v>7.4</v>
      </c>
      <c r="Q662" s="454">
        <v>3</v>
      </c>
      <c r="R662" s="455">
        <f t="shared" si="10"/>
        <v>7.3416666666666659</v>
      </c>
    </row>
    <row r="663" spans="1:18" ht="13.5" customHeight="1" x14ac:dyDescent="0.2">
      <c r="A663" s="449" t="s">
        <v>1569</v>
      </c>
      <c r="B663" s="458" t="s">
        <v>1636</v>
      </c>
      <c r="C663" s="451" t="s">
        <v>1637</v>
      </c>
      <c r="D663" s="452">
        <v>8.9</v>
      </c>
      <c r="E663" s="452">
        <v>8.6999999999999993</v>
      </c>
      <c r="F663" s="456">
        <v>8.5</v>
      </c>
      <c r="G663" s="452">
        <v>8.3000000000000007</v>
      </c>
      <c r="H663" s="452">
        <v>6.9</v>
      </c>
      <c r="I663" s="456">
        <v>5.8</v>
      </c>
      <c r="J663" s="452">
        <v>5.4</v>
      </c>
      <c r="K663" s="452">
        <v>5.0999999999999996</v>
      </c>
      <c r="L663" s="452">
        <v>5.8</v>
      </c>
      <c r="M663" s="452">
        <v>6.7</v>
      </c>
      <c r="N663" s="452">
        <v>7.6</v>
      </c>
      <c r="O663" s="452">
        <v>8.3000000000000007</v>
      </c>
      <c r="P663" s="452">
        <v>7.2</v>
      </c>
      <c r="Q663" s="454">
        <v>3</v>
      </c>
      <c r="R663" s="455">
        <f t="shared" si="10"/>
        <v>7.1666666666666652</v>
      </c>
    </row>
    <row r="664" spans="1:18" ht="13.5" customHeight="1" x14ac:dyDescent="0.2">
      <c r="A664" s="449" t="s">
        <v>1570</v>
      </c>
      <c r="B664" s="458" t="s">
        <v>1636</v>
      </c>
      <c r="C664" s="451" t="s">
        <v>1637</v>
      </c>
      <c r="D664" s="452">
        <v>11.9</v>
      </c>
      <c r="E664" s="452">
        <v>10.7</v>
      </c>
      <c r="F664" s="453">
        <v>10.5</v>
      </c>
      <c r="G664" s="452">
        <v>10.1</v>
      </c>
      <c r="H664" s="452">
        <v>9.1999999999999993</v>
      </c>
      <c r="I664" s="456">
        <v>8.3000000000000007</v>
      </c>
      <c r="J664" s="452">
        <v>8.1</v>
      </c>
      <c r="K664" s="452">
        <v>7.8</v>
      </c>
      <c r="L664" s="452">
        <v>8.9</v>
      </c>
      <c r="M664" s="452">
        <v>9.8000000000000007</v>
      </c>
      <c r="N664" s="452">
        <v>11.2</v>
      </c>
      <c r="O664" s="452">
        <v>11.6</v>
      </c>
      <c r="P664" s="452">
        <v>9.8000000000000007</v>
      </c>
      <c r="Q664" s="454">
        <v>3</v>
      </c>
      <c r="R664" s="455">
        <f t="shared" si="10"/>
        <v>9.8416666666666668</v>
      </c>
    </row>
    <row r="665" spans="1:18" ht="13.5" customHeight="1" x14ac:dyDescent="0.2">
      <c r="A665" s="449" t="s">
        <v>1571</v>
      </c>
      <c r="B665" s="458" t="s">
        <v>1636</v>
      </c>
      <c r="C665" s="451" t="s">
        <v>1637</v>
      </c>
      <c r="D665" s="452">
        <v>8.9</v>
      </c>
      <c r="E665" s="452">
        <v>9.1999999999999993</v>
      </c>
      <c r="F665" s="452">
        <v>9.8000000000000007</v>
      </c>
      <c r="G665" s="452">
        <v>9.1999999999999993</v>
      </c>
      <c r="H665" s="452">
        <v>7.6</v>
      </c>
      <c r="I665" s="456">
        <v>6.7</v>
      </c>
      <c r="J665" s="452">
        <v>6.3</v>
      </c>
      <c r="K665" s="452">
        <v>5.8</v>
      </c>
      <c r="L665" s="452">
        <v>6.3</v>
      </c>
      <c r="M665" s="452">
        <v>6.5</v>
      </c>
      <c r="N665" s="452">
        <v>7.8</v>
      </c>
      <c r="O665" s="452">
        <v>8.5</v>
      </c>
      <c r="P665" s="452">
        <v>7.6</v>
      </c>
      <c r="Q665" s="454">
        <v>3</v>
      </c>
      <c r="R665" s="455">
        <f t="shared" si="10"/>
        <v>7.7166666666666659</v>
      </c>
    </row>
    <row r="666" spans="1:18" ht="13.5" customHeight="1" x14ac:dyDescent="0.2">
      <c r="A666" s="449" t="s">
        <v>1572</v>
      </c>
      <c r="B666" s="458" t="s">
        <v>1636</v>
      </c>
      <c r="C666" s="451" t="s">
        <v>1637</v>
      </c>
      <c r="D666" s="452">
        <v>10.3</v>
      </c>
      <c r="E666" s="452">
        <v>10.5</v>
      </c>
      <c r="F666" s="452">
        <v>11</v>
      </c>
      <c r="G666" s="452">
        <v>10.3</v>
      </c>
      <c r="H666" s="452">
        <v>8.9</v>
      </c>
      <c r="I666" s="456">
        <v>8.6999999999999993</v>
      </c>
      <c r="J666" s="452">
        <v>8.5</v>
      </c>
      <c r="K666" s="452">
        <v>8.1</v>
      </c>
      <c r="L666" s="452">
        <v>8.5</v>
      </c>
      <c r="M666" s="452">
        <v>8.6999999999999993</v>
      </c>
      <c r="N666" s="452">
        <v>9.1999999999999993</v>
      </c>
      <c r="O666" s="452">
        <v>10.1</v>
      </c>
      <c r="P666" s="452">
        <v>9.4</v>
      </c>
      <c r="Q666" s="454">
        <v>3</v>
      </c>
      <c r="R666" s="455">
        <f t="shared" si="10"/>
        <v>9.4</v>
      </c>
    </row>
    <row r="667" spans="1:18" ht="13.5" customHeight="1" x14ac:dyDescent="0.2">
      <c r="A667" s="449" t="s">
        <v>1573</v>
      </c>
      <c r="B667" s="458" t="s">
        <v>1636</v>
      </c>
      <c r="C667" s="451" t="s">
        <v>1637</v>
      </c>
      <c r="D667" s="452">
        <v>9.4</v>
      </c>
      <c r="E667" s="452">
        <v>9.1999999999999993</v>
      </c>
      <c r="F667" s="452">
        <v>9.4</v>
      </c>
      <c r="G667" s="452">
        <v>9.1999999999999993</v>
      </c>
      <c r="H667" s="452">
        <v>7.6</v>
      </c>
      <c r="I667" s="456">
        <v>6.9</v>
      </c>
      <c r="J667" s="452">
        <v>6.5</v>
      </c>
      <c r="K667" s="452">
        <v>6</v>
      </c>
      <c r="L667" s="452">
        <v>6.3</v>
      </c>
      <c r="M667" s="452">
        <v>6.9</v>
      </c>
      <c r="N667" s="452">
        <v>8.1</v>
      </c>
      <c r="O667" s="452">
        <v>8.6999999999999993</v>
      </c>
      <c r="P667" s="452">
        <v>7.8</v>
      </c>
      <c r="Q667" s="454">
        <v>3</v>
      </c>
      <c r="R667" s="455">
        <f t="shared" si="10"/>
        <v>7.8500000000000005</v>
      </c>
    </row>
    <row r="668" spans="1:18" ht="13.5" customHeight="1" x14ac:dyDescent="0.2">
      <c r="A668" s="449" t="s">
        <v>1574</v>
      </c>
      <c r="B668" s="458" t="s">
        <v>1636</v>
      </c>
      <c r="C668" s="451" t="s">
        <v>1637</v>
      </c>
      <c r="D668" s="452">
        <v>7.6</v>
      </c>
      <c r="E668" s="452">
        <v>8.1</v>
      </c>
      <c r="F668" s="452">
        <v>8.1</v>
      </c>
      <c r="G668" s="452">
        <v>7.8</v>
      </c>
      <c r="H668" s="452">
        <v>6.9</v>
      </c>
      <c r="I668" s="456">
        <v>6</v>
      </c>
      <c r="J668" s="452">
        <v>6</v>
      </c>
      <c r="K668" s="452">
        <v>5.6</v>
      </c>
      <c r="L668" s="452">
        <v>6</v>
      </c>
      <c r="M668" s="452">
        <v>6.3</v>
      </c>
      <c r="N668" s="452">
        <v>6.9</v>
      </c>
      <c r="O668" s="452">
        <v>7.4</v>
      </c>
      <c r="P668" s="452">
        <v>6.9</v>
      </c>
      <c r="Q668" s="454">
        <v>3</v>
      </c>
      <c r="R668" s="455">
        <f t="shared" si="10"/>
        <v>6.8916666666666684</v>
      </c>
    </row>
    <row r="669" spans="1:18" ht="13.5" customHeight="1" x14ac:dyDescent="0.2">
      <c r="A669" s="449" t="s">
        <v>1575</v>
      </c>
      <c r="B669" s="458" t="s">
        <v>1636</v>
      </c>
      <c r="C669" s="451" t="s">
        <v>1637</v>
      </c>
      <c r="D669" s="452">
        <v>7.6</v>
      </c>
      <c r="E669" s="452">
        <v>7.8</v>
      </c>
      <c r="F669" s="452">
        <v>7.8</v>
      </c>
      <c r="G669" s="452">
        <v>7.6</v>
      </c>
      <c r="H669" s="452">
        <v>6.5</v>
      </c>
      <c r="I669" s="456">
        <v>5.6</v>
      </c>
      <c r="J669" s="452">
        <v>5.4</v>
      </c>
      <c r="K669" s="452">
        <v>4.7</v>
      </c>
      <c r="L669" s="452">
        <v>5.0999999999999996</v>
      </c>
      <c r="M669" s="452">
        <v>5.6</v>
      </c>
      <c r="N669" s="452">
        <v>6.5</v>
      </c>
      <c r="O669" s="452">
        <v>7.2</v>
      </c>
      <c r="P669" s="452">
        <v>6.5</v>
      </c>
      <c r="Q669" s="454">
        <v>3</v>
      </c>
      <c r="R669" s="455">
        <f t="shared" si="10"/>
        <v>6.45</v>
      </c>
    </row>
    <row r="670" spans="1:18" ht="13.5" customHeight="1" x14ac:dyDescent="0.2">
      <c r="A670" s="449" t="s">
        <v>1576</v>
      </c>
      <c r="B670" s="458" t="s">
        <v>1636</v>
      </c>
      <c r="C670" s="451" t="s">
        <v>1637</v>
      </c>
      <c r="D670" s="452">
        <v>9.6</v>
      </c>
      <c r="E670" s="452">
        <v>10.1</v>
      </c>
      <c r="F670" s="452">
        <v>10.5</v>
      </c>
      <c r="G670" s="452">
        <v>10.3</v>
      </c>
      <c r="H670" s="452">
        <v>9.4</v>
      </c>
      <c r="I670" s="456">
        <v>8.6999999999999993</v>
      </c>
      <c r="J670" s="452">
        <v>8.5</v>
      </c>
      <c r="K670" s="452">
        <v>8.1</v>
      </c>
      <c r="L670" s="452">
        <v>8.1</v>
      </c>
      <c r="M670" s="452">
        <v>8.5</v>
      </c>
      <c r="N670" s="452">
        <v>8.6999999999999993</v>
      </c>
      <c r="O670" s="452">
        <v>9.4</v>
      </c>
      <c r="P670" s="452">
        <v>9.1999999999999993</v>
      </c>
      <c r="Q670" s="454">
        <v>3</v>
      </c>
      <c r="R670" s="455">
        <f t="shared" si="10"/>
        <v>9.1583333333333332</v>
      </c>
    </row>
    <row r="671" spans="1:18" ht="13.5" customHeight="1" x14ac:dyDescent="0.2">
      <c r="A671" s="449" t="s">
        <v>1577</v>
      </c>
      <c r="B671" s="458" t="s">
        <v>1636</v>
      </c>
      <c r="C671" s="451" t="s">
        <v>1637</v>
      </c>
      <c r="D671" s="452">
        <v>8.3000000000000007</v>
      </c>
      <c r="E671" s="452">
        <v>8.5</v>
      </c>
      <c r="F671" s="452">
        <v>9.1999999999999993</v>
      </c>
      <c r="G671" s="452">
        <v>9.1999999999999993</v>
      </c>
      <c r="H671" s="452">
        <v>8.3000000000000007</v>
      </c>
      <c r="I671" s="452">
        <v>7.6</v>
      </c>
      <c r="J671" s="452">
        <v>7.2</v>
      </c>
      <c r="K671" s="452">
        <v>6.7</v>
      </c>
      <c r="L671" s="452">
        <v>7.4</v>
      </c>
      <c r="M671" s="452">
        <v>7.2</v>
      </c>
      <c r="N671" s="452">
        <v>7.2</v>
      </c>
      <c r="O671" s="452">
        <v>7.6</v>
      </c>
      <c r="P671" s="452">
        <v>7.8</v>
      </c>
      <c r="Q671" s="454">
        <v>3</v>
      </c>
      <c r="R671" s="455">
        <f t="shared" si="10"/>
        <v>7.8666666666666671</v>
      </c>
    </row>
    <row r="672" spans="1:18" ht="13.5" customHeight="1" x14ac:dyDescent="0.2">
      <c r="A672" s="449" t="s">
        <v>1578</v>
      </c>
      <c r="B672" s="458" t="s">
        <v>1636</v>
      </c>
      <c r="C672" s="451" t="s">
        <v>1637</v>
      </c>
      <c r="D672" s="452">
        <v>6.7</v>
      </c>
      <c r="E672" s="452">
        <v>6.7</v>
      </c>
      <c r="F672" s="452">
        <v>7.4</v>
      </c>
      <c r="G672" s="452">
        <v>7.4</v>
      </c>
      <c r="H672" s="452">
        <v>6.7</v>
      </c>
      <c r="I672" s="452">
        <v>6</v>
      </c>
      <c r="J672" s="452">
        <v>5.6</v>
      </c>
      <c r="K672" s="452">
        <v>5.0999999999999996</v>
      </c>
      <c r="L672" s="452">
        <v>5.6</v>
      </c>
      <c r="M672" s="452">
        <v>5.0999999999999996</v>
      </c>
      <c r="N672" s="452">
        <v>5.0999999999999996</v>
      </c>
      <c r="O672" s="452">
        <v>5.8</v>
      </c>
      <c r="P672" s="452">
        <v>6</v>
      </c>
      <c r="Q672" s="454">
        <v>3</v>
      </c>
      <c r="R672" s="455">
        <f t="shared" si="10"/>
        <v>6.1000000000000005</v>
      </c>
    </row>
    <row r="673" spans="1:18" ht="13.5" customHeight="1" x14ac:dyDescent="0.2">
      <c r="A673" s="449" t="s">
        <v>1579</v>
      </c>
      <c r="B673" s="458" t="s">
        <v>1636</v>
      </c>
      <c r="C673" s="451" t="s">
        <v>1637</v>
      </c>
      <c r="D673" s="452">
        <v>7.4</v>
      </c>
      <c r="E673" s="452">
        <v>7.6</v>
      </c>
      <c r="F673" s="452">
        <v>8.3000000000000007</v>
      </c>
      <c r="G673" s="452">
        <v>7.8</v>
      </c>
      <c r="H673" s="452">
        <v>6.9</v>
      </c>
      <c r="I673" s="452">
        <v>6</v>
      </c>
      <c r="J673" s="452">
        <v>5.8</v>
      </c>
      <c r="K673" s="452">
        <v>5.4</v>
      </c>
      <c r="L673" s="452">
        <v>5.8</v>
      </c>
      <c r="M673" s="452">
        <v>5.8</v>
      </c>
      <c r="N673" s="452">
        <v>6.3</v>
      </c>
      <c r="O673" s="452">
        <v>6.7</v>
      </c>
      <c r="P673" s="452">
        <v>6.7</v>
      </c>
      <c r="Q673" s="454">
        <v>3</v>
      </c>
      <c r="R673" s="455">
        <f t="shared" si="10"/>
        <v>6.6499999999999995</v>
      </c>
    </row>
    <row r="674" spans="1:18" ht="13.5" customHeight="1" x14ac:dyDescent="0.2">
      <c r="A674" s="449" t="s">
        <v>1580</v>
      </c>
      <c r="B674" s="458" t="s">
        <v>1636</v>
      </c>
      <c r="C674" s="451" t="s">
        <v>1637</v>
      </c>
      <c r="D674" s="452">
        <v>10.1</v>
      </c>
      <c r="E674" s="452">
        <v>10.5</v>
      </c>
      <c r="F674" s="452">
        <v>11.2</v>
      </c>
      <c r="G674" s="452">
        <v>12.1</v>
      </c>
      <c r="H674" s="452">
        <v>12.1</v>
      </c>
      <c r="I674" s="452">
        <v>10.3</v>
      </c>
      <c r="J674" s="452">
        <v>8.6999999999999993</v>
      </c>
      <c r="K674" s="452">
        <v>8.6999999999999993</v>
      </c>
      <c r="L674" s="452">
        <v>10.1</v>
      </c>
      <c r="M674" s="452">
        <v>10.3</v>
      </c>
      <c r="N674" s="452">
        <v>10.3</v>
      </c>
      <c r="O674" s="452">
        <v>10.3</v>
      </c>
      <c r="P674" s="452">
        <v>10.5</v>
      </c>
      <c r="Q674" s="454">
        <v>3</v>
      </c>
      <c r="R674" s="455">
        <f t="shared" si="10"/>
        <v>10.391666666666666</v>
      </c>
    </row>
    <row r="675" spans="1:18" ht="13.5" customHeight="1" x14ac:dyDescent="0.2">
      <c r="A675" s="449" t="s">
        <v>1581</v>
      </c>
      <c r="B675" s="458" t="s">
        <v>1636</v>
      </c>
      <c r="C675" s="451" t="s">
        <v>1637</v>
      </c>
      <c r="D675" s="452">
        <v>10.5</v>
      </c>
      <c r="E675" s="452">
        <v>10.7</v>
      </c>
      <c r="F675" s="452">
        <v>11.4</v>
      </c>
      <c r="G675" s="452">
        <v>11.9</v>
      </c>
      <c r="H675" s="452">
        <v>11.4</v>
      </c>
      <c r="I675" s="452">
        <v>9.8000000000000007</v>
      </c>
      <c r="J675" s="452">
        <v>9.1999999999999993</v>
      </c>
      <c r="K675" s="452">
        <v>9.1999999999999993</v>
      </c>
      <c r="L675" s="452">
        <v>10.1</v>
      </c>
      <c r="M675" s="452">
        <v>10.3</v>
      </c>
      <c r="N675" s="452">
        <v>10.5</v>
      </c>
      <c r="O675" s="452">
        <v>10.5</v>
      </c>
      <c r="P675" s="452">
        <v>10.5</v>
      </c>
      <c r="Q675" s="454">
        <v>3</v>
      </c>
      <c r="R675" s="455">
        <f t="shared" si="10"/>
        <v>10.458333333333334</v>
      </c>
    </row>
    <row r="676" spans="1:18" ht="13.5" customHeight="1" x14ac:dyDescent="0.2">
      <c r="A676" s="449" t="s">
        <v>1582</v>
      </c>
      <c r="B676" s="458" t="s">
        <v>1636</v>
      </c>
      <c r="C676" s="451" t="s">
        <v>1637</v>
      </c>
      <c r="D676" s="452">
        <v>10.7</v>
      </c>
      <c r="E676" s="452">
        <v>10.7</v>
      </c>
      <c r="F676" s="452">
        <v>11.9</v>
      </c>
      <c r="G676" s="452">
        <v>12.1</v>
      </c>
      <c r="H676" s="452">
        <v>11.9</v>
      </c>
      <c r="I676" s="452">
        <v>10.5</v>
      </c>
      <c r="J676" s="452">
        <v>10.3</v>
      </c>
      <c r="K676" s="452">
        <v>10.3</v>
      </c>
      <c r="L676" s="452">
        <v>10.7</v>
      </c>
      <c r="M676" s="452">
        <v>11</v>
      </c>
      <c r="N676" s="452">
        <v>10.5</v>
      </c>
      <c r="O676" s="452">
        <v>11</v>
      </c>
      <c r="P676" s="452">
        <v>11</v>
      </c>
      <c r="Q676" s="454">
        <v>3</v>
      </c>
      <c r="R676" s="455">
        <f t="shared" si="10"/>
        <v>10.966666666666667</v>
      </c>
    </row>
    <row r="677" spans="1:18" ht="13.5" customHeight="1" x14ac:dyDescent="0.2">
      <c r="A677" s="449" t="s">
        <v>1583</v>
      </c>
      <c r="B677" s="458" t="s">
        <v>1636</v>
      </c>
      <c r="C677" s="451" t="s">
        <v>1637</v>
      </c>
      <c r="D677" s="452">
        <v>9.8000000000000007</v>
      </c>
      <c r="E677" s="452">
        <v>10.7</v>
      </c>
      <c r="F677" s="452">
        <v>11.4</v>
      </c>
      <c r="G677" s="452">
        <v>12.1</v>
      </c>
      <c r="H677" s="452">
        <v>11.6</v>
      </c>
      <c r="I677" s="452">
        <v>10.1</v>
      </c>
      <c r="J677" s="452">
        <v>9.4</v>
      </c>
      <c r="K677" s="452">
        <v>9.4</v>
      </c>
      <c r="L677" s="452">
        <v>9.8000000000000007</v>
      </c>
      <c r="M677" s="452">
        <v>10.7</v>
      </c>
      <c r="N677" s="452">
        <v>10.3</v>
      </c>
      <c r="O677" s="452">
        <v>9.8000000000000007</v>
      </c>
      <c r="P677" s="452">
        <v>10.5</v>
      </c>
      <c r="Q677" s="454">
        <v>3</v>
      </c>
      <c r="R677" s="455">
        <f t="shared" si="10"/>
        <v>10.425000000000001</v>
      </c>
    </row>
    <row r="678" spans="1:18" ht="13.5" customHeight="1" x14ac:dyDescent="0.2">
      <c r="A678" s="449" t="s">
        <v>1584</v>
      </c>
      <c r="B678" s="458" t="s">
        <v>1636</v>
      </c>
      <c r="C678" s="451" t="s">
        <v>1637</v>
      </c>
      <c r="D678" s="452">
        <v>10.1</v>
      </c>
      <c r="E678" s="452">
        <v>10.3</v>
      </c>
      <c r="F678" s="452">
        <v>11.2</v>
      </c>
      <c r="G678" s="452">
        <v>11.9</v>
      </c>
      <c r="H678" s="452">
        <v>11.2</v>
      </c>
      <c r="I678" s="456">
        <v>9.8000000000000007</v>
      </c>
      <c r="J678" s="452">
        <v>9.1999999999999993</v>
      </c>
      <c r="K678" s="452">
        <v>8.6999999999999993</v>
      </c>
      <c r="L678" s="452">
        <v>9.6</v>
      </c>
      <c r="M678" s="452">
        <v>9.8000000000000007</v>
      </c>
      <c r="N678" s="452">
        <v>10.1</v>
      </c>
      <c r="O678" s="452">
        <v>9.8000000000000007</v>
      </c>
      <c r="P678" s="452">
        <v>10.1</v>
      </c>
      <c r="Q678" s="454">
        <v>3</v>
      </c>
      <c r="R678" s="455">
        <f t="shared" si="10"/>
        <v>10.141666666666666</v>
      </c>
    </row>
    <row r="679" spans="1:18" ht="13.5" customHeight="1" x14ac:dyDescent="0.2">
      <c r="A679" s="449" t="s">
        <v>1585</v>
      </c>
      <c r="B679" s="458" t="s">
        <v>1636</v>
      </c>
      <c r="C679" s="451" t="s">
        <v>1637</v>
      </c>
      <c r="D679" s="452">
        <v>5.4</v>
      </c>
      <c r="E679" s="452">
        <v>5.6</v>
      </c>
      <c r="F679" s="452">
        <v>6</v>
      </c>
      <c r="G679" s="452">
        <v>5.6</v>
      </c>
      <c r="H679" s="452">
        <v>4.7</v>
      </c>
      <c r="I679" s="456">
        <v>3.8</v>
      </c>
      <c r="J679" s="452">
        <v>3.6</v>
      </c>
      <c r="K679" s="452">
        <v>2.9</v>
      </c>
      <c r="L679" s="452">
        <v>3.1</v>
      </c>
      <c r="M679" s="452">
        <v>3.6</v>
      </c>
      <c r="N679" s="452">
        <v>4</v>
      </c>
      <c r="O679" s="452">
        <v>4.7</v>
      </c>
      <c r="P679" s="452">
        <v>4.5</v>
      </c>
      <c r="Q679" s="454">
        <v>3</v>
      </c>
      <c r="R679" s="455">
        <f t="shared" si="10"/>
        <v>4.416666666666667</v>
      </c>
    </row>
    <row r="680" spans="1:18" ht="13.5" customHeight="1" x14ac:dyDescent="0.2">
      <c r="A680" s="449" t="s">
        <v>1586</v>
      </c>
      <c r="B680" s="458" t="s">
        <v>1636</v>
      </c>
      <c r="C680" s="451" t="s">
        <v>1637</v>
      </c>
      <c r="D680" s="452">
        <v>5.8</v>
      </c>
      <c r="E680" s="452">
        <v>6</v>
      </c>
      <c r="F680" s="452">
        <v>6.5</v>
      </c>
      <c r="G680" s="452">
        <v>6</v>
      </c>
      <c r="H680" s="452">
        <v>4.9000000000000004</v>
      </c>
      <c r="I680" s="456">
        <v>4.3</v>
      </c>
      <c r="J680" s="452">
        <v>4.3</v>
      </c>
      <c r="K680" s="452">
        <v>3.8</v>
      </c>
      <c r="L680" s="452">
        <v>4</v>
      </c>
      <c r="M680" s="452">
        <v>4</v>
      </c>
      <c r="N680" s="452">
        <v>4.5</v>
      </c>
      <c r="O680" s="452">
        <v>5.4</v>
      </c>
      <c r="P680" s="452">
        <v>4.9000000000000004</v>
      </c>
      <c r="Q680" s="454">
        <v>3</v>
      </c>
      <c r="R680" s="455">
        <f t="shared" si="10"/>
        <v>4.958333333333333</v>
      </c>
    </row>
    <row r="681" spans="1:18" ht="13.5" customHeight="1" x14ac:dyDescent="0.2">
      <c r="A681" s="449" t="s">
        <v>1587</v>
      </c>
      <c r="B681" s="458" t="s">
        <v>1636</v>
      </c>
      <c r="C681" s="451" t="s">
        <v>1637</v>
      </c>
      <c r="D681" s="452">
        <v>6.5</v>
      </c>
      <c r="E681" s="452">
        <v>6.7</v>
      </c>
      <c r="F681" s="452">
        <v>7.2</v>
      </c>
      <c r="G681" s="452">
        <v>6.9</v>
      </c>
      <c r="H681" s="452">
        <v>6.3</v>
      </c>
      <c r="I681" s="456">
        <v>5.4</v>
      </c>
      <c r="J681" s="452">
        <v>5.4</v>
      </c>
      <c r="K681" s="452">
        <v>4.5</v>
      </c>
      <c r="L681" s="452">
        <v>4.7</v>
      </c>
      <c r="M681" s="452">
        <v>4.7</v>
      </c>
      <c r="N681" s="452">
        <v>5.4</v>
      </c>
      <c r="O681" s="452">
        <v>6</v>
      </c>
      <c r="P681" s="452">
        <v>5.8</v>
      </c>
      <c r="Q681" s="454">
        <v>3</v>
      </c>
      <c r="R681" s="455">
        <f t="shared" si="10"/>
        <v>5.8083333333333327</v>
      </c>
    </row>
    <row r="682" spans="1:18" ht="13.5" customHeight="1" x14ac:dyDescent="0.2">
      <c r="A682" s="449" t="s">
        <v>1588</v>
      </c>
      <c r="B682" s="458" t="s">
        <v>1636</v>
      </c>
      <c r="C682" s="451" t="s">
        <v>1637</v>
      </c>
      <c r="D682" s="452">
        <v>9.1999999999999993</v>
      </c>
      <c r="E682" s="452">
        <v>9.1999999999999993</v>
      </c>
      <c r="F682" s="452">
        <v>9.8000000000000007</v>
      </c>
      <c r="G682" s="452">
        <v>9.6</v>
      </c>
      <c r="H682" s="452">
        <v>8.5</v>
      </c>
      <c r="I682" s="456">
        <v>7.4</v>
      </c>
      <c r="J682" s="452">
        <v>6.9</v>
      </c>
      <c r="K682" s="452">
        <v>6.7</v>
      </c>
      <c r="L682" s="452">
        <v>7.2</v>
      </c>
      <c r="M682" s="452">
        <v>7.2</v>
      </c>
      <c r="N682" s="452">
        <v>8.1</v>
      </c>
      <c r="O682" s="452">
        <v>8.6999999999999993</v>
      </c>
      <c r="P682" s="452">
        <v>8.3000000000000007</v>
      </c>
      <c r="Q682" s="454">
        <v>3</v>
      </c>
      <c r="R682" s="455">
        <f t="shared" si="10"/>
        <v>8.2083333333333339</v>
      </c>
    </row>
    <row r="683" spans="1:18" ht="13.5" customHeight="1" x14ac:dyDescent="0.2">
      <c r="A683" s="449" t="s">
        <v>1589</v>
      </c>
      <c r="B683" s="458" t="s">
        <v>1636</v>
      </c>
      <c r="C683" s="451" t="s">
        <v>1637</v>
      </c>
      <c r="D683" s="452">
        <v>8.1</v>
      </c>
      <c r="E683" s="452">
        <v>8.1</v>
      </c>
      <c r="F683" s="452">
        <v>8.3000000000000007</v>
      </c>
      <c r="G683" s="452">
        <v>8.1</v>
      </c>
      <c r="H683" s="452">
        <v>6.7</v>
      </c>
      <c r="I683" s="456">
        <v>6</v>
      </c>
      <c r="J683" s="452">
        <v>5.8</v>
      </c>
      <c r="K683" s="452">
        <v>5.6</v>
      </c>
      <c r="L683" s="452">
        <v>5.8</v>
      </c>
      <c r="M683" s="452">
        <v>6.3</v>
      </c>
      <c r="N683" s="452">
        <v>7.2</v>
      </c>
      <c r="O683" s="452">
        <v>7.6</v>
      </c>
      <c r="P683" s="452">
        <v>6.9</v>
      </c>
      <c r="Q683" s="454">
        <v>3</v>
      </c>
      <c r="R683" s="455">
        <f t="shared" si="10"/>
        <v>6.9666666666666659</v>
      </c>
    </row>
    <row r="684" spans="1:18" ht="13.5" customHeight="1" x14ac:dyDescent="0.2">
      <c r="A684" s="449" t="s">
        <v>1590</v>
      </c>
      <c r="B684" s="458" t="s">
        <v>1636</v>
      </c>
      <c r="C684" s="451" t="s">
        <v>1637</v>
      </c>
      <c r="D684" s="452">
        <v>11</v>
      </c>
      <c r="E684" s="452">
        <v>11.4</v>
      </c>
      <c r="F684" s="452">
        <v>12.5</v>
      </c>
      <c r="G684" s="452">
        <v>13.2</v>
      </c>
      <c r="H684" s="452">
        <v>11.9</v>
      </c>
      <c r="I684" s="453">
        <v>11.2</v>
      </c>
      <c r="J684" s="452">
        <v>10.1</v>
      </c>
      <c r="K684" s="452">
        <v>8.6999999999999993</v>
      </c>
      <c r="L684" s="452">
        <v>8.9</v>
      </c>
      <c r="M684" s="452">
        <v>10.3</v>
      </c>
      <c r="N684" s="452">
        <v>10.7</v>
      </c>
      <c r="O684" s="452">
        <v>10.7</v>
      </c>
      <c r="P684" s="452">
        <v>11</v>
      </c>
      <c r="Q684" s="454">
        <v>3</v>
      </c>
      <c r="R684" s="455">
        <f t="shared" si="10"/>
        <v>10.883333333333333</v>
      </c>
    </row>
    <row r="685" spans="1:18" ht="13.5" customHeight="1" x14ac:dyDescent="0.2">
      <c r="A685" s="449" t="s">
        <v>1591</v>
      </c>
      <c r="B685" s="458" t="s">
        <v>1636</v>
      </c>
      <c r="C685" s="451" t="s">
        <v>1637</v>
      </c>
      <c r="D685" s="452">
        <v>12.1</v>
      </c>
      <c r="E685" s="452">
        <v>12.5</v>
      </c>
      <c r="F685" s="452">
        <v>13.9</v>
      </c>
      <c r="G685" s="452">
        <v>14.8</v>
      </c>
      <c r="H685" s="452">
        <v>13.6</v>
      </c>
      <c r="I685" s="452">
        <v>13.9</v>
      </c>
      <c r="J685" s="452">
        <v>12.3</v>
      </c>
      <c r="K685" s="452">
        <v>11.6</v>
      </c>
      <c r="L685" s="452">
        <v>12.1</v>
      </c>
      <c r="M685" s="452">
        <v>12.5</v>
      </c>
      <c r="N685" s="452">
        <v>12.5</v>
      </c>
      <c r="O685" s="452">
        <v>12.1</v>
      </c>
      <c r="P685" s="452">
        <v>12.8</v>
      </c>
      <c r="Q685" s="454">
        <v>3</v>
      </c>
      <c r="R685" s="455">
        <f t="shared" si="10"/>
        <v>12.824999999999998</v>
      </c>
    </row>
    <row r="686" spans="1:18" ht="13.5" customHeight="1" x14ac:dyDescent="0.2">
      <c r="A686" s="449" t="s">
        <v>1592</v>
      </c>
      <c r="B686" s="458" t="s">
        <v>1636</v>
      </c>
      <c r="C686" s="451" t="s">
        <v>1637</v>
      </c>
      <c r="D686" s="452">
        <v>8.3000000000000007</v>
      </c>
      <c r="E686" s="452">
        <v>8.6999999999999993</v>
      </c>
      <c r="F686" s="452">
        <v>9.1999999999999993</v>
      </c>
      <c r="G686" s="452">
        <v>8.9</v>
      </c>
      <c r="H686" s="452">
        <v>8.5</v>
      </c>
      <c r="I686" s="452">
        <v>8.1</v>
      </c>
      <c r="J686" s="452">
        <v>7.4</v>
      </c>
      <c r="K686" s="452">
        <v>6.5</v>
      </c>
      <c r="L686" s="452">
        <v>6.3</v>
      </c>
      <c r="M686" s="452">
        <v>6.9</v>
      </c>
      <c r="N686" s="452">
        <v>7.6</v>
      </c>
      <c r="O686" s="452">
        <v>7.8</v>
      </c>
      <c r="P686" s="452">
        <v>7.8</v>
      </c>
      <c r="Q686" s="454">
        <v>3</v>
      </c>
      <c r="R686" s="455">
        <f t="shared" si="10"/>
        <v>7.8499999999999988</v>
      </c>
    </row>
    <row r="687" spans="1:18" ht="13.5" customHeight="1" x14ac:dyDescent="0.2">
      <c r="A687" s="449" t="s">
        <v>1593</v>
      </c>
      <c r="B687" s="458" t="s">
        <v>1636</v>
      </c>
      <c r="C687" s="451" t="s">
        <v>1637</v>
      </c>
      <c r="D687" s="452">
        <v>10.1</v>
      </c>
      <c r="E687" s="452">
        <v>11.2</v>
      </c>
      <c r="F687" s="452">
        <v>11.9</v>
      </c>
      <c r="G687" s="452">
        <v>12.5</v>
      </c>
      <c r="H687" s="452">
        <v>12.1</v>
      </c>
      <c r="I687" s="452">
        <v>11</v>
      </c>
      <c r="J687" s="452">
        <v>11</v>
      </c>
      <c r="K687" s="452">
        <v>9.1999999999999993</v>
      </c>
      <c r="L687" s="452">
        <v>7.4</v>
      </c>
      <c r="M687" s="452">
        <v>8.6999999999999993</v>
      </c>
      <c r="N687" s="452">
        <v>9.1999999999999993</v>
      </c>
      <c r="O687" s="452">
        <v>9.6</v>
      </c>
      <c r="P687" s="452">
        <v>10.3</v>
      </c>
      <c r="Q687" s="454">
        <v>3</v>
      </c>
      <c r="R687" s="455">
        <f t="shared" si="10"/>
        <v>10.325000000000001</v>
      </c>
    </row>
    <row r="688" spans="1:18" ht="13.5" customHeight="1" x14ac:dyDescent="0.2">
      <c r="A688" s="449" t="s">
        <v>1594</v>
      </c>
      <c r="B688" s="458" t="s">
        <v>1636</v>
      </c>
      <c r="C688" s="451" t="s">
        <v>1637</v>
      </c>
      <c r="D688" s="452">
        <v>12.1</v>
      </c>
      <c r="E688" s="452">
        <v>12.5</v>
      </c>
      <c r="F688" s="452">
        <v>13.4</v>
      </c>
      <c r="G688" s="452">
        <v>14.1</v>
      </c>
      <c r="H688" s="452">
        <v>12.5</v>
      </c>
      <c r="I688" s="452">
        <v>10.5</v>
      </c>
      <c r="J688" s="452">
        <v>10.7</v>
      </c>
      <c r="K688" s="452">
        <v>9.8000000000000007</v>
      </c>
      <c r="L688" s="452">
        <v>9.1999999999999993</v>
      </c>
      <c r="M688" s="452">
        <v>10.7</v>
      </c>
      <c r="N688" s="452">
        <v>11.4</v>
      </c>
      <c r="O688" s="452">
        <v>11.6</v>
      </c>
      <c r="P688" s="452">
        <v>11.6</v>
      </c>
      <c r="Q688" s="454">
        <v>3</v>
      </c>
      <c r="R688" s="455">
        <f t="shared" si="10"/>
        <v>11.541666666666666</v>
      </c>
    </row>
    <row r="689" spans="1:18" ht="13.5" customHeight="1" x14ac:dyDescent="0.2">
      <c r="A689" s="449" t="s">
        <v>1595</v>
      </c>
      <c r="B689" s="458" t="s">
        <v>1636</v>
      </c>
      <c r="C689" s="451" t="s">
        <v>1637</v>
      </c>
      <c r="D689" s="452">
        <v>10.5</v>
      </c>
      <c r="E689" s="452">
        <v>10.7</v>
      </c>
      <c r="F689" s="452">
        <v>11.9</v>
      </c>
      <c r="G689" s="452">
        <v>12.1</v>
      </c>
      <c r="H689" s="452">
        <v>11</v>
      </c>
      <c r="I689" s="452">
        <v>10.5</v>
      </c>
      <c r="J689" s="452">
        <v>9.8000000000000007</v>
      </c>
      <c r="K689" s="452">
        <v>8.5</v>
      </c>
      <c r="L689" s="452">
        <v>8.3000000000000007</v>
      </c>
      <c r="M689" s="452">
        <v>9.4</v>
      </c>
      <c r="N689" s="452">
        <v>10.3</v>
      </c>
      <c r="O689" s="452">
        <v>10.3</v>
      </c>
      <c r="P689" s="452">
        <v>10.3</v>
      </c>
      <c r="Q689" s="454">
        <v>3</v>
      </c>
      <c r="R689" s="455">
        <f t="shared" si="10"/>
        <v>10.275</v>
      </c>
    </row>
    <row r="690" spans="1:18" ht="13.5" customHeight="1" x14ac:dyDescent="0.2">
      <c r="A690" s="449" t="s">
        <v>1596</v>
      </c>
      <c r="B690" s="458" t="s">
        <v>1636</v>
      </c>
      <c r="C690" s="451" t="s">
        <v>1637</v>
      </c>
      <c r="D690" s="452">
        <v>7.8</v>
      </c>
      <c r="E690" s="452">
        <v>8.9</v>
      </c>
      <c r="F690" s="452">
        <v>10.1</v>
      </c>
      <c r="G690" s="452">
        <v>11</v>
      </c>
      <c r="H690" s="452">
        <v>10.1</v>
      </c>
      <c r="I690" s="452">
        <v>9.1999999999999993</v>
      </c>
      <c r="J690" s="452">
        <v>8.1</v>
      </c>
      <c r="K690" s="452">
        <v>7.4</v>
      </c>
      <c r="L690" s="452">
        <v>7.4</v>
      </c>
      <c r="M690" s="452">
        <v>7.6</v>
      </c>
      <c r="N690" s="452">
        <v>7.4</v>
      </c>
      <c r="O690" s="452">
        <v>7.4</v>
      </c>
      <c r="P690" s="452">
        <v>8.5</v>
      </c>
      <c r="Q690" s="454">
        <v>3</v>
      </c>
      <c r="R690" s="455">
        <f t="shared" si="10"/>
        <v>8.5333333333333332</v>
      </c>
    </row>
    <row r="691" spans="1:18" ht="13.5" customHeight="1" x14ac:dyDescent="0.2">
      <c r="A691" s="449" t="s">
        <v>1597</v>
      </c>
      <c r="B691" s="458" t="s">
        <v>1636</v>
      </c>
      <c r="C691" s="451" t="s">
        <v>1637</v>
      </c>
      <c r="D691" s="452">
        <v>7.8</v>
      </c>
      <c r="E691" s="452">
        <v>8.3000000000000007</v>
      </c>
      <c r="F691" s="452">
        <v>8.5</v>
      </c>
      <c r="G691" s="452">
        <v>8.9</v>
      </c>
      <c r="H691" s="452">
        <v>8.1</v>
      </c>
      <c r="I691" s="452">
        <v>6.7</v>
      </c>
      <c r="J691" s="452">
        <v>5.8</v>
      </c>
      <c r="K691" s="452">
        <v>5.6</v>
      </c>
      <c r="L691" s="452">
        <v>6</v>
      </c>
      <c r="M691" s="452">
        <v>6.7</v>
      </c>
      <c r="N691" s="452">
        <v>7.2</v>
      </c>
      <c r="O691" s="452">
        <v>7.6</v>
      </c>
      <c r="P691" s="452">
        <v>7.4</v>
      </c>
      <c r="Q691" s="454">
        <v>3</v>
      </c>
      <c r="R691" s="455">
        <f t="shared" si="10"/>
        <v>7.2666666666666666</v>
      </c>
    </row>
    <row r="692" spans="1:18" ht="13.5" customHeight="1" x14ac:dyDescent="0.2">
      <c r="A692" s="449" t="s">
        <v>1598</v>
      </c>
      <c r="B692" s="458" t="s">
        <v>1636</v>
      </c>
      <c r="C692" s="451" t="s">
        <v>1637</v>
      </c>
      <c r="D692" s="452">
        <v>11.6</v>
      </c>
      <c r="E692" s="452">
        <v>12.3</v>
      </c>
      <c r="F692" s="452">
        <v>13.9</v>
      </c>
      <c r="G692" s="452">
        <v>14.3</v>
      </c>
      <c r="H692" s="452">
        <v>13.6</v>
      </c>
      <c r="I692" s="452">
        <v>13</v>
      </c>
      <c r="J692" s="452">
        <v>11</v>
      </c>
      <c r="K692" s="452">
        <v>9.8000000000000007</v>
      </c>
      <c r="L692" s="452">
        <v>10.1</v>
      </c>
      <c r="M692" s="452">
        <v>11</v>
      </c>
      <c r="N692" s="452">
        <v>11.4</v>
      </c>
      <c r="O692" s="452">
        <v>11.4</v>
      </c>
      <c r="P692" s="452">
        <v>11.9</v>
      </c>
      <c r="Q692" s="454">
        <v>3</v>
      </c>
      <c r="R692" s="455">
        <f t="shared" si="10"/>
        <v>11.949999999999998</v>
      </c>
    </row>
    <row r="693" spans="1:18" ht="13.5" customHeight="1" x14ac:dyDescent="0.2">
      <c r="A693" s="449" t="s">
        <v>1599</v>
      </c>
      <c r="B693" s="458" t="s">
        <v>1636</v>
      </c>
      <c r="C693" s="451" t="s">
        <v>1637</v>
      </c>
      <c r="D693" s="452">
        <v>6.9</v>
      </c>
      <c r="E693" s="452">
        <v>7.4</v>
      </c>
      <c r="F693" s="452">
        <v>7.6</v>
      </c>
      <c r="G693" s="452">
        <v>7.6</v>
      </c>
      <c r="H693" s="452">
        <v>6.9</v>
      </c>
      <c r="I693" s="452">
        <v>5.8</v>
      </c>
      <c r="J693" s="452">
        <v>5.4</v>
      </c>
      <c r="K693" s="452">
        <v>4.9000000000000004</v>
      </c>
      <c r="L693" s="452">
        <v>5.4</v>
      </c>
      <c r="M693" s="452">
        <v>5.8</v>
      </c>
      <c r="N693" s="452">
        <v>6.3</v>
      </c>
      <c r="O693" s="452">
        <v>6.5</v>
      </c>
      <c r="P693" s="452">
        <v>6.5</v>
      </c>
      <c r="Q693" s="454">
        <v>3</v>
      </c>
      <c r="R693" s="455">
        <f t="shared" si="10"/>
        <v>6.3749999999999991</v>
      </c>
    </row>
    <row r="694" spans="1:18" ht="13.5" customHeight="1" x14ac:dyDescent="0.2">
      <c r="A694" s="449" t="s">
        <v>1600</v>
      </c>
      <c r="B694" s="458" t="s">
        <v>1636</v>
      </c>
      <c r="C694" s="451" t="s">
        <v>1637</v>
      </c>
      <c r="D694" s="452">
        <v>10.1</v>
      </c>
      <c r="E694" s="452">
        <v>11</v>
      </c>
      <c r="F694" s="452">
        <v>12.1</v>
      </c>
      <c r="G694" s="452">
        <v>12.8</v>
      </c>
      <c r="H694" s="452">
        <v>12.3</v>
      </c>
      <c r="I694" s="452">
        <v>12.3</v>
      </c>
      <c r="J694" s="452">
        <v>10.7</v>
      </c>
      <c r="K694" s="452">
        <v>9.6</v>
      </c>
      <c r="L694" s="452">
        <v>9.6</v>
      </c>
      <c r="M694" s="452">
        <v>10.3</v>
      </c>
      <c r="N694" s="452">
        <v>9.8000000000000007</v>
      </c>
      <c r="O694" s="452">
        <v>9.8000000000000007</v>
      </c>
      <c r="P694" s="452">
        <v>11</v>
      </c>
      <c r="Q694" s="454">
        <v>3</v>
      </c>
      <c r="R694" s="455">
        <f t="shared" si="10"/>
        <v>10.866666666666665</v>
      </c>
    </row>
    <row r="695" spans="1:18" ht="13.5" customHeight="1" x14ac:dyDescent="0.2">
      <c r="A695" s="449" t="s">
        <v>1601</v>
      </c>
      <c r="B695" s="458" t="s">
        <v>1636</v>
      </c>
      <c r="C695" s="451" t="s">
        <v>1637</v>
      </c>
      <c r="D695" s="452">
        <v>9.6</v>
      </c>
      <c r="E695" s="452">
        <v>10.1</v>
      </c>
      <c r="F695" s="452">
        <v>10.3</v>
      </c>
      <c r="G695" s="452">
        <v>10.3</v>
      </c>
      <c r="H695" s="452">
        <v>9.1999999999999993</v>
      </c>
      <c r="I695" s="452">
        <v>7.6</v>
      </c>
      <c r="J695" s="452">
        <v>6</v>
      </c>
      <c r="K695" s="452">
        <v>5.8</v>
      </c>
      <c r="L695" s="452">
        <v>7.2</v>
      </c>
      <c r="M695" s="452">
        <v>8.1</v>
      </c>
      <c r="N695" s="452">
        <v>8.5</v>
      </c>
      <c r="O695" s="452">
        <v>9.1999999999999993</v>
      </c>
      <c r="P695" s="452">
        <v>8.5</v>
      </c>
      <c r="Q695" s="454">
        <v>3</v>
      </c>
      <c r="R695" s="455">
        <f t="shared" si="10"/>
        <v>8.4916666666666671</v>
      </c>
    </row>
    <row r="696" spans="1:18" ht="13.5" customHeight="1" x14ac:dyDescent="0.2">
      <c r="A696" s="449" t="s">
        <v>1602</v>
      </c>
      <c r="B696" s="458" t="s">
        <v>1636</v>
      </c>
      <c r="C696" s="451" t="s">
        <v>1637</v>
      </c>
      <c r="D696" s="452">
        <v>9.6</v>
      </c>
      <c r="E696" s="452">
        <v>10.1</v>
      </c>
      <c r="F696" s="452">
        <v>10.7</v>
      </c>
      <c r="G696" s="452">
        <v>11.4</v>
      </c>
      <c r="H696" s="452">
        <v>10.5</v>
      </c>
      <c r="I696" s="452">
        <v>10.1</v>
      </c>
      <c r="J696" s="452">
        <v>9.1999999999999993</v>
      </c>
      <c r="K696" s="452">
        <v>8.1</v>
      </c>
      <c r="L696" s="452">
        <v>7.8</v>
      </c>
      <c r="M696" s="452">
        <v>8.5</v>
      </c>
      <c r="N696" s="452">
        <v>9.1999999999999993</v>
      </c>
      <c r="O696" s="452">
        <v>9.4</v>
      </c>
      <c r="P696" s="452">
        <v>9.6</v>
      </c>
      <c r="Q696" s="454">
        <v>3</v>
      </c>
      <c r="R696" s="455">
        <f t="shared" si="10"/>
        <v>9.5499999999999989</v>
      </c>
    </row>
    <row r="697" spans="1:18" ht="13.5" customHeight="1" x14ac:dyDescent="0.2">
      <c r="A697" s="449" t="s">
        <v>1603</v>
      </c>
      <c r="B697" s="458" t="s">
        <v>1636</v>
      </c>
      <c r="C697" s="451" t="s">
        <v>1637</v>
      </c>
      <c r="D697" s="452">
        <v>7.6</v>
      </c>
      <c r="E697" s="452">
        <v>7.8</v>
      </c>
      <c r="F697" s="452">
        <v>8.9</v>
      </c>
      <c r="G697" s="452">
        <v>9.4</v>
      </c>
      <c r="H697" s="452">
        <v>9.4</v>
      </c>
      <c r="I697" s="452">
        <v>9.1999999999999993</v>
      </c>
      <c r="J697" s="452">
        <v>8.5</v>
      </c>
      <c r="K697" s="452">
        <v>7.8</v>
      </c>
      <c r="L697" s="452">
        <v>6.9</v>
      </c>
      <c r="M697" s="452">
        <v>7.4</v>
      </c>
      <c r="N697" s="452">
        <v>7.6</v>
      </c>
      <c r="O697" s="452">
        <v>7.4</v>
      </c>
      <c r="P697" s="452">
        <v>8.1</v>
      </c>
      <c r="Q697" s="454">
        <v>3</v>
      </c>
      <c r="R697" s="455">
        <f t="shared" si="10"/>
        <v>8.1583333333333332</v>
      </c>
    </row>
    <row r="698" spans="1:18" ht="13.5" customHeight="1" x14ac:dyDescent="0.2">
      <c r="A698" s="449" t="s">
        <v>1604</v>
      </c>
      <c r="B698" s="458" t="s">
        <v>1636</v>
      </c>
      <c r="C698" s="451" t="s">
        <v>1637</v>
      </c>
      <c r="D698" s="452">
        <v>9.8000000000000007</v>
      </c>
      <c r="E698" s="452">
        <v>10.1</v>
      </c>
      <c r="F698" s="452">
        <v>10.5</v>
      </c>
      <c r="G698" s="452">
        <v>11</v>
      </c>
      <c r="H698" s="452">
        <v>10.3</v>
      </c>
      <c r="I698" s="456">
        <v>9.1999999999999993</v>
      </c>
      <c r="J698" s="452">
        <v>8.3000000000000007</v>
      </c>
      <c r="K698" s="452">
        <v>7.4</v>
      </c>
      <c r="L698" s="452">
        <v>7.4</v>
      </c>
      <c r="M698" s="452">
        <v>8.3000000000000007</v>
      </c>
      <c r="N698" s="452">
        <v>8.6999999999999993</v>
      </c>
      <c r="O698" s="452">
        <v>9.1999999999999993</v>
      </c>
      <c r="P698" s="452">
        <v>9.1999999999999993</v>
      </c>
      <c r="Q698" s="454">
        <v>3</v>
      </c>
      <c r="R698" s="455">
        <f t="shared" si="10"/>
        <v>9.1833333333333353</v>
      </c>
    </row>
    <row r="699" spans="1:18" ht="13.5" customHeight="1" x14ac:dyDescent="0.2">
      <c r="A699" s="449" t="s">
        <v>1605</v>
      </c>
      <c r="B699" s="458" t="s">
        <v>1636</v>
      </c>
      <c r="C699" s="451" t="s">
        <v>1637</v>
      </c>
      <c r="D699" s="452">
        <v>9.8000000000000007</v>
      </c>
      <c r="E699" s="452">
        <v>10.1</v>
      </c>
      <c r="F699" s="452">
        <v>11</v>
      </c>
      <c r="G699" s="452">
        <v>11.2</v>
      </c>
      <c r="H699" s="452">
        <v>10.1</v>
      </c>
      <c r="I699" s="456">
        <v>9.6</v>
      </c>
      <c r="J699" s="452">
        <v>9.6</v>
      </c>
      <c r="K699" s="452">
        <v>8.5</v>
      </c>
      <c r="L699" s="452">
        <v>7.8</v>
      </c>
      <c r="M699" s="452">
        <v>8.6999999999999993</v>
      </c>
      <c r="N699" s="452">
        <v>9.4</v>
      </c>
      <c r="O699" s="452">
        <v>9.4</v>
      </c>
      <c r="P699" s="452">
        <v>9.6</v>
      </c>
      <c r="Q699" s="454">
        <v>3</v>
      </c>
      <c r="R699" s="455">
        <f t="shared" si="10"/>
        <v>9.6</v>
      </c>
    </row>
    <row r="700" spans="1:18" ht="13.5" customHeight="1" x14ac:dyDescent="0.2">
      <c r="A700" s="449" t="s">
        <v>1606</v>
      </c>
      <c r="B700" s="458" t="s">
        <v>1636</v>
      </c>
      <c r="C700" s="451" t="s">
        <v>1637</v>
      </c>
      <c r="D700" s="452">
        <v>6.3</v>
      </c>
      <c r="E700" s="452">
        <v>6.7</v>
      </c>
      <c r="F700" s="452">
        <v>8.1</v>
      </c>
      <c r="G700" s="452">
        <v>8.9</v>
      </c>
      <c r="H700" s="452">
        <v>8.6999999999999993</v>
      </c>
      <c r="I700" s="456">
        <v>8.6999999999999993</v>
      </c>
      <c r="J700" s="452">
        <v>7.6</v>
      </c>
      <c r="K700" s="452">
        <v>7.6</v>
      </c>
      <c r="L700" s="452">
        <v>7.2</v>
      </c>
      <c r="M700" s="452">
        <v>6.7</v>
      </c>
      <c r="N700" s="452">
        <v>6.3</v>
      </c>
      <c r="O700" s="452">
        <v>6.3</v>
      </c>
      <c r="P700" s="452">
        <v>7.4</v>
      </c>
      <c r="Q700" s="454">
        <v>3</v>
      </c>
      <c r="R700" s="455">
        <f t="shared" si="10"/>
        <v>7.4250000000000007</v>
      </c>
    </row>
    <row r="701" spans="1:18" ht="13.5" customHeight="1" x14ac:dyDescent="0.2">
      <c r="A701" s="449" t="s">
        <v>1607</v>
      </c>
      <c r="B701" s="458" t="s">
        <v>1636</v>
      </c>
      <c r="C701" s="451" t="s">
        <v>1637</v>
      </c>
      <c r="D701" s="452">
        <v>6.7</v>
      </c>
      <c r="E701" s="452">
        <v>7.2</v>
      </c>
      <c r="F701" s="452">
        <v>8.6999999999999993</v>
      </c>
      <c r="G701" s="452">
        <v>9.6</v>
      </c>
      <c r="H701" s="452">
        <v>8.9</v>
      </c>
      <c r="I701" s="456">
        <v>9.1999999999999993</v>
      </c>
      <c r="J701" s="452">
        <v>8.9</v>
      </c>
      <c r="K701" s="452">
        <v>9.6</v>
      </c>
      <c r="L701" s="452">
        <v>8.6999999999999993</v>
      </c>
      <c r="M701" s="452">
        <v>8.1</v>
      </c>
      <c r="N701" s="452">
        <v>7.4</v>
      </c>
      <c r="O701" s="452">
        <v>7.2</v>
      </c>
      <c r="P701" s="452">
        <v>8.3000000000000007</v>
      </c>
      <c r="Q701" s="454">
        <v>3</v>
      </c>
      <c r="R701" s="455">
        <f t="shared" si="10"/>
        <v>8.35</v>
      </c>
    </row>
    <row r="702" spans="1:18" ht="13.5" customHeight="1" x14ac:dyDescent="0.2">
      <c r="A702" s="449" t="s">
        <v>1608</v>
      </c>
      <c r="B702" s="458" t="s">
        <v>1636</v>
      </c>
      <c r="C702" s="451" t="s">
        <v>1637</v>
      </c>
      <c r="D702" s="452">
        <v>8.9</v>
      </c>
      <c r="E702" s="452">
        <v>8.5</v>
      </c>
      <c r="F702" s="452">
        <v>8.5</v>
      </c>
      <c r="G702" s="452">
        <v>8.6999999999999993</v>
      </c>
      <c r="H702" s="452">
        <v>8.1</v>
      </c>
      <c r="I702" s="456">
        <v>7.4</v>
      </c>
      <c r="J702" s="452">
        <v>6.9</v>
      </c>
      <c r="K702" s="452">
        <v>6.9</v>
      </c>
      <c r="L702" s="452">
        <v>7.6</v>
      </c>
      <c r="M702" s="452">
        <v>8.1</v>
      </c>
      <c r="N702" s="452">
        <v>8.6999999999999993</v>
      </c>
      <c r="O702" s="452">
        <v>8.9</v>
      </c>
      <c r="P702" s="452">
        <v>8.1</v>
      </c>
      <c r="Q702" s="454">
        <v>3</v>
      </c>
      <c r="R702" s="455">
        <f t="shared" si="10"/>
        <v>8.1</v>
      </c>
    </row>
    <row r="703" spans="1:18" ht="13.5" customHeight="1" x14ac:dyDescent="0.2">
      <c r="A703" s="449" t="s">
        <v>1609</v>
      </c>
      <c r="B703" s="458" t="s">
        <v>1636</v>
      </c>
      <c r="C703" s="451" t="s">
        <v>1637</v>
      </c>
      <c r="D703" s="452">
        <v>7.8</v>
      </c>
      <c r="E703" s="452">
        <v>8.1</v>
      </c>
      <c r="F703" s="452">
        <v>8.5</v>
      </c>
      <c r="G703" s="452">
        <v>8.1</v>
      </c>
      <c r="H703" s="452">
        <v>6.7</v>
      </c>
      <c r="I703" s="456">
        <v>6</v>
      </c>
      <c r="J703" s="452">
        <v>5.8</v>
      </c>
      <c r="K703" s="452">
        <v>5.6</v>
      </c>
      <c r="L703" s="452">
        <v>6</v>
      </c>
      <c r="M703" s="452">
        <v>6</v>
      </c>
      <c r="N703" s="452">
        <v>6.7</v>
      </c>
      <c r="O703" s="452">
        <v>7.2</v>
      </c>
      <c r="P703" s="452">
        <v>6.9</v>
      </c>
      <c r="Q703" s="454">
        <v>3</v>
      </c>
      <c r="R703" s="455">
        <f t="shared" si="10"/>
        <v>6.875</v>
      </c>
    </row>
    <row r="704" spans="1:18" ht="13.5" customHeight="1" x14ac:dyDescent="0.2">
      <c r="A704" s="449" t="s">
        <v>1610</v>
      </c>
      <c r="B704" s="458" t="s">
        <v>1636</v>
      </c>
      <c r="C704" s="451" t="s">
        <v>1637</v>
      </c>
      <c r="D704" s="452">
        <v>9.6</v>
      </c>
      <c r="E704" s="452">
        <v>9.6</v>
      </c>
      <c r="F704" s="453">
        <v>10.5</v>
      </c>
      <c r="G704" s="452">
        <v>9.8000000000000007</v>
      </c>
      <c r="H704" s="452">
        <v>8.9</v>
      </c>
      <c r="I704" s="456">
        <v>8.5</v>
      </c>
      <c r="J704" s="452">
        <v>8.1</v>
      </c>
      <c r="K704" s="452">
        <v>7.8</v>
      </c>
      <c r="L704" s="452">
        <v>8.3000000000000007</v>
      </c>
      <c r="M704" s="452">
        <v>8.1</v>
      </c>
      <c r="N704" s="452">
        <v>8.6999999999999993</v>
      </c>
      <c r="O704" s="452">
        <v>8.9</v>
      </c>
      <c r="P704" s="452">
        <v>8.9</v>
      </c>
      <c r="Q704" s="454">
        <v>3</v>
      </c>
      <c r="R704" s="455">
        <f t="shared" si="10"/>
        <v>8.9</v>
      </c>
    </row>
    <row r="705" spans="1:18" ht="13.5" customHeight="1" x14ac:dyDescent="0.2">
      <c r="A705" s="449" t="s">
        <v>1611</v>
      </c>
      <c r="B705" s="458" t="s">
        <v>1636</v>
      </c>
      <c r="C705" s="451" t="s">
        <v>1637</v>
      </c>
      <c r="D705" s="452">
        <v>6</v>
      </c>
      <c r="E705" s="452">
        <v>6</v>
      </c>
      <c r="F705" s="456">
        <v>6.7</v>
      </c>
      <c r="G705" s="452">
        <v>6.5</v>
      </c>
      <c r="H705" s="452">
        <v>5.6</v>
      </c>
      <c r="I705" s="456">
        <v>4.7</v>
      </c>
      <c r="J705" s="452">
        <v>4.3</v>
      </c>
      <c r="K705" s="452">
        <v>3.8</v>
      </c>
      <c r="L705" s="452">
        <v>4.3</v>
      </c>
      <c r="M705" s="452">
        <v>4.3</v>
      </c>
      <c r="N705" s="452">
        <v>4.9000000000000004</v>
      </c>
      <c r="O705" s="452">
        <v>5.0999999999999996</v>
      </c>
      <c r="P705" s="452">
        <v>5.0999999999999996</v>
      </c>
      <c r="Q705" s="454">
        <v>3</v>
      </c>
      <c r="R705" s="455">
        <f t="shared" si="10"/>
        <v>5.1833333333333327</v>
      </c>
    </row>
    <row r="706" spans="1:18" ht="13.5" customHeight="1" x14ac:dyDescent="0.2">
      <c r="A706" s="449" t="s">
        <v>1612</v>
      </c>
      <c r="B706" s="458" t="s">
        <v>1636</v>
      </c>
      <c r="C706" s="451" t="s">
        <v>1637</v>
      </c>
      <c r="D706" s="452">
        <v>9.8000000000000007</v>
      </c>
      <c r="E706" s="452">
        <v>10.1</v>
      </c>
      <c r="F706" s="453">
        <v>10.5</v>
      </c>
      <c r="G706" s="452">
        <v>10.7</v>
      </c>
      <c r="H706" s="452">
        <v>9.8000000000000007</v>
      </c>
      <c r="I706" s="456">
        <v>8.6999999999999993</v>
      </c>
      <c r="J706" s="452">
        <v>8.3000000000000007</v>
      </c>
      <c r="K706" s="452">
        <v>7.8</v>
      </c>
      <c r="L706" s="452">
        <v>9.1999999999999993</v>
      </c>
      <c r="M706" s="452">
        <v>8.6999999999999993</v>
      </c>
      <c r="N706" s="452">
        <v>8.9</v>
      </c>
      <c r="O706" s="452">
        <v>9.1999999999999993</v>
      </c>
      <c r="P706" s="452">
        <v>9.1999999999999993</v>
      </c>
      <c r="Q706" s="454">
        <v>3</v>
      </c>
      <c r="R706" s="455">
        <f t="shared" si="10"/>
        <v>9.3083333333333336</v>
      </c>
    </row>
    <row r="707" spans="1:18" ht="13.5" customHeight="1" x14ac:dyDescent="0.2">
      <c r="A707" s="449" t="s">
        <v>1613</v>
      </c>
      <c r="B707" s="458" t="s">
        <v>1636</v>
      </c>
      <c r="C707" s="451" t="s">
        <v>1637</v>
      </c>
      <c r="D707" s="452">
        <v>8.3000000000000007</v>
      </c>
      <c r="E707" s="452">
        <v>8.5</v>
      </c>
      <c r="F707" s="456">
        <v>9.1999999999999993</v>
      </c>
      <c r="G707" s="452">
        <v>8.9</v>
      </c>
      <c r="H707" s="452">
        <v>7.8</v>
      </c>
      <c r="I707" s="456">
        <v>7.2</v>
      </c>
      <c r="J707" s="452">
        <v>6.7</v>
      </c>
      <c r="K707" s="452">
        <v>6.3</v>
      </c>
      <c r="L707" s="452">
        <v>6.9</v>
      </c>
      <c r="M707" s="452">
        <v>6.7</v>
      </c>
      <c r="N707" s="452">
        <v>7.4</v>
      </c>
      <c r="O707" s="452">
        <v>7.6</v>
      </c>
      <c r="P707" s="452">
        <v>7.6</v>
      </c>
      <c r="Q707" s="454">
        <v>3</v>
      </c>
      <c r="R707" s="455">
        <f t="shared" si="10"/>
        <v>7.625</v>
      </c>
    </row>
    <row r="708" spans="1:18" ht="13.5" customHeight="1" x14ac:dyDescent="0.2">
      <c r="A708" s="449" t="s">
        <v>1614</v>
      </c>
      <c r="B708" s="458" t="s">
        <v>1636</v>
      </c>
      <c r="C708" s="451" t="s">
        <v>1637</v>
      </c>
      <c r="D708" s="452">
        <v>8.1</v>
      </c>
      <c r="E708" s="452">
        <v>8.1</v>
      </c>
      <c r="F708" s="456">
        <v>8.3000000000000007</v>
      </c>
      <c r="G708" s="452">
        <v>7.8</v>
      </c>
      <c r="H708" s="452">
        <v>6.5</v>
      </c>
      <c r="I708" s="456">
        <v>5.8</v>
      </c>
      <c r="J708" s="452">
        <v>5.6</v>
      </c>
      <c r="K708" s="452">
        <v>4.9000000000000004</v>
      </c>
      <c r="L708" s="452">
        <v>5.0999999999999996</v>
      </c>
      <c r="M708" s="452">
        <v>5.6</v>
      </c>
      <c r="N708" s="452">
        <v>6.5</v>
      </c>
      <c r="O708" s="452">
        <v>7.4</v>
      </c>
      <c r="P708" s="452">
        <v>6.7</v>
      </c>
      <c r="Q708" s="454">
        <v>3</v>
      </c>
      <c r="R708" s="455">
        <f t="shared" ref="R708:R771" si="11">AVERAGE(D708:O708)</f>
        <v>6.6416666666666666</v>
      </c>
    </row>
    <row r="709" spans="1:18" ht="13.5" customHeight="1" x14ac:dyDescent="0.2">
      <c r="A709" s="449" t="s">
        <v>1615</v>
      </c>
      <c r="B709" s="458" t="s">
        <v>1636</v>
      </c>
      <c r="C709" s="451" t="s">
        <v>1637</v>
      </c>
      <c r="D709" s="452">
        <v>6</v>
      </c>
      <c r="E709" s="452">
        <v>5.6</v>
      </c>
      <c r="F709" s="456">
        <v>6.3</v>
      </c>
      <c r="G709" s="452">
        <v>6.3</v>
      </c>
      <c r="H709" s="452">
        <v>6</v>
      </c>
      <c r="I709" s="456">
        <v>6</v>
      </c>
      <c r="J709" s="452">
        <v>5.4</v>
      </c>
      <c r="K709" s="452">
        <v>4.9000000000000004</v>
      </c>
      <c r="L709" s="452">
        <v>4.7</v>
      </c>
      <c r="M709" s="452">
        <v>5.0999999999999996</v>
      </c>
      <c r="N709" s="452">
        <v>6</v>
      </c>
      <c r="O709" s="452">
        <v>6</v>
      </c>
      <c r="P709" s="452">
        <v>5.6</v>
      </c>
      <c r="Q709" s="454">
        <v>3</v>
      </c>
      <c r="R709" s="455">
        <f t="shared" si="11"/>
        <v>5.6916666666666673</v>
      </c>
    </row>
    <row r="710" spans="1:18" ht="13.5" customHeight="1" x14ac:dyDescent="0.2">
      <c r="A710" s="449" t="s">
        <v>1616</v>
      </c>
      <c r="B710" s="458" t="s">
        <v>1636</v>
      </c>
      <c r="C710" s="451" t="s">
        <v>1637</v>
      </c>
      <c r="D710" s="452">
        <v>6.5</v>
      </c>
      <c r="E710" s="452">
        <v>6</v>
      </c>
      <c r="F710" s="456">
        <v>6.3</v>
      </c>
      <c r="G710" s="452">
        <v>5.8</v>
      </c>
      <c r="H710" s="452">
        <v>5.4</v>
      </c>
      <c r="I710" s="456">
        <v>4.9000000000000004</v>
      </c>
      <c r="J710" s="452">
        <v>4.7</v>
      </c>
      <c r="K710" s="452">
        <v>4.5</v>
      </c>
      <c r="L710" s="452">
        <v>4</v>
      </c>
      <c r="M710" s="452">
        <v>4.9000000000000004</v>
      </c>
      <c r="N710" s="452">
        <v>6</v>
      </c>
      <c r="O710" s="452">
        <v>6.3</v>
      </c>
      <c r="P710" s="452">
        <v>5.4</v>
      </c>
      <c r="Q710" s="454">
        <v>3</v>
      </c>
      <c r="R710" s="455">
        <f t="shared" si="11"/>
        <v>5.4416666666666664</v>
      </c>
    </row>
    <row r="711" spans="1:18" ht="13.5" customHeight="1" x14ac:dyDescent="0.2">
      <c r="A711" s="449" t="s">
        <v>1617</v>
      </c>
      <c r="B711" s="458" t="s">
        <v>1636</v>
      </c>
      <c r="C711" s="451" t="s">
        <v>1637</v>
      </c>
      <c r="D711" s="452">
        <v>8.5</v>
      </c>
      <c r="E711" s="452">
        <v>8.3000000000000007</v>
      </c>
      <c r="F711" s="456">
        <v>8.5</v>
      </c>
      <c r="G711" s="452">
        <v>7.8</v>
      </c>
      <c r="H711" s="456">
        <v>7.6</v>
      </c>
      <c r="I711" s="452">
        <v>7.6</v>
      </c>
      <c r="J711" s="452">
        <v>7.2</v>
      </c>
      <c r="K711" s="452">
        <v>6.9</v>
      </c>
      <c r="L711" s="452">
        <v>6.7</v>
      </c>
      <c r="M711" s="452">
        <v>7.2</v>
      </c>
      <c r="N711" s="452">
        <v>8.1</v>
      </c>
      <c r="O711" s="452">
        <v>8.6999999999999993</v>
      </c>
      <c r="P711" s="452">
        <v>7.8</v>
      </c>
      <c r="Q711" s="454">
        <v>3</v>
      </c>
      <c r="R711" s="455">
        <f t="shared" si="11"/>
        <v>7.7583333333333337</v>
      </c>
    </row>
    <row r="712" spans="1:18" ht="13.5" customHeight="1" x14ac:dyDescent="0.2">
      <c r="A712" s="449" t="s">
        <v>1618</v>
      </c>
      <c r="B712" s="458" t="s">
        <v>1636</v>
      </c>
      <c r="C712" s="451" t="s">
        <v>1637</v>
      </c>
      <c r="D712" s="452">
        <v>8.3000000000000007</v>
      </c>
      <c r="E712" s="452">
        <v>8.3000000000000007</v>
      </c>
      <c r="F712" s="456">
        <v>9.6</v>
      </c>
      <c r="G712" s="452">
        <v>9.6</v>
      </c>
      <c r="H712" s="456">
        <v>9.4</v>
      </c>
      <c r="I712" s="452">
        <v>9.1999999999999993</v>
      </c>
      <c r="J712" s="452">
        <v>8.5</v>
      </c>
      <c r="K712" s="452">
        <v>8.1</v>
      </c>
      <c r="L712" s="452">
        <v>7.8</v>
      </c>
      <c r="M712" s="452">
        <v>8.1</v>
      </c>
      <c r="N712" s="452">
        <v>8.3000000000000007</v>
      </c>
      <c r="O712" s="452">
        <v>8.3000000000000007</v>
      </c>
      <c r="P712" s="452">
        <v>8.6999999999999993</v>
      </c>
      <c r="Q712" s="454">
        <v>3</v>
      </c>
      <c r="R712" s="455">
        <f t="shared" si="11"/>
        <v>8.6249999999999982</v>
      </c>
    </row>
    <row r="713" spans="1:18" ht="13.5" customHeight="1" x14ac:dyDescent="0.2">
      <c r="A713" s="449" t="s">
        <v>1619</v>
      </c>
      <c r="B713" s="458" t="s">
        <v>1636</v>
      </c>
      <c r="C713" s="451" t="s">
        <v>1637</v>
      </c>
      <c r="D713" s="452">
        <v>7.4</v>
      </c>
      <c r="E713" s="452">
        <v>7.4</v>
      </c>
      <c r="F713" s="456">
        <v>6.9</v>
      </c>
      <c r="G713" s="452">
        <v>6.7</v>
      </c>
      <c r="H713" s="456">
        <v>6.9</v>
      </c>
      <c r="I713" s="452">
        <v>7.4</v>
      </c>
      <c r="J713" s="452">
        <v>7.4</v>
      </c>
      <c r="K713" s="452">
        <v>6.9</v>
      </c>
      <c r="L713" s="452">
        <v>6.7</v>
      </c>
      <c r="M713" s="452">
        <v>6.7</v>
      </c>
      <c r="N713" s="452">
        <v>6.9</v>
      </c>
      <c r="O713" s="452">
        <v>7.4</v>
      </c>
      <c r="P713" s="452">
        <v>7.2</v>
      </c>
      <c r="Q713" s="454">
        <v>3</v>
      </c>
      <c r="R713" s="455">
        <f t="shared" si="11"/>
        <v>7.0583333333333345</v>
      </c>
    </row>
    <row r="714" spans="1:18" ht="13.5" customHeight="1" x14ac:dyDescent="0.2">
      <c r="A714" s="449" t="s">
        <v>1620</v>
      </c>
      <c r="B714" s="458" t="s">
        <v>1636</v>
      </c>
      <c r="C714" s="451" t="s">
        <v>1637</v>
      </c>
      <c r="D714" s="452">
        <v>4.3</v>
      </c>
      <c r="E714" s="452">
        <v>5.4</v>
      </c>
      <c r="F714" s="456">
        <v>6.7</v>
      </c>
      <c r="G714" s="452">
        <v>7.4</v>
      </c>
      <c r="H714" s="456">
        <v>7.4</v>
      </c>
      <c r="I714" s="452">
        <v>7.6</v>
      </c>
      <c r="J714" s="452">
        <v>7.2</v>
      </c>
      <c r="K714" s="452">
        <v>6.7</v>
      </c>
      <c r="L714" s="452">
        <v>6.3</v>
      </c>
      <c r="M714" s="452">
        <v>5.6</v>
      </c>
      <c r="N714" s="452">
        <v>4.7</v>
      </c>
      <c r="O714" s="452">
        <v>4</v>
      </c>
      <c r="P714" s="452">
        <v>6</v>
      </c>
      <c r="Q714" s="454">
        <v>3</v>
      </c>
      <c r="R714" s="455">
        <f t="shared" si="11"/>
        <v>6.1083333333333334</v>
      </c>
    </row>
    <row r="715" spans="1:18" ht="13.5" customHeight="1" x14ac:dyDescent="0.2">
      <c r="A715" s="449" t="s">
        <v>1621</v>
      </c>
      <c r="B715" s="458" t="s">
        <v>1636</v>
      </c>
      <c r="C715" s="451" t="s">
        <v>1637</v>
      </c>
      <c r="D715" s="452">
        <v>8.3000000000000007</v>
      </c>
      <c r="E715" s="452">
        <v>8.1</v>
      </c>
      <c r="F715" s="456">
        <v>8.1</v>
      </c>
      <c r="G715" s="452">
        <v>7.8</v>
      </c>
      <c r="H715" s="456">
        <v>6.7</v>
      </c>
      <c r="I715" s="452">
        <v>5.6</v>
      </c>
      <c r="J715" s="452">
        <v>5.0999999999999996</v>
      </c>
      <c r="K715" s="452">
        <v>4.9000000000000004</v>
      </c>
      <c r="L715" s="452">
        <v>5.6</v>
      </c>
      <c r="M715" s="452">
        <v>6.3</v>
      </c>
      <c r="N715" s="452">
        <v>6.9</v>
      </c>
      <c r="O715" s="452">
        <v>7.6</v>
      </c>
      <c r="P715" s="452">
        <v>6.7</v>
      </c>
      <c r="Q715" s="454">
        <v>3</v>
      </c>
      <c r="R715" s="455">
        <f t="shared" si="11"/>
        <v>6.75</v>
      </c>
    </row>
    <row r="716" spans="1:18" ht="13.5" customHeight="1" x14ac:dyDescent="0.2">
      <c r="A716" s="449" t="s">
        <v>1622</v>
      </c>
      <c r="B716" s="458" t="s">
        <v>1636</v>
      </c>
      <c r="C716" s="451" t="s">
        <v>1637</v>
      </c>
      <c r="D716" s="452">
        <v>5.4</v>
      </c>
      <c r="E716" s="452">
        <v>5.0999999999999996</v>
      </c>
      <c r="F716" s="456">
        <v>5.0999999999999996</v>
      </c>
      <c r="G716" s="452">
        <v>5.0999999999999996</v>
      </c>
      <c r="H716" s="456">
        <v>4</v>
      </c>
      <c r="I716" s="452">
        <v>3.4</v>
      </c>
      <c r="J716" s="452">
        <v>3.1</v>
      </c>
      <c r="K716" s="452">
        <v>2.7</v>
      </c>
      <c r="L716" s="452">
        <v>2.9</v>
      </c>
      <c r="M716" s="452">
        <v>3.1</v>
      </c>
      <c r="N716" s="452">
        <v>4</v>
      </c>
      <c r="O716" s="452">
        <v>4.7</v>
      </c>
      <c r="P716" s="452">
        <v>4</v>
      </c>
      <c r="Q716" s="454">
        <v>3</v>
      </c>
      <c r="R716" s="455">
        <f t="shared" si="11"/>
        <v>4.05</v>
      </c>
    </row>
    <row r="717" spans="1:18" ht="13.5" customHeight="1" x14ac:dyDescent="0.2">
      <c r="A717" s="449" t="s">
        <v>1623</v>
      </c>
      <c r="B717" s="458" t="s">
        <v>1636</v>
      </c>
      <c r="C717" s="451" t="s">
        <v>1637</v>
      </c>
      <c r="D717" s="452">
        <v>5.8</v>
      </c>
      <c r="E717" s="452">
        <v>5.8</v>
      </c>
      <c r="F717" s="456">
        <v>5.8</v>
      </c>
      <c r="G717" s="452">
        <v>5.8</v>
      </c>
      <c r="H717" s="456">
        <v>4.5</v>
      </c>
      <c r="I717" s="452">
        <v>3.6</v>
      </c>
      <c r="J717" s="452">
        <v>3.1</v>
      </c>
      <c r="K717" s="452">
        <v>2.7</v>
      </c>
      <c r="L717" s="452">
        <v>2.9</v>
      </c>
      <c r="M717" s="452">
        <v>3.6</v>
      </c>
      <c r="N717" s="452">
        <v>4.7</v>
      </c>
      <c r="O717" s="452">
        <v>5.0999999999999996</v>
      </c>
      <c r="P717" s="452">
        <v>4.5</v>
      </c>
      <c r="Q717" s="454">
        <v>3</v>
      </c>
      <c r="R717" s="455">
        <f t="shared" si="11"/>
        <v>4.45</v>
      </c>
    </row>
    <row r="718" spans="1:18" ht="13.5" customHeight="1" x14ac:dyDescent="0.2">
      <c r="A718" s="449" t="s">
        <v>1624</v>
      </c>
      <c r="B718" s="458" t="s">
        <v>1636</v>
      </c>
      <c r="C718" s="451" t="s">
        <v>1637</v>
      </c>
      <c r="D718" s="452">
        <v>6.9</v>
      </c>
      <c r="E718" s="452">
        <v>6.7</v>
      </c>
      <c r="F718" s="452">
        <v>6.9</v>
      </c>
      <c r="G718" s="452">
        <v>6.7</v>
      </c>
      <c r="H718" s="452">
        <v>5.6</v>
      </c>
      <c r="I718" s="452">
        <v>4.9000000000000004</v>
      </c>
      <c r="J718" s="452">
        <v>4.7</v>
      </c>
      <c r="K718" s="452">
        <v>4.3</v>
      </c>
      <c r="L718" s="452">
        <v>4.5</v>
      </c>
      <c r="M718" s="452">
        <v>4.9000000000000004</v>
      </c>
      <c r="N718" s="452">
        <v>5.8</v>
      </c>
      <c r="O718" s="452">
        <v>6.3</v>
      </c>
      <c r="P718" s="452">
        <v>5.6</v>
      </c>
      <c r="Q718" s="454">
        <v>3</v>
      </c>
      <c r="R718" s="455">
        <f t="shared" si="11"/>
        <v>5.6833333333333327</v>
      </c>
    </row>
    <row r="719" spans="1:18" ht="13.5" customHeight="1" x14ac:dyDescent="0.2">
      <c r="A719" s="449" t="s">
        <v>1625</v>
      </c>
      <c r="B719" s="458" t="s">
        <v>1636</v>
      </c>
      <c r="C719" s="451" t="s">
        <v>1637</v>
      </c>
      <c r="D719" s="452">
        <v>7.4</v>
      </c>
      <c r="E719" s="452">
        <v>7.6</v>
      </c>
      <c r="F719" s="452">
        <v>7.6</v>
      </c>
      <c r="G719" s="452">
        <v>8.6999999999999993</v>
      </c>
      <c r="H719" s="452">
        <v>8.3000000000000007</v>
      </c>
      <c r="I719" s="452">
        <v>7.2</v>
      </c>
      <c r="J719" s="452">
        <v>6.5</v>
      </c>
      <c r="K719" s="452">
        <v>6.3</v>
      </c>
      <c r="L719" s="452">
        <v>6.9</v>
      </c>
      <c r="M719" s="452">
        <v>7.6</v>
      </c>
      <c r="N719" s="452">
        <v>7.6</v>
      </c>
      <c r="O719" s="452">
        <v>7.2</v>
      </c>
      <c r="P719" s="452">
        <v>7.4</v>
      </c>
      <c r="Q719" s="454">
        <v>3</v>
      </c>
      <c r="R719" s="455">
        <f t="shared" si="11"/>
        <v>7.4083333333333323</v>
      </c>
    </row>
    <row r="720" spans="1:18" ht="13.5" customHeight="1" x14ac:dyDescent="0.2">
      <c r="A720" s="449" t="s">
        <v>1626</v>
      </c>
      <c r="B720" s="458" t="s">
        <v>1636</v>
      </c>
      <c r="C720" s="451" t="s">
        <v>1637</v>
      </c>
      <c r="D720" s="452">
        <v>9.6</v>
      </c>
      <c r="E720" s="452">
        <v>9.4</v>
      </c>
      <c r="F720" s="452">
        <v>9.4</v>
      </c>
      <c r="G720" s="452">
        <v>10.5</v>
      </c>
      <c r="H720" s="452">
        <v>9.1999999999999993</v>
      </c>
      <c r="I720" s="452">
        <v>7.6</v>
      </c>
      <c r="J720" s="452">
        <v>7.2</v>
      </c>
      <c r="K720" s="452">
        <v>6.7</v>
      </c>
      <c r="L720" s="452">
        <v>7.6</v>
      </c>
      <c r="M720" s="452">
        <v>8.6999999999999993</v>
      </c>
      <c r="N720" s="452">
        <v>9.1999999999999993</v>
      </c>
      <c r="O720" s="452">
        <v>8.9</v>
      </c>
      <c r="P720" s="452">
        <v>8.6999999999999993</v>
      </c>
      <c r="Q720" s="454">
        <v>3</v>
      </c>
      <c r="R720" s="455">
        <f t="shared" si="11"/>
        <v>8.6666666666666661</v>
      </c>
    </row>
    <row r="721" spans="1:18" ht="13.5" customHeight="1" x14ac:dyDescent="0.2">
      <c r="A721" s="449" t="s">
        <v>1627</v>
      </c>
      <c r="B721" s="458" t="s">
        <v>1636</v>
      </c>
      <c r="C721" s="451" t="s">
        <v>1637</v>
      </c>
      <c r="D721" s="452">
        <v>8.6999999999999993</v>
      </c>
      <c r="E721" s="452">
        <v>8.9</v>
      </c>
      <c r="F721" s="452">
        <v>9.1999999999999993</v>
      </c>
      <c r="G721" s="452">
        <v>9.8000000000000007</v>
      </c>
      <c r="H721" s="452">
        <v>9.1999999999999993</v>
      </c>
      <c r="I721" s="452">
        <v>8.1</v>
      </c>
      <c r="J721" s="452">
        <v>7.6</v>
      </c>
      <c r="K721" s="452">
        <v>7.4</v>
      </c>
      <c r="L721" s="452">
        <v>8.3000000000000007</v>
      </c>
      <c r="M721" s="452">
        <v>9.1999999999999993</v>
      </c>
      <c r="N721" s="452">
        <v>9.4</v>
      </c>
      <c r="O721" s="452">
        <v>8.6999999999999993</v>
      </c>
      <c r="P721" s="452">
        <v>8.6999999999999993</v>
      </c>
      <c r="Q721" s="454">
        <v>3</v>
      </c>
      <c r="R721" s="455">
        <f t="shared" si="11"/>
        <v>8.7083333333333339</v>
      </c>
    </row>
    <row r="722" spans="1:18" ht="13.5" customHeight="1" x14ac:dyDescent="0.2">
      <c r="A722" s="449" t="s">
        <v>1628</v>
      </c>
      <c r="B722" s="458" t="s">
        <v>1636</v>
      </c>
      <c r="C722" s="451" t="s">
        <v>1637</v>
      </c>
      <c r="D722" s="452">
        <v>8.5</v>
      </c>
      <c r="E722" s="452">
        <v>8.5</v>
      </c>
      <c r="F722" s="452">
        <v>8.9</v>
      </c>
      <c r="G722" s="452">
        <v>9.6</v>
      </c>
      <c r="H722" s="452">
        <v>8.3000000000000007</v>
      </c>
      <c r="I722" s="452">
        <v>6.9</v>
      </c>
      <c r="J722" s="452">
        <v>6.5</v>
      </c>
      <c r="K722" s="452">
        <v>6</v>
      </c>
      <c r="L722" s="452">
        <v>6.7</v>
      </c>
      <c r="M722" s="452">
        <v>7.8</v>
      </c>
      <c r="N722" s="452">
        <v>8.5</v>
      </c>
      <c r="O722" s="452">
        <v>8.1</v>
      </c>
      <c r="P722" s="452">
        <v>7.8</v>
      </c>
      <c r="Q722" s="454">
        <v>3</v>
      </c>
      <c r="R722" s="455">
        <f t="shared" si="11"/>
        <v>7.8583333333333316</v>
      </c>
    </row>
    <row r="723" spans="1:18" ht="13.5" customHeight="1" x14ac:dyDescent="0.2">
      <c r="A723" s="449" t="s">
        <v>1629</v>
      </c>
      <c r="B723" s="458" t="s">
        <v>1636</v>
      </c>
      <c r="C723" s="451" t="s">
        <v>1637</v>
      </c>
      <c r="D723" s="452">
        <v>11</v>
      </c>
      <c r="E723" s="452">
        <v>10.7</v>
      </c>
      <c r="F723" s="452">
        <v>10.7</v>
      </c>
      <c r="G723" s="452">
        <v>11.6</v>
      </c>
      <c r="H723" s="452">
        <v>10.3</v>
      </c>
      <c r="I723" s="452">
        <v>8.6999999999999993</v>
      </c>
      <c r="J723" s="452">
        <v>8.9</v>
      </c>
      <c r="K723" s="452">
        <v>8.5</v>
      </c>
      <c r="L723" s="452">
        <v>8.9</v>
      </c>
      <c r="M723" s="452">
        <v>10.1</v>
      </c>
      <c r="N723" s="452">
        <v>10.5</v>
      </c>
      <c r="O723" s="452">
        <v>10.5</v>
      </c>
      <c r="P723" s="452">
        <v>10.1</v>
      </c>
      <c r="Q723" s="454">
        <v>3</v>
      </c>
      <c r="R723" s="455">
        <f t="shared" si="11"/>
        <v>10.033333333333333</v>
      </c>
    </row>
    <row r="724" spans="1:18" ht="13.5" customHeight="1" x14ac:dyDescent="0.2">
      <c r="A724" s="449" t="s">
        <v>1630</v>
      </c>
      <c r="B724" s="458" t="s">
        <v>1636</v>
      </c>
      <c r="C724" s="451" t="s">
        <v>1637</v>
      </c>
      <c r="D724" s="452">
        <v>14.8</v>
      </c>
      <c r="E724" s="452">
        <v>13.4</v>
      </c>
      <c r="F724" s="452">
        <v>12.5</v>
      </c>
      <c r="G724" s="452">
        <v>11.6</v>
      </c>
      <c r="H724" s="452">
        <v>10.5</v>
      </c>
      <c r="I724" s="452">
        <v>10.3</v>
      </c>
      <c r="J724" s="452">
        <v>9.1999999999999993</v>
      </c>
      <c r="K724" s="452">
        <v>9.4</v>
      </c>
      <c r="L724" s="452">
        <v>9.8000000000000007</v>
      </c>
      <c r="M724" s="452">
        <v>11</v>
      </c>
      <c r="N724" s="452">
        <v>13.4</v>
      </c>
      <c r="O724" s="452">
        <v>15</v>
      </c>
      <c r="P724" s="452">
        <v>11.6</v>
      </c>
      <c r="Q724" s="454">
        <v>3</v>
      </c>
      <c r="R724" s="455">
        <f t="shared" si="11"/>
        <v>11.741666666666669</v>
      </c>
    </row>
    <row r="725" spans="1:18" ht="13.5" customHeight="1" x14ac:dyDescent="0.2">
      <c r="A725" s="449" t="s">
        <v>1631</v>
      </c>
      <c r="B725" s="458" t="s">
        <v>1636</v>
      </c>
      <c r="C725" s="451" t="s">
        <v>1637</v>
      </c>
      <c r="D725" s="452">
        <v>14.1</v>
      </c>
      <c r="E725" s="452">
        <v>13.6</v>
      </c>
      <c r="F725" s="452">
        <v>13.6</v>
      </c>
      <c r="G725" s="452">
        <v>13.2</v>
      </c>
      <c r="H725" s="452">
        <v>12.1</v>
      </c>
      <c r="I725" s="452">
        <v>11</v>
      </c>
      <c r="J725" s="452">
        <v>9.8000000000000007</v>
      </c>
      <c r="K725" s="452">
        <v>9.8000000000000007</v>
      </c>
      <c r="L725" s="452">
        <v>10.5</v>
      </c>
      <c r="M725" s="452">
        <v>11.9</v>
      </c>
      <c r="N725" s="452">
        <v>13.2</v>
      </c>
      <c r="O725" s="452">
        <v>13.9</v>
      </c>
      <c r="P725" s="452">
        <v>12.3</v>
      </c>
      <c r="Q725" s="454">
        <v>3</v>
      </c>
      <c r="R725" s="455">
        <f t="shared" si="11"/>
        <v>12.225</v>
      </c>
    </row>
    <row r="726" spans="1:18" ht="13.5" customHeight="1" x14ac:dyDescent="0.2">
      <c r="A726" s="449" t="s">
        <v>1632</v>
      </c>
      <c r="B726" s="458" t="s">
        <v>1636</v>
      </c>
      <c r="C726" s="451" t="s">
        <v>1637</v>
      </c>
      <c r="D726" s="452">
        <v>4.9000000000000004</v>
      </c>
      <c r="E726" s="452">
        <v>4.9000000000000004</v>
      </c>
      <c r="F726" s="452">
        <v>6.7</v>
      </c>
      <c r="G726" s="452">
        <v>7.4</v>
      </c>
      <c r="H726" s="452">
        <v>7.4</v>
      </c>
      <c r="I726" s="452">
        <v>7.4</v>
      </c>
      <c r="J726" s="452">
        <v>7.2</v>
      </c>
      <c r="K726" s="452">
        <v>6.9</v>
      </c>
      <c r="L726" s="452">
        <v>6.5</v>
      </c>
      <c r="M726" s="452">
        <v>5.6</v>
      </c>
      <c r="N726" s="452">
        <v>5.0999999999999996</v>
      </c>
      <c r="O726" s="452">
        <v>4.9000000000000004</v>
      </c>
      <c r="P726" s="452">
        <v>6.3</v>
      </c>
      <c r="Q726" s="454">
        <v>3</v>
      </c>
      <c r="R726" s="455">
        <f t="shared" si="11"/>
        <v>6.2416666666666663</v>
      </c>
    </row>
    <row r="727" spans="1:18" ht="13.5" customHeight="1" x14ac:dyDescent="0.2">
      <c r="A727" s="449" t="s">
        <v>1633</v>
      </c>
      <c r="B727" s="458" t="s">
        <v>1636</v>
      </c>
      <c r="C727" s="451" t="s">
        <v>1637</v>
      </c>
      <c r="D727" s="452">
        <v>12.1</v>
      </c>
      <c r="E727" s="452">
        <v>11.2</v>
      </c>
      <c r="F727" s="452">
        <v>12.1</v>
      </c>
      <c r="G727" s="452">
        <v>12.3</v>
      </c>
      <c r="H727" s="452">
        <v>11.2</v>
      </c>
      <c r="I727" s="452">
        <v>10.7</v>
      </c>
      <c r="J727" s="452">
        <v>9.4</v>
      </c>
      <c r="K727" s="452">
        <v>8.9</v>
      </c>
      <c r="L727" s="452">
        <v>9.4</v>
      </c>
      <c r="M727" s="452">
        <v>11</v>
      </c>
      <c r="N727" s="452">
        <v>11.2</v>
      </c>
      <c r="O727" s="452">
        <v>11.4</v>
      </c>
      <c r="P727" s="452">
        <v>11</v>
      </c>
      <c r="Q727" s="454">
        <v>3</v>
      </c>
      <c r="R727" s="455">
        <f t="shared" si="11"/>
        <v>10.908333333333337</v>
      </c>
    </row>
    <row r="728" spans="1:18" ht="13.5" customHeight="1" x14ac:dyDescent="0.2">
      <c r="A728" s="449" t="s">
        <v>1634</v>
      </c>
      <c r="B728" s="458" t="s">
        <v>1636</v>
      </c>
      <c r="C728" s="451" t="s">
        <v>1637</v>
      </c>
      <c r="D728" s="452">
        <v>6.5</v>
      </c>
      <c r="E728" s="452">
        <v>6.9</v>
      </c>
      <c r="F728" s="452">
        <v>7.8</v>
      </c>
      <c r="G728" s="452">
        <v>8.9</v>
      </c>
      <c r="H728" s="452">
        <v>8.3000000000000007</v>
      </c>
      <c r="I728" s="452">
        <v>7.2</v>
      </c>
      <c r="J728" s="452">
        <v>6.5</v>
      </c>
      <c r="K728" s="452">
        <v>6</v>
      </c>
      <c r="L728" s="452">
        <v>6.3</v>
      </c>
      <c r="M728" s="452">
        <v>6.7</v>
      </c>
      <c r="N728" s="452">
        <v>6.5</v>
      </c>
      <c r="O728" s="452">
        <v>6.5</v>
      </c>
      <c r="P728" s="452">
        <v>6.9</v>
      </c>
      <c r="Q728" s="454">
        <v>3</v>
      </c>
      <c r="R728" s="455">
        <f t="shared" si="11"/>
        <v>7.0083333333333337</v>
      </c>
    </row>
    <row r="729" spans="1:18" ht="13.5" customHeight="1" x14ac:dyDescent="0.2">
      <c r="A729" s="449" t="s">
        <v>1391</v>
      </c>
      <c r="B729" s="458" t="s">
        <v>1638</v>
      </c>
      <c r="C729" s="451" t="s">
        <v>1639</v>
      </c>
      <c r="D729" s="454">
        <v>769</v>
      </c>
      <c r="E729" s="454">
        <v>1013</v>
      </c>
      <c r="F729" s="459">
        <v>1382</v>
      </c>
      <c r="G729" s="459">
        <v>1720</v>
      </c>
      <c r="H729" s="454">
        <v>1884</v>
      </c>
      <c r="I729" s="460">
        <v>1928</v>
      </c>
      <c r="J729" s="460">
        <v>1889</v>
      </c>
      <c r="K729" s="454">
        <v>1760</v>
      </c>
      <c r="L729" s="454">
        <v>1504</v>
      </c>
      <c r="M729" s="454">
        <v>1212</v>
      </c>
      <c r="N729" s="454">
        <v>890</v>
      </c>
      <c r="O729" s="454">
        <v>699</v>
      </c>
      <c r="P729" s="454">
        <v>1388</v>
      </c>
      <c r="Q729" s="454">
        <v>4</v>
      </c>
      <c r="R729" s="455">
        <f t="shared" si="11"/>
        <v>1387.5</v>
      </c>
    </row>
    <row r="730" spans="1:18" ht="13.5" customHeight="1" x14ac:dyDescent="0.2">
      <c r="A730" s="449" t="s">
        <v>1394</v>
      </c>
      <c r="B730" s="458" t="s">
        <v>1638</v>
      </c>
      <c r="C730" s="451" t="s">
        <v>1639</v>
      </c>
      <c r="D730" s="454">
        <v>714</v>
      </c>
      <c r="E730" s="454">
        <v>949</v>
      </c>
      <c r="F730" s="459">
        <v>1314</v>
      </c>
      <c r="G730" s="459">
        <v>1690</v>
      </c>
      <c r="H730" s="454">
        <v>1868</v>
      </c>
      <c r="I730" s="460">
        <v>1973</v>
      </c>
      <c r="J730" s="460">
        <v>1948</v>
      </c>
      <c r="K730" s="454">
        <v>1823</v>
      </c>
      <c r="L730" s="454">
        <v>1508</v>
      </c>
      <c r="M730" s="454">
        <v>1191</v>
      </c>
      <c r="N730" s="454">
        <v>835</v>
      </c>
      <c r="O730" s="454">
        <v>656</v>
      </c>
      <c r="P730" s="454">
        <v>1372</v>
      </c>
      <c r="Q730" s="454">
        <v>4</v>
      </c>
      <c r="R730" s="455">
        <f t="shared" si="11"/>
        <v>1372.4166666666667</v>
      </c>
    </row>
    <row r="731" spans="1:18" ht="13.5" customHeight="1" x14ac:dyDescent="0.2">
      <c r="A731" s="449" t="s">
        <v>1395</v>
      </c>
      <c r="B731" s="458" t="s">
        <v>1638</v>
      </c>
      <c r="C731" s="451" t="s">
        <v>1639</v>
      </c>
      <c r="D731" s="454">
        <v>865</v>
      </c>
      <c r="E731" s="454">
        <v>1114</v>
      </c>
      <c r="F731" s="459">
        <v>1446</v>
      </c>
      <c r="G731" s="459">
        <v>1774</v>
      </c>
      <c r="H731" s="454">
        <v>1955</v>
      </c>
      <c r="I731" s="460">
        <v>1925</v>
      </c>
      <c r="J731" s="460">
        <v>1876</v>
      </c>
      <c r="K731" s="454">
        <v>1767</v>
      </c>
      <c r="L731" s="454">
        <v>1557</v>
      </c>
      <c r="M731" s="454">
        <v>1304</v>
      </c>
      <c r="N731" s="454">
        <v>1024</v>
      </c>
      <c r="O731" s="454">
        <v>818</v>
      </c>
      <c r="P731" s="454">
        <v>1452</v>
      </c>
      <c r="Q731" s="454">
        <v>4</v>
      </c>
      <c r="R731" s="455">
        <f t="shared" si="11"/>
        <v>1452.0833333333333</v>
      </c>
    </row>
    <row r="732" spans="1:18" ht="13.5" customHeight="1" x14ac:dyDescent="0.2">
      <c r="A732" s="449" t="s">
        <v>1396</v>
      </c>
      <c r="B732" s="458" t="s">
        <v>1638</v>
      </c>
      <c r="C732" s="451" t="s">
        <v>1639</v>
      </c>
      <c r="D732" s="454">
        <v>823</v>
      </c>
      <c r="E732" s="454">
        <v>1076</v>
      </c>
      <c r="F732" s="459">
        <v>1421</v>
      </c>
      <c r="G732" s="459">
        <v>1766</v>
      </c>
      <c r="H732" s="454">
        <v>1952</v>
      </c>
      <c r="I732" s="460">
        <v>1951</v>
      </c>
      <c r="J732" s="460">
        <v>1943</v>
      </c>
      <c r="K732" s="454">
        <v>1781</v>
      </c>
      <c r="L732" s="454">
        <v>1530</v>
      </c>
      <c r="M732" s="454">
        <v>1223</v>
      </c>
      <c r="N732" s="454">
        <v>950</v>
      </c>
      <c r="O732" s="454">
        <v>749</v>
      </c>
      <c r="P732" s="454">
        <v>1430</v>
      </c>
      <c r="Q732" s="454">
        <v>4</v>
      </c>
      <c r="R732" s="455">
        <f t="shared" si="11"/>
        <v>1430.4166666666667</v>
      </c>
    </row>
    <row r="733" spans="1:18" ht="13.5" customHeight="1" x14ac:dyDescent="0.2">
      <c r="A733" s="449" t="s">
        <v>1397</v>
      </c>
      <c r="B733" s="458" t="s">
        <v>1638</v>
      </c>
      <c r="C733" s="451" t="s">
        <v>1639</v>
      </c>
      <c r="D733" s="454">
        <v>1058</v>
      </c>
      <c r="E733" s="454">
        <v>1335</v>
      </c>
      <c r="F733" s="459">
        <v>1774</v>
      </c>
      <c r="G733" s="459">
        <v>2248</v>
      </c>
      <c r="H733" s="454">
        <v>2495</v>
      </c>
      <c r="I733" s="460">
        <v>2606</v>
      </c>
      <c r="J733" s="460">
        <v>2379</v>
      </c>
      <c r="K733" s="454">
        <v>2144</v>
      </c>
      <c r="L733" s="454">
        <v>1910</v>
      </c>
      <c r="M733" s="454">
        <v>1542</v>
      </c>
      <c r="N733" s="454">
        <v>1172</v>
      </c>
      <c r="O733" s="454">
        <v>967</v>
      </c>
      <c r="P733" s="454">
        <v>1802</v>
      </c>
      <c r="Q733" s="454">
        <v>4</v>
      </c>
      <c r="R733" s="455">
        <f t="shared" si="11"/>
        <v>1802.5</v>
      </c>
    </row>
    <row r="734" spans="1:18" ht="13.5" customHeight="1" x14ac:dyDescent="0.2">
      <c r="A734" s="449" t="s">
        <v>1398</v>
      </c>
      <c r="B734" s="458" t="s">
        <v>1638</v>
      </c>
      <c r="C734" s="451" t="s">
        <v>1639</v>
      </c>
      <c r="D734" s="454">
        <v>982</v>
      </c>
      <c r="E734" s="454">
        <v>1245</v>
      </c>
      <c r="F734" s="459">
        <v>1694</v>
      </c>
      <c r="G734" s="459">
        <v>2156</v>
      </c>
      <c r="H734" s="454">
        <v>2415</v>
      </c>
      <c r="I734" s="460">
        <v>2571</v>
      </c>
      <c r="J734" s="460">
        <v>2171</v>
      </c>
      <c r="K734" s="454">
        <v>1903</v>
      </c>
      <c r="L734" s="454">
        <v>1805</v>
      </c>
      <c r="M734" s="454">
        <v>1493</v>
      </c>
      <c r="N734" s="454">
        <v>1130</v>
      </c>
      <c r="O734" s="454">
        <v>901</v>
      </c>
      <c r="P734" s="454">
        <v>1705</v>
      </c>
      <c r="Q734" s="454">
        <v>4</v>
      </c>
      <c r="R734" s="455">
        <f t="shared" si="11"/>
        <v>1705.5</v>
      </c>
    </row>
    <row r="735" spans="1:18" ht="13.5" customHeight="1" x14ac:dyDescent="0.2">
      <c r="A735" s="449" t="s">
        <v>1399</v>
      </c>
      <c r="B735" s="458" t="s">
        <v>1638</v>
      </c>
      <c r="C735" s="451" t="s">
        <v>1639</v>
      </c>
      <c r="D735" s="454">
        <v>1110</v>
      </c>
      <c r="E735" s="454">
        <v>1370</v>
      </c>
      <c r="F735" s="454">
        <v>1840</v>
      </c>
      <c r="G735" s="454">
        <v>2279</v>
      </c>
      <c r="H735" s="454">
        <v>2510</v>
      </c>
      <c r="I735" s="454">
        <v>2582</v>
      </c>
      <c r="J735" s="460">
        <v>2198</v>
      </c>
      <c r="K735" s="454">
        <v>2007</v>
      </c>
      <c r="L735" s="454">
        <v>1886</v>
      </c>
      <c r="M735" s="454">
        <v>1595</v>
      </c>
      <c r="N735" s="454">
        <v>1249</v>
      </c>
      <c r="O735" s="454">
        <v>1033</v>
      </c>
      <c r="P735" s="454">
        <v>1805</v>
      </c>
      <c r="Q735" s="454">
        <v>4</v>
      </c>
      <c r="R735" s="455">
        <f t="shared" si="11"/>
        <v>1804.9166666666667</v>
      </c>
    </row>
    <row r="736" spans="1:18" ht="13.5" customHeight="1" x14ac:dyDescent="0.2">
      <c r="A736" s="449" t="s">
        <v>1400</v>
      </c>
      <c r="B736" s="458" t="s">
        <v>1638</v>
      </c>
      <c r="C736" s="451" t="s">
        <v>1639</v>
      </c>
      <c r="D736" s="454">
        <v>738</v>
      </c>
      <c r="E736" s="454">
        <v>977</v>
      </c>
      <c r="F736" s="454">
        <v>1299</v>
      </c>
      <c r="G736" s="454">
        <v>1674</v>
      </c>
      <c r="H736" s="454">
        <v>1808</v>
      </c>
      <c r="I736" s="454">
        <v>1991</v>
      </c>
      <c r="J736" s="460">
        <v>2117</v>
      </c>
      <c r="K736" s="454">
        <v>1918</v>
      </c>
      <c r="L736" s="454">
        <v>1522</v>
      </c>
      <c r="M736" s="454">
        <v>1177</v>
      </c>
      <c r="N736" s="454">
        <v>811</v>
      </c>
      <c r="O736" s="454">
        <v>674</v>
      </c>
      <c r="P736" s="454">
        <v>1392</v>
      </c>
      <c r="Q736" s="454">
        <v>4</v>
      </c>
      <c r="R736" s="455">
        <f t="shared" si="11"/>
        <v>1392.1666666666667</v>
      </c>
    </row>
    <row r="737" spans="1:18" ht="13.5" customHeight="1" x14ac:dyDescent="0.2">
      <c r="A737" s="449" t="s">
        <v>1401</v>
      </c>
      <c r="B737" s="458" t="s">
        <v>1638</v>
      </c>
      <c r="C737" s="451" t="s">
        <v>1639</v>
      </c>
      <c r="D737" s="454">
        <v>717</v>
      </c>
      <c r="E737" s="454">
        <v>970</v>
      </c>
      <c r="F737" s="454">
        <v>1302</v>
      </c>
      <c r="G737" s="454">
        <v>1686</v>
      </c>
      <c r="H737" s="454">
        <v>1820</v>
      </c>
      <c r="I737" s="454">
        <v>2008</v>
      </c>
      <c r="J737" s="460">
        <v>2009</v>
      </c>
      <c r="K737" s="454">
        <v>1879</v>
      </c>
      <c r="L737" s="454">
        <v>1534</v>
      </c>
      <c r="M737" s="454">
        <v>1171</v>
      </c>
      <c r="N737" s="454">
        <v>814</v>
      </c>
      <c r="O737" s="454">
        <v>656</v>
      </c>
      <c r="P737" s="454">
        <v>1380</v>
      </c>
      <c r="Q737" s="454">
        <v>4</v>
      </c>
      <c r="R737" s="455">
        <f t="shared" si="11"/>
        <v>1380.5</v>
      </c>
    </row>
    <row r="738" spans="1:18" ht="13.5" customHeight="1" x14ac:dyDescent="0.2">
      <c r="A738" s="449" t="s">
        <v>1402</v>
      </c>
      <c r="B738" s="458" t="s">
        <v>1638</v>
      </c>
      <c r="C738" s="451" t="s">
        <v>1639</v>
      </c>
      <c r="D738" s="454">
        <v>527</v>
      </c>
      <c r="E738" s="454">
        <v>730</v>
      </c>
      <c r="F738" s="454">
        <v>1139</v>
      </c>
      <c r="G738" s="454">
        <v>1516</v>
      </c>
      <c r="H738" s="454">
        <v>1822</v>
      </c>
      <c r="I738" s="454">
        <v>1946</v>
      </c>
      <c r="J738" s="460">
        <v>1809</v>
      </c>
      <c r="K738" s="454">
        <v>1573</v>
      </c>
      <c r="L738" s="454">
        <v>1327</v>
      </c>
      <c r="M738" s="454">
        <v>971</v>
      </c>
      <c r="N738" s="454">
        <v>613</v>
      </c>
      <c r="O738" s="454">
        <v>460</v>
      </c>
      <c r="P738" s="454">
        <v>1203</v>
      </c>
      <c r="Q738" s="454">
        <v>4</v>
      </c>
      <c r="R738" s="455">
        <f t="shared" si="11"/>
        <v>1202.75</v>
      </c>
    </row>
    <row r="739" spans="1:18" ht="13.5" customHeight="1" x14ac:dyDescent="0.2">
      <c r="A739" s="449" t="s">
        <v>1403</v>
      </c>
      <c r="B739" s="458" t="s">
        <v>1638</v>
      </c>
      <c r="C739" s="451" t="s">
        <v>1639</v>
      </c>
      <c r="D739" s="454">
        <v>717</v>
      </c>
      <c r="E739" s="454">
        <v>1031</v>
      </c>
      <c r="F739" s="454">
        <v>1543</v>
      </c>
      <c r="G739" s="454">
        <v>2010</v>
      </c>
      <c r="H739" s="454">
        <v>2358</v>
      </c>
      <c r="I739" s="454">
        <v>2570</v>
      </c>
      <c r="J739" s="460">
        <v>2500</v>
      </c>
      <c r="K739" s="454">
        <v>2293</v>
      </c>
      <c r="L739" s="454">
        <v>1911</v>
      </c>
      <c r="M739" s="454">
        <v>1411</v>
      </c>
      <c r="N739" s="454">
        <v>952</v>
      </c>
      <c r="O739" s="454">
        <v>696</v>
      </c>
      <c r="P739" s="454">
        <v>1666</v>
      </c>
      <c r="Q739" s="454">
        <v>4</v>
      </c>
      <c r="R739" s="455">
        <f t="shared" si="11"/>
        <v>1666</v>
      </c>
    </row>
    <row r="740" spans="1:18" ht="13.5" customHeight="1" x14ac:dyDescent="0.2">
      <c r="A740" s="449" t="s">
        <v>1404</v>
      </c>
      <c r="B740" s="458" t="s">
        <v>1638</v>
      </c>
      <c r="C740" s="451" t="s">
        <v>1639</v>
      </c>
      <c r="D740" s="454">
        <v>882</v>
      </c>
      <c r="E740" s="454">
        <v>1186</v>
      </c>
      <c r="F740" s="454">
        <v>1683</v>
      </c>
      <c r="G740" s="454">
        <v>2080</v>
      </c>
      <c r="H740" s="454">
        <v>2378</v>
      </c>
      <c r="I740" s="454">
        <v>2564</v>
      </c>
      <c r="J740" s="460">
        <v>2487</v>
      </c>
      <c r="K740" s="454">
        <v>2278</v>
      </c>
      <c r="L740" s="454">
        <v>1925</v>
      </c>
      <c r="M740" s="454">
        <v>1457</v>
      </c>
      <c r="N740" s="454">
        <v>1046</v>
      </c>
      <c r="O740" s="454">
        <v>824</v>
      </c>
      <c r="P740" s="454">
        <v>1732</v>
      </c>
      <c r="Q740" s="454">
        <v>4</v>
      </c>
      <c r="R740" s="455">
        <f t="shared" si="11"/>
        <v>1732.5</v>
      </c>
    </row>
    <row r="741" spans="1:18" ht="13.5" customHeight="1" x14ac:dyDescent="0.2">
      <c r="A741" s="449" t="s">
        <v>1405</v>
      </c>
      <c r="B741" s="458" t="s">
        <v>1638</v>
      </c>
      <c r="C741" s="451" t="s">
        <v>1639</v>
      </c>
      <c r="D741" s="454">
        <v>992</v>
      </c>
      <c r="E741" s="454">
        <v>1270</v>
      </c>
      <c r="F741" s="454">
        <v>1756</v>
      </c>
      <c r="G741" s="454">
        <v>2197</v>
      </c>
      <c r="H741" s="454">
        <v>2492</v>
      </c>
      <c r="I741" s="454">
        <v>2656</v>
      </c>
      <c r="J741" s="460">
        <v>2470</v>
      </c>
      <c r="K741" s="454">
        <v>2259</v>
      </c>
      <c r="L741" s="454">
        <v>1972</v>
      </c>
      <c r="M741" s="454">
        <v>1544</v>
      </c>
      <c r="N741" s="454">
        <v>1142</v>
      </c>
      <c r="O741" s="454">
        <v>921</v>
      </c>
      <c r="P741" s="454">
        <v>1806</v>
      </c>
      <c r="Q741" s="454">
        <v>4</v>
      </c>
      <c r="R741" s="455">
        <f t="shared" si="11"/>
        <v>1805.9166666666667</v>
      </c>
    </row>
    <row r="742" spans="1:18" ht="13.5" customHeight="1" x14ac:dyDescent="0.2">
      <c r="A742" s="449" t="s">
        <v>1406</v>
      </c>
      <c r="B742" s="458" t="s">
        <v>1638</v>
      </c>
      <c r="C742" s="451" t="s">
        <v>1639</v>
      </c>
      <c r="D742" s="454">
        <v>638</v>
      </c>
      <c r="E742" s="454">
        <v>973</v>
      </c>
      <c r="F742" s="459">
        <v>1519</v>
      </c>
      <c r="G742" s="459">
        <v>2002</v>
      </c>
      <c r="H742" s="454">
        <v>2368</v>
      </c>
      <c r="I742" s="460">
        <v>2573</v>
      </c>
      <c r="J742" s="454">
        <v>2534</v>
      </c>
      <c r="K742" s="454">
        <v>2290</v>
      </c>
      <c r="L742" s="454">
        <v>1895</v>
      </c>
      <c r="M742" s="454">
        <v>1383</v>
      </c>
      <c r="N742" s="454">
        <v>889</v>
      </c>
      <c r="O742" s="454">
        <v>602</v>
      </c>
      <c r="P742" s="454">
        <v>1639</v>
      </c>
      <c r="Q742" s="454">
        <v>4</v>
      </c>
      <c r="R742" s="455">
        <f t="shared" si="11"/>
        <v>1638.8333333333333</v>
      </c>
    </row>
    <row r="743" spans="1:18" ht="13.5" customHeight="1" x14ac:dyDescent="0.2">
      <c r="A743" s="449" t="s">
        <v>1407</v>
      </c>
      <c r="B743" s="458" t="s">
        <v>1638</v>
      </c>
      <c r="C743" s="451" t="s">
        <v>1639</v>
      </c>
      <c r="D743" s="454">
        <v>894</v>
      </c>
      <c r="E743" s="454">
        <v>1109</v>
      </c>
      <c r="F743" s="459">
        <v>1548</v>
      </c>
      <c r="G743" s="459">
        <v>1958</v>
      </c>
      <c r="H743" s="454">
        <v>2066</v>
      </c>
      <c r="I743" s="460">
        <v>2207</v>
      </c>
      <c r="J743" s="454">
        <v>2264</v>
      </c>
      <c r="K743" s="454">
        <v>2156</v>
      </c>
      <c r="L743" s="454">
        <v>1767</v>
      </c>
      <c r="M743" s="454">
        <v>1327</v>
      </c>
      <c r="N743" s="454">
        <v>1039</v>
      </c>
      <c r="O743" s="454">
        <v>843</v>
      </c>
      <c r="P743" s="454">
        <v>1598</v>
      </c>
      <c r="Q743" s="454">
        <v>4</v>
      </c>
      <c r="R743" s="455">
        <f t="shared" si="11"/>
        <v>1598.1666666666667</v>
      </c>
    </row>
    <row r="744" spans="1:18" ht="13.5" customHeight="1" x14ac:dyDescent="0.2">
      <c r="A744" s="449" t="s">
        <v>1408</v>
      </c>
      <c r="B744" s="458" t="s">
        <v>1638</v>
      </c>
      <c r="C744" s="451" t="s">
        <v>1639</v>
      </c>
      <c r="D744" s="454">
        <v>895</v>
      </c>
      <c r="E744" s="454">
        <v>1115</v>
      </c>
      <c r="F744" s="459">
        <v>1537</v>
      </c>
      <c r="G744" s="459">
        <v>1988</v>
      </c>
      <c r="H744" s="454">
        <v>2045</v>
      </c>
      <c r="I744" s="460">
        <v>2140</v>
      </c>
      <c r="J744" s="454">
        <v>2117</v>
      </c>
      <c r="K744" s="454">
        <v>2037</v>
      </c>
      <c r="L744" s="454">
        <v>1662</v>
      </c>
      <c r="M744" s="454">
        <v>1298</v>
      </c>
      <c r="N744" s="454">
        <v>1036</v>
      </c>
      <c r="O744" s="454">
        <v>834</v>
      </c>
      <c r="P744" s="454">
        <v>1559</v>
      </c>
      <c r="Q744" s="454">
        <v>4</v>
      </c>
      <c r="R744" s="455">
        <f t="shared" si="11"/>
        <v>1558.6666666666667</v>
      </c>
    </row>
    <row r="745" spans="1:18" ht="13.5" customHeight="1" x14ac:dyDescent="0.2">
      <c r="A745" s="449" t="s">
        <v>1409</v>
      </c>
      <c r="B745" s="458" t="s">
        <v>1638</v>
      </c>
      <c r="C745" s="451" t="s">
        <v>1639</v>
      </c>
      <c r="D745" s="454">
        <v>577</v>
      </c>
      <c r="E745" s="454">
        <v>856</v>
      </c>
      <c r="F745" s="459">
        <v>1354</v>
      </c>
      <c r="G745" s="459">
        <v>1772</v>
      </c>
      <c r="H745" s="454">
        <v>2198</v>
      </c>
      <c r="I745" s="460">
        <v>2464</v>
      </c>
      <c r="J745" s="454">
        <v>2526</v>
      </c>
      <c r="K745" s="454">
        <v>2246</v>
      </c>
      <c r="L745" s="454">
        <v>1786</v>
      </c>
      <c r="M745" s="454">
        <v>1209</v>
      </c>
      <c r="N745" s="454">
        <v>721</v>
      </c>
      <c r="O745" s="454">
        <v>497</v>
      </c>
      <c r="P745" s="454">
        <v>1517</v>
      </c>
      <c r="Q745" s="454">
        <v>4</v>
      </c>
      <c r="R745" s="455">
        <f t="shared" si="11"/>
        <v>1517.1666666666667</v>
      </c>
    </row>
    <row r="746" spans="1:18" ht="13.5" customHeight="1" x14ac:dyDescent="0.2">
      <c r="A746" s="449" t="s">
        <v>1410</v>
      </c>
      <c r="B746" s="458" t="s">
        <v>1638</v>
      </c>
      <c r="C746" s="451" t="s">
        <v>1639</v>
      </c>
      <c r="D746" s="454">
        <v>563</v>
      </c>
      <c r="E746" s="454">
        <v>877</v>
      </c>
      <c r="F746" s="459">
        <v>1409</v>
      </c>
      <c r="G746" s="459">
        <v>1891</v>
      </c>
      <c r="H746" s="454">
        <v>2249</v>
      </c>
      <c r="I746" s="460">
        <v>2510</v>
      </c>
      <c r="J746" s="454">
        <v>2514</v>
      </c>
      <c r="K746" s="454">
        <v>2239</v>
      </c>
      <c r="L746" s="454">
        <v>1823</v>
      </c>
      <c r="M746" s="454">
        <v>1269</v>
      </c>
      <c r="N746" s="454">
        <v>790</v>
      </c>
      <c r="O746" s="454">
        <v>518</v>
      </c>
      <c r="P746" s="454">
        <v>1555</v>
      </c>
      <c r="Q746" s="454">
        <v>4</v>
      </c>
      <c r="R746" s="455">
        <f t="shared" si="11"/>
        <v>1554.3333333333333</v>
      </c>
    </row>
    <row r="747" spans="1:18" ht="13.5" customHeight="1" x14ac:dyDescent="0.2">
      <c r="A747" s="449" t="s">
        <v>1411</v>
      </c>
      <c r="B747" s="458" t="s">
        <v>1638</v>
      </c>
      <c r="C747" s="451" t="s">
        <v>1639</v>
      </c>
      <c r="D747" s="454">
        <v>990</v>
      </c>
      <c r="E747" s="454">
        <v>1206</v>
      </c>
      <c r="F747" s="459">
        <v>1604</v>
      </c>
      <c r="G747" s="459">
        <v>1990</v>
      </c>
      <c r="H747" s="454">
        <v>1993</v>
      </c>
      <c r="I747" s="460">
        <v>2135</v>
      </c>
      <c r="J747" s="454">
        <v>2127</v>
      </c>
      <c r="K747" s="454">
        <v>2087</v>
      </c>
      <c r="L747" s="454">
        <v>1774</v>
      </c>
      <c r="M747" s="454">
        <v>1367</v>
      </c>
      <c r="N747" s="454">
        <v>1107</v>
      </c>
      <c r="O747" s="454">
        <v>922</v>
      </c>
      <c r="P747" s="454">
        <v>1608</v>
      </c>
      <c r="Q747" s="454">
        <v>4</v>
      </c>
      <c r="R747" s="455">
        <f t="shared" si="11"/>
        <v>1608.5</v>
      </c>
    </row>
    <row r="748" spans="1:18" ht="13.5" customHeight="1" x14ac:dyDescent="0.2">
      <c r="A748" s="449" t="s">
        <v>1412</v>
      </c>
      <c r="B748" s="458" t="s">
        <v>1638</v>
      </c>
      <c r="C748" s="451" t="s">
        <v>1639</v>
      </c>
      <c r="D748" s="454">
        <v>666</v>
      </c>
      <c r="E748" s="454">
        <v>896</v>
      </c>
      <c r="F748" s="454">
        <v>1353</v>
      </c>
      <c r="G748" s="454">
        <v>1813</v>
      </c>
      <c r="H748" s="454">
        <v>1981</v>
      </c>
      <c r="I748" s="454">
        <v>2123</v>
      </c>
      <c r="J748" s="454">
        <v>2023</v>
      </c>
      <c r="K748" s="454">
        <v>1747</v>
      </c>
      <c r="L748" s="454">
        <v>1488</v>
      </c>
      <c r="M748" s="454">
        <v>1124</v>
      </c>
      <c r="N748" s="454">
        <v>798</v>
      </c>
      <c r="O748" s="454">
        <v>619</v>
      </c>
      <c r="P748" s="454">
        <v>1386</v>
      </c>
      <c r="Q748" s="454">
        <v>4</v>
      </c>
      <c r="R748" s="455">
        <f t="shared" si="11"/>
        <v>1385.9166666666667</v>
      </c>
    </row>
    <row r="749" spans="1:18" ht="13.5" customHeight="1" x14ac:dyDescent="0.2">
      <c r="A749" s="449" t="s">
        <v>1413</v>
      </c>
      <c r="B749" s="458" t="s">
        <v>1638</v>
      </c>
      <c r="C749" s="451" t="s">
        <v>1639</v>
      </c>
      <c r="D749" s="454">
        <v>907</v>
      </c>
      <c r="E749" s="454">
        <v>1116</v>
      </c>
      <c r="F749" s="454">
        <v>1543</v>
      </c>
      <c r="G749" s="454">
        <v>1968</v>
      </c>
      <c r="H749" s="454">
        <v>2115</v>
      </c>
      <c r="I749" s="454">
        <v>2184</v>
      </c>
      <c r="J749" s="454">
        <v>2153</v>
      </c>
      <c r="K749" s="454">
        <v>2107</v>
      </c>
      <c r="L749" s="454">
        <v>1749</v>
      </c>
      <c r="M749" s="454">
        <v>1346</v>
      </c>
      <c r="N749" s="454">
        <v>1051</v>
      </c>
      <c r="O749" s="454">
        <v>839</v>
      </c>
      <c r="P749" s="454">
        <v>1590</v>
      </c>
      <c r="Q749" s="454">
        <v>4</v>
      </c>
      <c r="R749" s="455">
        <f t="shared" si="11"/>
        <v>1589.8333333333333</v>
      </c>
    </row>
    <row r="750" spans="1:18" ht="13.5" customHeight="1" x14ac:dyDescent="0.2">
      <c r="A750" s="449" t="s">
        <v>1414</v>
      </c>
      <c r="B750" s="458" t="s">
        <v>1638</v>
      </c>
      <c r="C750" s="451" t="s">
        <v>1639</v>
      </c>
      <c r="D750" s="454">
        <v>892</v>
      </c>
      <c r="E750" s="454">
        <v>1109</v>
      </c>
      <c r="F750" s="454">
        <v>1563</v>
      </c>
      <c r="G750" s="454">
        <v>2010</v>
      </c>
      <c r="H750" s="454">
        <v>2253</v>
      </c>
      <c r="I750" s="454">
        <v>2358</v>
      </c>
      <c r="J750" s="454">
        <v>2261</v>
      </c>
      <c r="K750" s="454">
        <v>2111</v>
      </c>
      <c r="L750" s="454">
        <v>1784</v>
      </c>
      <c r="M750" s="454">
        <v>1386</v>
      </c>
      <c r="N750" s="454">
        <v>1036</v>
      </c>
      <c r="O750" s="454">
        <v>828</v>
      </c>
      <c r="P750" s="454">
        <v>1633</v>
      </c>
      <c r="Q750" s="454">
        <v>4</v>
      </c>
      <c r="R750" s="455">
        <f t="shared" si="11"/>
        <v>1632.5833333333333</v>
      </c>
    </row>
    <row r="751" spans="1:18" ht="13.5" customHeight="1" x14ac:dyDescent="0.2">
      <c r="A751" s="449" t="s">
        <v>1415</v>
      </c>
      <c r="B751" s="458" t="s">
        <v>1638</v>
      </c>
      <c r="C751" s="451" t="s">
        <v>1639</v>
      </c>
      <c r="D751" s="454">
        <v>573</v>
      </c>
      <c r="E751" s="454">
        <v>907</v>
      </c>
      <c r="F751" s="454">
        <v>1445</v>
      </c>
      <c r="G751" s="454">
        <v>1879</v>
      </c>
      <c r="H751" s="454">
        <v>2251</v>
      </c>
      <c r="I751" s="454">
        <v>2525</v>
      </c>
      <c r="J751" s="454">
        <v>2510</v>
      </c>
      <c r="K751" s="454">
        <v>2256</v>
      </c>
      <c r="L751" s="454">
        <v>1844</v>
      </c>
      <c r="M751" s="454">
        <v>1308</v>
      </c>
      <c r="N751" s="454">
        <v>824</v>
      </c>
      <c r="O751" s="454">
        <v>552</v>
      </c>
      <c r="P751" s="454">
        <v>1573</v>
      </c>
      <c r="Q751" s="454">
        <v>4</v>
      </c>
      <c r="R751" s="455">
        <f t="shared" si="11"/>
        <v>1572.8333333333333</v>
      </c>
    </row>
    <row r="752" spans="1:18" ht="13.5" customHeight="1" x14ac:dyDescent="0.2">
      <c r="A752" s="449" t="s">
        <v>1416</v>
      </c>
      <c r="B752" s="458" t="s">
        <v>1638</v>
      </c>
      <c r="C752" s="451" t="s">
        <v>1639</v>
      </c>
      <c r="D752" s="454">
        <v>898</v>
      </c>
      <c r="E752" s="454">
        <v>1191</v>
      </c>
      <c r="F752" s="454">
        <v>1619</v>
      </c>
      <c r="G752" s="454">
        <v>1987</v>
      </c>
      <c r="H752" s="454">
        <v>2266</v>
      </c>
      <c r="I752" s="454">
        <v>2427</v>
      </c>
      <c r="J752" s="454">
        <v>2269</v>
      </c>
      <c r="K752" s="454">
        <v>1992</v>
      </c>
      <c r="L752" s="454">
        <v>1786</v>
      </c>
      <c r="M752" s="454">
        <v>1397</v>
      </c>
      <c r="N752" s="454">
        <v>1023</v>
      </c>
      <c r="O752" s="454">
        <v>798</v>
      </c>
      <c r="P752" s="454">
        <v>1638</v>
      </c>
      <c r="Q752" s="454">
        <v>4</v>
      </c>
      <c r="R752" s="455">
        <f t="shared" si="11"/>
        <v>1637.75</v>
      </c>
    </row>
    <row r="753" spans="1:18" ht="13.5" customHeight="1" x14ac:dyDescent="0.2">
      <c r="A753" s="449" t="s">
        <v>1417</v>
      </c>
      <c r="B753" s="458" t="s">
        <v>1638</v>
      </c>
      <c r="C753" s="451" t="s">
        <v>1639</v>
      </c>
      <c r="D753" s="454">
        <v>843</v>
      </c>
      <c r="E753" s="454">
        <v>1093</v>
      </c>
      <c r="F753" s="454">
        <v>1467</v>
      </c>
      <c r="G753" s="454">
        <v>1794</v>
      </c>
      <c r="H753" s="454">
        <v>2012</v>
      </c>
      <c r="I753" s="454">
        <v>2182</v>
      </c>
      <c r="J753" s="454">
        <v>2108</v>
      </c>
      <c r="K753" s="454">
        <v>1884</v>
      </c>
      <c r="L753" s="454">
        <v>1667</v>
      </c>
      <c r="M753" s="454">
        <v>1275</v>
      </c>
      <c r="N753" s="454">
        <v>899</v>
      </c>
      <c r="O753" s="454">
        <v>742</v>
      </c>
      <c r="P753" s="454">
        <v>1497</v>
      </c>
      <c r="Q753" s="454">
        <v>4</v>
      </c>
      <c r="R753" s="455">
        <f t="shared" si="11"/>
        <v>1497.1666666666667</v>
      </c>
    </row>
    <row r="754" spans="1:18" ht="13.5" customHeight="1" x14ac:dyDescent="0.2">
      <c r="A754" s="449" t="s">
        <v>1418</v>
      </c>
      <c r="B754" s="458" t="s">
        <v>1638</v>
      </c>
      <c r="C754" s="451" t="s">
        <v>1639</v>
      </c>
      <c r="D754" s="454">
        <v>764</v>
      </c>
      <c r="E754" s="454">
        <v>1052</v>
      </c>
      <c r="F754" s="454">
        <v>1463</v>
      </c>
      <c r="G754" s="454">
        <v>1779</v>
      </c>
      <c r="H754" s="454">
        <v>2049</v>
      </c>
      <c r="I754" s="454">
        <v>2275</v>
      </c>
      <c r="J754" s="454">
        <v>2213</v>
      </c>
      <c r="K754" s="454">
        <v>1941</v>
      </c>
      <c r="L754" s="454">
        <v>1658</v>
      </c>
      <c r="M754" s="454">
        <v>1216</v>
      </c>
      <c r="N754" s="454">
        <v>817</v>
      </c>
      <c r="O754" s="454">
        <v>664</v>
      </c>
      <c r="P754" s="454">
        <v>1491</v>
      </c>
      <c r="Q754" s="454">
        <v>4</v>
      </c>
      <c r="R754" s="455">
        <f t="shared" si="11"/>
        <v>1490.9166666666667</v>
      </c>
    </row>
    <row r="755" spans="1:18" ht="13.5" customHeight="1" x14ac:dyDescent="0.2">
      <c r="A755" s="449" t="s">
        <v>1419</v>
      </c>
      <c r="B755" s="458" t="s">
        <v>1638</v>
      </c>
      <c r="C755" s="451" t="s">
        <v>1639</v>
      </c>
      <c r="D755" s="454">
        <v>739</v>
      </c>
      <c r="E755" s="454">
        <v>1039</v>
      </c>
      <c r="F755" s="454">
        <v>1522</v>
      </c>
      <c r="G755" s="459">
        <v>1876</v>
      </c>
      <c r="H755" s="454">
        <v>2211</v>
      </c>
      <c r="I755" s="460">
        <v>2434</v>
      </c>
      <c r="J755" s="454">
        <v>2339</v>
      </c>
      <c r="K755" s="454">
        <v>2020</v>
      </c>
      <c r="L755" s="454">
        <v>1721</v>
      </c>
      <c r="M755" s="454">
        <v>1281</v>
      </c>
      <c r="N755" s="454">
        <v>874</v>
      </c>
      <c r="O755" s="454">
        <v>662</v>
      </c>
      <c r="P755" s="454">
        <v>1560</v>
      </c>
      <c r="Q755" s="454">
        <v>4</v>
      </c>
      <c r="R755" s="455">
        <f t="shared" si="11"/>
        <v>1559.8333333333333</v>
      </c>
    </row>
    <row r="756" spans="1:18" ht="13.5" customHeight="1" x14ac:dyDescent="0.2">
      <c r="A756" s="449" t="s">
        <v>1420</v>
      </c>
      <c r="B756" s="458" t="s">
        <v>1638</v>
      </c>
      <c r="C756" s="451" t="s">
        <v>1639</v>
      </c>
      <c r="D756" s="454">
        <v>797</v>
      </c>
      <c r="E756" s="454">
        <v>1066</v>
      </c>
      <c r="F756" s="454">
        <v>1466</v>
      </c>
      <c r="G756" s="459">
        <v>1773</v>
      </c>
      <c r="H756" s="454">
        <v>2074</v>
      </c>
      <c r="I756" s="460">
        <v>2301</v>
      </c>
      <c r="J756" s="454">
        <v>2267</v>
      </c>
      <c r="K756" s="454">
        <v>2003</v>
      </c>
      <c r="L756" s="454">
        <v>1712</v>
      </c>
      <c r="M756" s="454">
        <v>1264</v>
      </c>
      <c r="N756" s="454">
        <v>860</v>
      </c>
      <c r="O756" s="454">
        <v>693</v>
      </c>
      <c r="P756" s="454">
        <v>1523</v>
      </c>
      <c r="Q756" s="454">
        <v>4</v>
      </c>
      <c r="R756" s="455">
        <f t="shared" si="11"/>
        <v>1523</v>
      </c>
    </row>
    <row r="757" spans="1:18" ht="13.5" customHeight="1" x14ac:dyDescent="0.2">
      <c r="A757" s="449" t="s">
        <v>1421</v>
      </c>
      <c r="B757" s="458" t="s">
        <v>1638</v>
      </c>
      <c r="C757" s="451" t="s">
        <v>1639</v>
      </c>
      <c r="D757" s="454">
        <v>862</v>
      </c>
      <c r="E757" s="454">
        <v>1144</v>
      </c>
      <c r="F757" s="454">
        <v>1557</v>
      </c>
      <c r="G757" s="459">
        <v>1897</v>
      </c>
      <c r="H757" s="454">
        <v>2197</v>
      </c>
      <c r="I757" s="460">
        <v>2399</v>
      </c>
      <c r="J757" s="454">
        <v>2356</v>
      </c>
      <c r="K757" s="454">
        <v>2093</v>
      </c>
      <c r="L757" s="454">
        <v>1783</v>
      </c>
      <c r="M757" s="454">
        <v>1344</v>
      </c>
      <c r="N757" s="454">
        <v>950</v>
      </c>
      <c r="O757" s="454">
        <v>779</v>
      </c>
      <c r="P757" s="454">
        <v>1613</v>
      </c>
      <c r="Q757" s="454">
        <v>4</v>
      </c>
      <c r="R757" s="455">
        <f t="shared" si="11"/>
        <v>1613.4166666666667</v>
      </c>
    </row>
    <row r="758" spans="1:18" ht="13.5" customHeight="1" x14ac:dyDescent="0.2">
      <c r="A758" s="449" t="s">
        <v>1422</v>
      </c>
      <c r="B758" s="458" t="s">
        <v>1638</v>
      </c>
      <c r="C758" s="451" t="s">
        <v>1639</v>
      </c>
      <c r="D758" s="454">
        <v>560</v>
      </c>
      <c r="E758" s="454">
        <v>847</v>
      </c>
      <c r="F758" s="454">
        <v>1156</v>
      </c>
      <c r="G758" s="459">
        <v>1490</v>
      </c>
      <c r="H758" s="454">
        <v>1750</v>
      </c>
      <c r="I758" s="460">
        <v>1862</v>
      </c>
      <c r="J758" s="454">
        <v>1904</v>
      </c>
      <c r="K758" s="454">
        <v>1685</v>
      </c>
      <c r="L758" s="454">
        <v>1320</v>
      </c>
      <c r="M758" s="454">
        <v>948</v>
      </c>
      <c r="N758" s="454">
        <v>621</v>
      </c>
      <c r="O758" s="454">
        <v>501</v>
      </c>
      <c r="P758" s="454">
        <v>1220</v>
      </c>
      <c r="Q758" s="454">
        <v>4</v>
      </c>
      <c r="R758" s="455">
        <f t="shared" si="11"/>
        <v>1220.3333333333333</v>
      </c>
    </row>
    <row r="759" spans="1:18" ht="13.5" customHeight="1" x14ac:dyDescent="0.2">
      <c r="A759" s="449" t="s">
        <v>1423</v>
      </c>
      <c r="B759" s="458" t="s">
        <v>1638</v>
      </c>
      <c r="C759" s="451" t="s">
        <v>1639</v>
      </c>
      <c r="D759" s="454">
        <v>560</v>
      </c>
      <c r="E759" s="454">
        <v>814</v>
      </c>
      <c r="F759" s="454">
        <v>1133</v>
      </c>
      <c r="G759" s="459">
        <v>1453</v>
      </c>
      <c r="H759" s="454">
        <v>1700</v>
      </c>
      <c r="I759" s="460">
        <v>1797</v>
      </c>
      <c r="J759" s="454">
        <v>1833</v>
      </c>
      <c r="K759" s="454">
        <v>1622</v>
      </c>
      <c r="L759" s="454">
        <v>1289</v>
      </c>
      <c r="M759" s="454">
        <v>905</v>
      </c>
      <c r="N759" s="454">
        <v>582</v>
      </c>
      <c r="O759" s="454">
        <v>482</v>
      </c>
      <c r="P759" s="454">
        <v>1181</v>
      </c>
      <c r="Q759" s="454">
        <v>4</v>
      </c>
      <c r="R759" s="455">
        <f t="shared" si="11"/>
        <v>1180.8333333333333</v>
      </c>
    </row>
    <row r="760" spans="1:18" ht="13.5" customHeight="1" x14ac:dyDescent="0.2">
      <c r="A760" s="449" t="s">
        <v>1424</v>
      </c>
      <c r="B760" s="458" t="s">
        <v>1638</v>
      </c>
      <c r="C760" s="451" t="s">
        <v>1639</v>
      </c>
      <c r="D760" s="454">
        <v>629</v>
      </c>
      <c r="E760" s="454">
        <v>911</v>
      </c>
      <c r="F760" s="454">
        <v>1185</v>
      </c>
      <c r="G760" s="459">
        <v>1528</v>
      </c>
      <c r="H760" s="454">
        <v>1786</v>
      </c>
      <c r="I760" s="460">
        <v>1909</v>
      </c>
      <c r="J760" s="454">
        <v>1916</v>
      </c>
      <c r="K760" s="454">
        <v>1680</v>
      </c>
      <c r="L760" s="454">
        <v>1366</v>
      </c>
      <c r="M760" s="454">
        <v>1016</v>
      </c>
      <c r="N760" s="454">
        <v>678</v>
      </c>
      <c r="O760" s="454">
        <v>556</v>
      </c>
      <c r="P760" s="454">
        <v>1264</v>
      </c>
      <c r="Q760" s="454">
        <v>4</v>
      </c>
      <c r="R760" s="455">
        <f t="shared" si="11"/>
        <v>1263.3333333333333</v>
      </c>
    </row>
    <row r="761" spans="1:18" ht="13.5" customHeight="1" x14ac:dyDescent="0.2">
      <c r="A761" s="449" t="s">
        <v>1425</v>
      </c>
      <c r="B761" s="458" t="s">
        <v>1638</v>
      </c>
      <c r="C761" s="451" t="s">
        <v>1639</v>
      </c>
      <c r="D761" s="454">
        <v>1018</v>
      </c>
      <c r="E761" s="454">
        <v>1215</v>
      </c>
      <c r="F761" s="454">
        <v>1579</v>
      </c>
      <c r="G761" s="454">
        <v>1931</v>
      </c>
      <c r="H761" s="454">
        <v>2049</v>
      </c>
      <c r="I761" s="454">
        <v>1893</v>
      </c>
      <c r="J761" s="454">
        <v>1911</v>
      </c>
      <c r="K761" s="454">
        <v>1767</v>
      </c>
      <c r="L761" s="454">
        <v>1518</v>
      </c>
      <c r="M761" s="454">
        <v>1296</v>
      </c>
      <c r="N761" s="454">
        <v>1063</v>
      </c>
      <c r="O761" s="454">
        <v>916</v>
      </c>
      <c r="P761" s="454">
        <v>1513</v>
      </c>
      <c r="Q761" s="454">
        <v>4</v>
      </c>
      <c r="R761" s="455">
        <f t="shared" si="11"/>
        <v>1513</v>
      </c>
    </row>
    <row r="762" spans="1:18" ht="13.5" customHeight="1" x14ac:dyDescent="0.2">
      <c r="A762" s="449" t="s">
        <v>1426</v>
      </c>
      <c r="B762" s="458" t="s">
        <v>1638</v>
      </c>
      <c r="C762" s="451" t="s">
        <v>1639</v>
      </c>
      <c r="D762" s="454">
        <v>1150</v>
      </c>
      <c r="E762" s="454">
        <v>1426</v>
      </c>
      <c r="F762" s="454">
        <v>1718</v>
      </c>
      <c r="G762" s="454">
        <v>1993</v>
      </c>
      <c r="H762" s="454">
        <v>2075</v>
      </c>
      <c r="I762" s="454">
        <v>1880</v>
      </c>
      <c r="J762" s="454">
        <v>1805</v>
      </c>
      <c r="K762" s="454">
        <v>1740</v>
      </c>
      <c r="L762" s="454">
        <v>1533</v>
      </c>
      <c r="M762" s="454">
        <v>1415</v>
      </c>
      <c r="N762" s="454">
        <v>1205</v>
      </c>
      <c r="O762" s="454">
        <v>1054</v>
      </c>
      <c r="P762" s="454">
        <v>1583</v>
      </c>
      <c r="Q762" s="454">
        <v>4</v>
      </c>
      <c r="R762" s="455">
        <f t="shared" si="11"/>
        <v>1582.8333333333333</v>
      </c>
    </row>
    <row r="763" spans="1:18" ht="13.5" customHeight="1" x14ac:dyDescent="0.2">
      <c r="A763" s="449" t="s">
        <v>1427</v>
      </c>
      <c r="B763" s="458" t="s">
        <v>1638</v>
      </c>
      <c r="C763" s="451" t="s">
        <v>1639</v>
      </c>
      <c r="D763" s="454">
        <v>970</v>
      </c>
      <c r="E763" s="454">
        <v>1213</v>
      </c>
      <c r="F763" s="454">
        <v>1549</v>
      </c>
      <c r="G763" s="454">
        <v>1890</v>
      </c>
      <c r="H763" s="454">
        <v>2019</v>
      </c>
      <c r="I763" s="454">
        <v>1865</v>
      </c>
      <c r="J763" s="454">
        <v>1863</v>
      </c>
      <c r="K763" s="454">
        <v>1704</v>
      </c>
      <c r="L763" s="454">
        <v>1484</v>
      </c>
      <c r="M763" s="454">
        <v>1276</v>
      </c>
      <c r="N763" s="454">
        <v>1063</v>
      </c>
      <c r="O763" s="454">
        <v>887</v>
      </c>
      <c r="P763" s="454">
        <v>1482</v>
      </c>
      <c r="Q763" s="454">
        <v>4</v>
      </c>
      <c r="R763" s="455">
        <f t="shared" si="11"/>
        <v>1481.9166666666667</v>
      </c>
    </row>
    <row r="764" spans="1:18" ht="13.5" customHeight="1" x14ac:dyDescent="0.2">
      <c r="A764" s="449" t="s">
        <v>1428</v>
      </c>
      <c r="B764" s="458" t="s">
        <v>1638</v>
      </c>
      <c r="C764" s="451" t="s">
        <v>1639</v>
      </c>
      <c r="D764" s="454">
        <v>937</v>
      </c>
      <c r="E764" s="454">
        <v>1186</v>
      </c>
      <c r="F764" s="454">
        <v>1522</v>
      </c>
      <c r="G764" s="454">
        <v>1890</v>
      </c>
      <c r="H764" s="454">
        <v>2035</v>
      </c>
      <c r="I764" s="454">
        <v>1911</v>
      </c>
      <c r="J764" s="454">
        <v>1948</v>
      </c>
      <c r="K764" s="454">
        <v>1756</v>
      </c>
      <c r="L764" s="454">
        <v>1466</v>
      </c>
      <c r="M764" s="454">
        <v>1237</v>
      </c>
      <c r="N764" s="454">
        <v>1021</v>
      </c>
      <c r="O764" s="454">
        <v>846</v>
      </c>
      <c r="P764" s="454">
        <v>1480</v>
      </c>
      <c r="Q764" s="454">
        <v>4</v>
      </c>
      <c r="R764" s="455">
        <f t="shared" si="11"/>
        <v>1479.5833333333333</v>
      </c>
    </row>
    <row r="765" spans="1:18" ht="13.5" customHeight="1" x14ac:dyDescent="0.2">
      <c r="A765" s="449" t="s">
        <v>1429</v>
      </c>
      <c r="B765" s="458" t="s">
        <v>1638</v>
      </c>
      <c r="C765" s="451" t="s">
        <v>1639</v>
      </c>
      <c r="D765" s="454">
        <v>1206</v>
      </c>
      <c r="E765" s="454">
        <v>1462</v>
      </c>
      <c r="F765" s="454">
        <v>1805</v>
      </c>
      <c r="G765" s="454">
        <v>2069</v>
      </c>
      <c r="H765" s="454">
        <v>2131</v>
      </c>
      <c r="I765" s="454">
        <v>2035</v>
      </c>
      <c r="J765" s="454">
        <v>2041</v>
      </c>
      <c r="K765" s="454">
        <v>1943</v>
      </c>
      <c r="L765" s="454">
        <v>1667</v>
      </c>
      <c r="M765" s="454">
        <v>1465</v>
      </c>
      <c r="N765" s="454">
        <v>1240</v>
      </c>
      <c r="O765" s="454">
        <v>1098</v>
      </c>
      <c r="P765" s="454">
        <v>1680</v>
      </c>
      <c r="Q765" s="454">
        <v>4</v>
      </c>
      <c r="R765" s="455">
        <f t="shared" si="11"/>
        <v>1680.1666666666667</v>
      </c>
    </row>
    <row r="766" spans="1:18" ht="13.5" customHeight="1" x14ac:dyDescent="0.2">
      <c r="A766" s="449" t="s">
        <v>1430</v>
      </c>
      <c r="B766" s="458" t="s">
        <v>1638</v>
      </c>
      <c r="C766" s="451" t="s">
        <v>1639</v>
      </c>
      <c r="D766" s="454">
        <v>1118</v>
      </c>
      <c r="E766" s="454">
        <v>1346</v>
      </c>
      <c r="F766" s="454">
        <v>1625</v>
      </c>
      <c r="G766" s="454">
        <v>1875</v>
      </c>
      <c r="H766" s="454">
        <v>1938</v>
      </c>
      <c r="I766" s="454">
        <v>1737</v>
      </c>
      <c r="J766" s="454">
        <v>1813</v>
      </c>
      <c r="K766" s="454">
        <v>1701</v>
      </c>
      <c r="L766" s="454">
        <v>1456</v>
      </c>
      <c r="M766" s="454">
        <v>1309</v>
      </c>
      <c r="N766" s="454">
        <v>1113</v>
      </c>
      <c r="O766" s="454">
        <v>1015</v>
      </c>
      <c r="P766" s="454">
        <v>1504</v>
      </c>
      <c r="Q766" s="454">
        <v>4</v>
      </c>
      <c r="R766" s="455">
        <f t="shared" si="11"/>
        <v>1503.8333333333333</v>
      </c>
    </row>
    <row r="767" spans="1:18" ht="13.5" customHeight="1" x14ac:dyDescent="0.2">
      <c r="A767" s="449" t="s">
        <v>1431</v>
      </c>
      <c r="B767" s="458" t="s">
        <v>1638</v>
      </c>
      <c r="C767" s="451" t="s">
        <v>1639</v>
      </c>
      <c r="D767" s="454">
        <v>1043</v>
      </c>
      <c r="E767" s="454">
        <v>1257</v>
      </c>
      <c r="F767" s="454">
        <v>1588</v>
      </c>
      <c r="G767" s="454">
        <v>1904</v>
      </c>
      <c r="H767" s="454">
        <v>2021</v>
      </c>
      <c r="I767" s="454">
        <v>1849</v>
      </c>
      <c r="J767" s="454">
        <v>1854</v>
      </c>
      <c r="K767" s="454">
        <v>1726</v>
      </c>
      <c r="L767" s="454">
        <v>1506</v>
      </c>
      <c r="M767" s="454">
        <v>1328</v>
      </c>
      <c r="N767" s="454">
        <v>1096</v>
      </c>
      <c r="O767" s="454">
        <v>944</v>
      </c>
      <c r="P767" s="454">
        <v>1510</v>
      </c>
      <c r="Q767" s="454">
        <v>4</v>
      </c>
      <c r="R767" s="455">
        <f t="shared" si="11"/>
        <v>1509.6666666666667</v>
      </c>
    </row>
    <row r="768" spans="1:18" ht="13.5" customHeight="1" x14ac:dyDescent="0.2">
      <c r="A768" s="449" t="s">
        <v>1432</v>
      </c>
      <c r="B768" s="458" t="s">
        <v>1638</v>
      </c>
      <c r="C768" s="451" t="s">
        <v>1639</v>
      </c>
      <c r="D768" s="454">
        <v>890</v>
      </c>
      <c r="E768" s="454">
        <v>1144</v>
      </c>
      <c r="F768" s="454">
        <v>1504</v>
      </c>
      <c r="G768" s="454">
        <v>1813</v>
      </c>
      <c r="H768" s="454">
        <v>2038</v>
      </c>
      <c r="I768" s="460">
        <v>2019</v>
      </c>
      <c r="J768" s="454">
        <v>1911</v>
      </c>
      <c r="K768" s="454">
        <v>1783</v>
      </c>
      <c r="L768" s="454">
        <v>1594</v>
      </c>
      <c r="M768" s="454">
        <v>1327</v>
      </c>
      <c r="N768" s="454">
        <v>1040</v>
      </c>
      <c r="O768" s="454">
        <v>830</v>
      </c>
      <c r="P768" s="454">
        <v>1491</v>
      </c>
      <c r="Q768" s="454">
        <v>4</v>
      </c>
      <c r="R768" s="455">
        <f t="shared" si="11"/>
        <v>1491.0833333333333</v>
      </c>
    </row>
    <row r="769" spans="1:18" ht="13.5" customHeight="1" x14ac:dyDescent="0.2">
      <c r="A769" s="449" t="s">
        <v>1433</v>
      </c>
      <c r="B769" s="458" t="s">
        <v>1638</v>
      </c>
      <c r="C769" s="451" t="s">
        <v>1639</v>
      </c>
      <c r="D769" s="454">
        <v>933</v>
      </c>
      <c r="E769" s="454">
        <v>1195</v>
      </c>
      <c r="F769" s="454">
        <v>1553</v>
      </c>
      <c r="G769" s="454">
        <v>1904</v>
      </c>
      <c r="H769" s="454">
        <v>2031</v>
      </c>
      <c r="I769" s="460">
        <v>1925</v>
      </c>
      <c r="J769" s="454">
        <v>1866</v>
      </c>
      <c r="K769" s="454">
        <v>1764</v>
      </c>
      <c r="L769" s="454">
        <v>1565</v>
      </c>
      <c r="M769" s="454">
        <v>1327</v>
      </c>
      <c r="N769" s="454">
        <v>1070</v>
      </c>
      <c r="O769" s="454">
        <v>872</v>
      </c>
      <c r="P769" s="454">
        <v>1500</v>
      </c>
      <c r="Q769" s="454">
        <v>4</v>
      </c>
      <c r="R769" s="455">
        <f t="shared" si="11"/>
        <v>1500.4166666666667</v>
      </c>
    </row>
    <row r="770" spans="1:18" ht="13.5" customHeight="1" x14ac:dyDescent="0.2">
      <c r="A770" s="449" t="s">
        <v>1434</v>
      </c>
      <c r="B770" s="458" t="s">
        <v>1638</v>
      </c>
      <c r="C770" s="451" t="s">
        <v>1639</v>
      </c>
      <c r="D770" s="454">
        <v>1073</v>
      </c>
      <c r="E770" s="454">
        <v>1294</v>
      </c>
      <c r="F770" s="454">
        <v>1656</v>
      </c>
      <c r="G770" s="454">
        <v>1991</v>
      </c>
      <c r="H770" s="454">
        <v>2124</v>
      </c>
      <c r="I770" s="460">
        <v>1962</v>
      </c>
      <c r="J770" s="454">
        <v>1851</v>
      </c>
      <c r="K770" s="454">
        <v>1732</v>
      </c>
      <c r="L770" s="454">
        <v>1561</v>
      </c>
      <c r="M770" s="454">
        <v>1394</v>
      </c>
      <c r="N770" s="454">
        <v>1158</v>
      </c>
      <c r="O770" s="454">
        <v>990</v>
      </c>
      <c r="P770" s="454">
        <v>1566</v>
      </c>
      <c r="Q770" s="454">
        <v>4</v>
      </c>
      <c r="R770" s="455">
        <f t="shared" si="11"/>
        <v>1565.5</v>
      </c>
    </row>
    <row r="771" spans="1:18" ht="13.5" customHeight="1" x14ac:dyDescent="0.2">
      <c r="A771" s="449" t="s">
        <v>1435</v>
      </c>
      <c r="B771" s="458" t="s">
        <v>1638</v>
      </c>
      <c r="C771" s="451" t="s">
        <v>1639</v>
      </c>
      <c r="D771" s="454">
        <v>1052</v>
      </c>
      <c r="E771" s="454">
        <v>1300</v>
      </c>
      <c r="F771" s="454">
        <v>1593</v>
      </c>
      <c r="G771" s="454">
        <v>1906</v>
      </c>
      <c r="H771" s="454">
        <v>2000</v>
      </c>
      <c r="I771" s="460">
        <v>1848</v>
      </c>
      <c r="J771" s="454">
        <v>1898</v>
      </c>
      <c r="K771" s="454">
        <v>1752</v>
      </c>
      <c r="L771" s="454">
        <v>1516</v>
      </c>
      <c r="M771" s="454">
        <v>1318</v>
      </c>
      <c r="N771" s="454">
        <v>1083</v>
      </c>
      <c r="O771" s="454">
        <v>949</v>
      </c>
      <c r="P771" s="454">
        <v>1518</v>
      </c>
      <c r="Q771" s="454">
        <v>4</v>
      </c>
      <c r="R771" s="455">
        <f t="shared" si="11"/>
        <v>1517.9166666666667</v>
      </c>
    </row>
    <row r="772" spans="1:18" ht="13.5" customHeight="1" x14ac:dyDescent="0.2">
      <c r="A772" s="449" t="s">
        <v>1436</v>
      </c>
      <c r="B772" s="458" t="s">
        <v>1638</v>
      </c>
      <c r="C772" s="451" t="s">
        <v>1639</v>
      </c>
      <c r="D772" s="454">
        <v>1105</v>
      </c>
      <c r="E772" s="454">
        <v>1342</v>
      </c>
      <c r="F772" s="454">
        <v>1635</v>
      </c>
      <c r="G772" s="454">
        <v>1912</v>
      </c>
      <c r="H772" s="454">
        <v>1999</v>
      </c>
      <c r="I772" s="460">
        <v>1852</v>
      </c>
      <c r="J772" s="454">
        <v>1936</v>
      </c>
      <c r="K772" s="454">
        <v>1789</v>
      </c>
      <c r="L772" s="454">
        <v>1555</v>
      </c>
      <c r="M772" s="454">
        <v>1352</v>
      </c>
      <c r="N772" s="454">
        <v>1113</v>
      </c>
      <c r="O772" s="454">
        <v>998</v>
      </c>
      <c r="P772" s="454">
        <v>1549</v>
      </c>
      <c r="Q772" s="454">
        <v>4</v>
      </c>
      <c r="R772" s="455">
        <f t="shared" ref="R772:R835" si="12">AVERAGE(D772:O772)</f>
        <v>1549</v>
      </c>
    </row>
    <row r="773" spans="1:18" ht="13.5" customHeight="1" x14ac:dyDescent="0.2">
      <c r="A773" s="449" t="s">
        <v>1437</v>
      </c>
      <c r="B773" s="458" t="s">
        <v>1638</v>
      </c>
      <c r="C773" s="451" t="s">
        <v>1639</v>
      </c>
      <c r="D773" s="454">
        <v>819</v>
      </c>
      <c r="E773" s="454">
        <v>1062</v>
      </c>
      <c r="F773" s="454">
        <v>1390</v>
      </c>
      <c r="G773" s="454">
        <v>1764</v>
      </c>
      <c r="H773" s="454">
        <v>1951</v>
      </c>
      <c r="I773" s="460">
        <v>1978</v>
      </c>
      <c r="J773" s="454">
        <v>1946</v>
      </c>
      <c r="K773" s="454">
        <v>1760</v>
      </c>
      <c r="L773" s="454">
        <v>1487</v>
      </c>
      <c r="M773" s="454">
        <v>1211</v>
      </c>
      <c r="N773" s="454">
        <v>915</v>
      </c>
      <c r="O773" s="454">
        <v>743</v>
      </c>
      <c r="P773" s="454">
        <v>1419</v>
      </c>
      <c r="Q773" s="454">
        <v>4</v>
      </c>
      <c r="R773" s="455">
        <f t="shared" si="12"/>
        <v>1418.8333333333333</v>
      </c>
    </row>
    <row r="774" spans="1:18" ht="13.5" customHeight="1" x14ac:dyDescent="0.2">
      <c r="A774" s="449" t="s">
        <v>1438</v>
      </c>
      <c r="B774" s="458" t="s">
        <v>1638</v>
      </c>
      <c r="C774" s="451" t="s">
        <v>1639</v>
      </c>
      <c r="D774" s="454">
        <v>801</v>
      </c>
      <c r="E774" s="454">
        <v>1046</v>
      </c>
      <c r="F774" s="454">
        <v>1379</v>
      </c>
      <c r="G774" s="454">
        <v>1747</v>
      </c>
      <c r="H774" s="454">
        <v>1925</v>
      </c>
      <c r="I774" s="460">
        <v>1949</v>
      </c>
      <c r="J774" s="454">
        <v>1925</v>
      </c>
      <c r="K774" s="454">
        <v>1739</v>
      </c>
      <c r="L774" s="454">
        <v>1477</v>
      </c>
      <c r="M774" s="454">
        <v>1201</v>
      </c>
      <c r="N774" s="454">
        <v>896</v>
      </c>
      <c r="O774" s="454">
        <v>718</v>
      </c>
      <c r="P774" s="454">
        <v>1400</v>
      </c>
      <c r="Q774" s="454">
        <v>4</v>
      </c>
      <c r="R774" s="455">
        <f t="shared" si="12"/>
        <v>1400.25</v>
      </c>
    </row>
    <row r="775" spans="1:18" ht="13.5" customHeight="1" x14ac:dyDescent="0.2">
      <c r="A775" s="449" t="s">
        <v>1439</v>
      </c>
      <c r="B775" s="458" t="s">
        <v>1638</v>
      </c>
      <c r="C775" s="451" t="s">
        <v>1639</v>
      </c>
      <c r="D775" s="454">
        <v>836</v>
      </c>
      <c r="E775" s="454">
        <v>1084</v>
      </c>
      <c r="F775" s="454">
        <v>1432</v>
      </c>
      <c r="G775" s="454">
        <v>1806</v>
      </c>
      <c r="H775" s="454">
        <v>1995</v>
      </c>
      <c r="I775" s="454">
        <v>1979</v>
      </c>
      <c r="J775" s="454">
        <v>1965</v>
      </c>
      <c r="K775" s="454">
        <v>1782</v>
      </c>
      <c r="L775" s="454">
        <v>1509</v>
      </c>
      <c r="M775" s="454">
        <v>1214</v>
      </c>
      <c r="N775" s="454">
        <v>935</v>
      </c>
      <c r="O775" s="454">
        <v>775</v>
      </c>
      <c r="P775" s="454">
        <v>1443</v>
      </c>
      <c r="Q775" s="454">
        <v>4</v>
      </c>
      <c r="R775" s="455">
        <f t="shared" si="12"/>
        <v>1442.6666666666667</v>
      </c>
    </row>
    <row r="776" spans="1:18" ht="13.5" customHeight="1" x14ac:dyDescent="0.2">
      <c r="A776" s="449" t="s">
        <v>1440</v>
      </c>
      <c r="B776" s="458" t="s">
        <v>1638</v>
      </c>
      <c r="C776" s="451" t="s">
        <v>1639</v>
      </c>
      <c r="D776" s="454">
        <v>823</v>
      </c>
      <c r="E776" s="454">
        <v>1079</v>
      </c>
      <c r="F776" s="454">
        <v>1409</v>
      </c>
      <c r="G776" s="454">
        <v>1773</v>
      </c>
      <c r="H776" s="454">
        <v>1936</v>
      </c>
      <c r="I776" s="454">
        <v>1936</v>
      </c>
      <c r="J776" s="454">
        <v>1936</v>
      </c>
      <c r="K776" s="454">
        <v>1718</v>
      </c>
      <c r="L776" s="454">
        <v>1491</v>
      </c>
      <c r="M776" s="454">
        <v>1211</v>
      </c>
      <c r="N776" s="454">
        <v>949</v>
      </c>
      <c r="O776" s="454">
        <v>753</v>
      </c>
      <c r="P776" s="454">
        <v>1418</v>
      </c>
      <c r="Q776" s="454">
        <v>4</v>
      </c>
      <c r="R776" s="455">
        <f t="shared" si="12"/>
        <v>1417.8333333333333</v>
      </c>
    </row>
    <row r="777" spans="1:18" ht="13.5" customHeight="1" x14ac:dyDescent="0.2">
      <c r="A777" s="449" t="s">
        <v>1441</v>
      </c>
      <c r="B777" s="458" t="s">
        <v>1638</v>
      </c>
      <c r="C777" s="451" t="s">
        <v>1639</v>
      </c>
      <c r="D777" s="454">
        <v>852</v>
      </c>
      <c r="E777" s="454">
        <v>1107</v>
      </c>
      <c r="F777" s="454">
        <v>1460</v>
      </c>
      <c r="G777" s="454">
        <v>1839</v>
      </c>
      <c r="H777" s="454">
        <v>2026</v>
      </c>
      <c r="I777" s="454">
        <v>1978</v>
      </c>
      <c r="J777" s="454">
        <v>1981</v>
      </c>
      <c r="K777" s="454">
        <v>1788</v>
      </c>
      <c r="L777" s="454">
        <v>1523</v>
      </c>
      <c r="M777" s="454">
        <v>1233</v>
      </c>
      <c r="N777" s="454">
        <v>960</v>
      </c>
      <c r="O777" s="454">
        <v>783</v>
      </c>
      <c r="P777" s="454">
        <v>1461</v>
      </c>
      <c r="Q777" s="454">
        <v>4</v>
      </c>
      <c r="R777" s="455">
        <f t="shared" si="12"/>
        <v>1460.8333333333333</v>
      </c>
    </row>
    <row r="778" spans="1:18" ht="13.5" customHeight="1" x14ac:dyDescent="0.2">
      <c r="A778" s="449" t="s">
        <v>1442</v>
      </c>
      <c r="B778" s="458" t="s">
        <v>1638</v>
      </c>
      <c r="C778" s="451" t="s">
        <v>1639</v>
      </c>
      <c r="D778" s="454">
        <v>876</v>
      </c>
      <c r="E778" s="454">
        <v>1134</v>
      </c>
      <c r="F778" s="454">
        <v>1484</v>
      </c>
      <c r="G778" s="454">
        <v>1847</v>
      </c>
      <c r="H778" s="454">
        <v>2015</v>
      </c>
      <c r="I778" s="454">
        <v>1947</v>
      </c>
      <c r="J778" s="454">
        <v>1981</v>
      </c>
      <c r="K778" s="454">
        <v>1765</v>
      </c>
      <c r="L778" s="454">
        <v>1477</v>
      </c>
      <c r="M778" s="454">
        <v>1224</v>
      </c>
      <c r="N778" s="454">
        <v>993</v>
      </c>
      <c r="O778" s="454">
        <v>817</v>
      </c>
      <c r="P778" s="454">
        <v>1464</v>
      </c>
      <c r="Q778" s="454">
        <v>4</v>
      </c>
      <c r="R778" s="455">
        <f t="shared" si="12"/>
        <v>1463.3333333333333</v>
      </c>
    </row>
    <row r="779" spans="1:18" ht="13.5" customHeight="1" x14ac:dyDescent="0.2">
      <c r="A779" s="449" t="s">
        <v>1443</v>
      </c>
      <c r="B779" s="458" t="s">
        <v>1638</v>
      </c>
      <c r="C779" s="451" t="s">
        <v>1639</v>
      </c>
      <c r="D779" s="454">
        <v>1187</v>
      </c>
      <c r="E779" s="454">
        <v>1316</v>
      </c>
      <c r="F779" s="454">
        <v>1431</v>
      </c>
      <c r="G779" s="454">
        <v>1617</v>
      </c>
      <c r="H779" s="454">
        <v>1743</v>
      </c>
      <c r="I779" s="454">
        <v>1820</v>
      </c>
      <c r="J779" s="454">
        <v>1822</v>
      </c>
      <c r="K779" s="454">
        <v>1748</v>
      </c>
      <c r="L779" s="454">
        <v>1672</v>
      </c>
      <c r="M779" s="454">
        <v>1413</v>
      </c>
      <c r="N779" s="454">
        <v>1137</v>
      </c>
      <c r="O779" s="454">
        <v>1076</v>
      </c>
      <c r="P779" s="454">
        <v>1498</v>
      </c>
      <c r="Q779" s="454">
        <v>4</v>
      </c>
      <c r="R779" s="455">
        <f t="shared" si="12"/>
        <v>1498.5</v>
      </c>
    </row>
    <row r="780" spans="1:18" ht="13.5" customHeight="1" x14ac:dyDescent="0.2">
      <c r="A780" s="449" t="s">
        <v>1444</v>
      </c>
      <c r="B780" s="458" t="s">
        <v>1638</v>
      </c>
      <c r="C780" s="451" t="s">
        <v>1639</v>
      </c>
      <c r="D780" s="454">
        <v>1279</v>
      </c>
      <c r="E780" s="454">
        <v>1511</v>
      </c>
      <c r="F780" s="454">
        <v>1737</v>
      </c>
      <c r="G780" s="454">
        <v>1995</v>
      </c>
      <c r="H780" s="454">
        <v>2071</v>
      </c>
      <c r="I780" s="454">
        <v>2155</v>
      </c>
      <c r="J780" s="454">
        <v>2127</v>
      </c>
      <c r="K780" s="454">
        <v>2075</v>
      </c>
      <c r="L780" s="454">
        <v>1901</v>
      </c>
      <c r="M780" s="454">
        <v>1595</v>
      </c>
      <c r="N780" s="454">
        <v>1318</v>
      </c>
      <c r="O780" s="454">
        <v>1177</v>
      </c>
      <c r="P780" s="454">
        <v>1745</v>
      </c>
      <c r="Q780" s="454">
        <v>4</v>
      </c>
      <c r="R780" s="455">
        <f t="shared" si="12"/>
        <v>1745.0833333333333</v>
      </c>
    </row>
    <row r="781" spans="1:18" ht="13.5" customHeight="1" x14ac:dyDescent="0.2">
      <c r="A781" s="449" t="s">
        <v>1445</v>
      </c>
      <c r="B781" s="458" t="s">
        <v>1638</v>
      </c>
      <c r="C781" s="451" t="s">
        <v>1639</v>
      </c>
      <c r="D781" s="454">
        <v>1335</v>
      </c>
      <c r="E781" s="454">
        <v>1552</v>
      </c>
      <c r="F781" s="454">
        <v>1727</v>
      </c>
      <c r="G781" s="454">
        <v>1984</v>
      </c>
      <c r="H781" s="454">
        <v>2126</v>
      </c>
      <c r="I781" s="454">
        <v>2228</v>
      </c>
      <c r="J781" s="454">
        <v>2164</v>
      </c>
      <c r="K781" s="454">
        <v>2115</v>
      </c>
      <c r="L781" s="454">
        <v>1932</v>
      </c>
      <c r="M781" s="454">
        <v>1682</v>
      </c>
      <c r="N781" s="454">
        <v>1377</v>
      </c>
      <c r="O781" s="454">
        <v>1257</v>
      </c>
      <c r="P781" s="454">
        <v>1790</v>
      </c>
      <c r="Q781" s="454">
        <v>4</v>
      </c>
      <c r="R781" s="455">
        <f t="shared" si="12"/>
        <v>1789.9166666666667</v>
      </c>
    </row>
    <row r="782" spans="1:18" ht="13.5" customHeight="1" x14ac:dyDescent="0.2">
      <c r="A782" s="449" t="s">
        <v>1446</v>
      </c>
      <c r="B782" s="458" t="s">
        <v>1638</v>
      </c>
      <c r="C782" s="451" t="s">
        <v>1639</v>
      </c>
      <c r="D782" s="454">
        <v>1193</v>
      </c>
      <c r="E782" s="454">
        <v>1375</v>
      </c>
      <c r="F782" s="454">
        <v>1566</v>
      </c>
      <c r="G782" s="454">
        <v>1755</v>
      </c>
      <c r="H782" s="454">
        <v>1941</v>
      </c>
      <c r="I782" s="454">
        <v>2022</v>
      </c>
      <c r="J782" s="454">
        <v>1956</v>
      </c>
      <c r="K782" s="454">
        <v>1918</v>
      </c>
      <c r="L782" s="454">
        <v>1779</v>
      </c>
      <c r="M782" s="454">
        <v>1427</v>
      </c>
      <c r="N782" s="454">
        <v>1161</v>
      </c>
      <c r="O782" s="454">
        <v>1036</v>
      </c>
      <c r="P782" s="454">
        <v>1594</v>
      </c>
      <c r="Q782" s="454">
        <v>4</v>
      </c>
      <c r="R782" s="455">
        <f t="shared" si="12"/>
        <v>1594.0833333333333</v>
      </c>
    </row>
    <row r="783" spans="1:18" ht="13.5" customHeight="1" x14ac:dyDescent="0.2">
      <c r="A783" s="449" t="s">
        <v>1447</v>
      </c>
      <c r="B783" s="458" t="s">
        <v>1638</v>
      </c>
      <c r="C783" s="451" t="s">
        <v>1639</v>
      </c>
      <c r="D783" s="454">
        <v>492</v>
      </c>
      <c r="E783" s="454">
        <v>831</v>
      </c>
      <c r="F783" s="454">
        <v>1255</v>
      </c>
      <c r="G783" s="454">
        <v>1705</v>
      </c>
      <c r="H783" s="454">
        <v>2135</v>
      </c>
      <c r="I783" s="454">
        <v>2360</v>
      </c>
      <c r="J783" s="454">
        <v>2476</v>
      </c>
      <c r="K783" s="454">
        <v>2163</v>
      </c>
      <c r="L783" s="454">
        <v>1695</v>
      </c>
      <c r="M783" s="454">
        <v>1102</v>
      </c>
      <c r="N783" s="454">
        <v>580</v>
      </c>
      <c r="O783" s="454">
        <v>427</v>
      </c>
      <c r="P783" s="454">
        <v>1435</v>
      </c>
      <c r="Q783" s="454">
        <v>4</v>
      </c>
      <c r="R783" s="455">
        <f t="shared" si="12"/>
        <v>1435.0833333333333</v>
      </c>
    </row>
    <row r="784" spans="1:18" ht="13.5" customHeight="1" x14ac:dyDescent="0.2">
      <c r="A784" s="449" t="s">
        <v>1448</v>
      </c>
      <c r="B784" s="458" t="s">
        <v>1638</v>
      </c>
      <c r="C784" s="451" t="s">
        <v>1639</v>
      </c>
      <c r="D784" s="454">
        <v>407</v>
      </c>
      <c r="E784" s="454">
        <v>698</v>
      </c>
      <c r="F784" s="454">
        <v>1068</v>
      </c>
      <c r="G784" s="454">
        <v>1497</v>
      </c>
      <c r="H784" s="454">
        <v>1870</v>
      </c>
      <c r="I784" s="454">
        <v>2063</v>
      </c>
      <c r="J784" s="454">
        <v>2307</v>
      </c>
      <c r="K784" s="454">
        <v>2003</v>
      </c>
      <c r="L784" s="454">
        <v>1473</v>
      </c>
      <c r="M784" s="454">
        <v>882</v>
      </c>
      <c r="N784" s="454">
        <v>448</v>
      </c>
      <c r="O784" s="454">
        <v>326</v>
      </c>
      <c r="P784" s="454">
        <v>1254</v>
      </c>
      <c r="Q784" s="454">
        <v>4</v>
      </c>
      <c r="R784" s="455">
        <f t="shared" si="12"/>
        <v>1253.5</v>
      </c>
    </row>
    <row r="785" spans="1:18" ht="13.5" customHeight="1" x14ac:dyDescent="0.2">
      <c r="A785" s="449" t="s">
        <v>1449</v>
      </c>
      <c r="B785" s="458" t="s">
        <v>1638</v>
      </c>
      <c r="C785" s="451" t="s">
        <v>1639</v>
      </c>
      <c r="D785" s="454">
        <v>485</v>
      </c>
      <c r="E785" s="454">
        <v>817</v>
      </c>
      <c r="F785" s="454">
        <v>1292</v>
      </c>
      <c r="G785" s="454">
        <v>1680</v>
      </c>
      <c r="H785" s="454">
        <v>2084</v>
      </c>
      <c r="I785" s="454">
        <v>2327</v>
      </c>
      <c r="J785" s="454">
        <v>2398</v>
      </c>
      <c r="K785" s="454">
        <v>2081</v>
      </c>
      <c r="L785" s="454">
        <v>1634</v>
      </c>
      <c r="M785" s="454">
        <v>1103</v>
      </c>
      <c r="N785" s="454">
        <v>605</v>
      </c>
      <c r="O785" s="454">
        <v>413</v>
      </c>
      <c r="P785" s="454">
        <v>1410</v>
      </c>
      <c r="Q785" s="454">
        <v>4</v>
      </c>
      <c r="R785" s="455">
        <f t="shared" si="12"/>
        <v>1409.9166666666667</v>
      </c>
    </row>
    <row r="786" spans="1:18" ht="13.5" customHeight="1" x14ac:dyDescent="0.2">
      <c r="A786" s="449" t="s">
        <v>1450</v>
      </c>
      <c r="B786" s="458" t="s">
        <v>1638</v>
      </c>
      <c r="C786" s="451" t="s">
        <v>1639</v>
      </c>
      <c r="D786" s="454">
        <v>487</v>
      </c>
      <c r="E786" s="454">
        <v>755</v>
      </c>
      <c r="F786" s="454">
        <v>1103</v>
      </c>
      <c r="G786" s="454">
        <v>1453</v>
      </c>
      <c r="H786" s="454">
        <v>1718</v>
      </c>
      <c r="I786" s="454">
        <v>1939</v>
      </c>
      <c r="J786" s="454">
        <v>1898</v>
      </c>
      <c r="K786" s="454">
        <v>1621</v>
      </c>
      <c r="L786" s="454">
        <v>1332</v>
      </c>
      <c r="M786" s="454">
        <v>913</v>
      </c>
      <c r="N786" s="454">
        <v>549</v>
      </c>
      <c r="O786" s="454">
        <v>423</v>
      </c>
      <c r="P786" s="454">
        <v>1183</v>
      </c>
      <c r="Q786" s="454">
        <v>4</v>
      </c>
      <c r="R786" s="455">
        <f t="shared" si="12"/>
        <v>1182.5833333333333</v>
      </c>
    </row>
    <row r="787" spans="1:18" ht="13.5" customHeight="1" x14ac:dyDescent="0.2">
      <c r="A787" s="449" t="s">
        <v>1451</v>
      </c>
      <c r="B787" s="458" t="s">
        <v>1638</v>
      </c>
      <c r="C787" s="451" t="s">
        <v>1639</v>
      </c>
      <c r="D787" s="454">
        <v>532</v>
      </c>
      <c r="E787" s="454">
        <v>798</v>
      </c>
      <c r="F787" s="454">
        <v>1181</v>
      </c>
      <c r="G787" s="454">
        <v>1469</v>
      </c>
      <c r="H787" s="454">
        <v>1756</v>
      </c>
      <c r="I787" s="454">
        <v>1959</v>
      </c>
      <c r="J787" s="454">
        <v>1949</v>
      </c>
      <c r="K787" s="454">
        <v>1712</v>
      </c>
      <c r="L787" s="454">
        <v>1400</v>
      </c>
      <c r="M787" s="454">
        <v>946</v>
      </c>
      <c r="N787" s="454">
        <v>593</v>
      </c>
      <c r="O787" s="454">
        <v>456</v>
      </c>
      <c r="P787" s="454">
        <v>1229</v>
      </c>
      <c r="Q787" s="454">
        <v>4</v>
      </c>
      <c r="R787" s="455">
        <f t="shared" si="12"/>
        <v>1229.25</v>
      </c>
    </row>
    <row r="788" spans="1:18" ht="13.5" customHeight="1" x14ac:dyDescent="0.2">
      <c r="A788" s="449" t="s">
        <v>1452</v>
      </c>
      <c r="B788" s="458" t="s">
        <v>1638</v>
      </c>
      <c r="C788" s="451" t="s">
        <v>1639</v>
      </c>
      <c r="D788" s="454">
        <v>553</v>
      </c>
      <c r="E788" s="454">
        <v>845</v>
      </c>
      <c r="F788" s="454">
        <v>1179</v>
      </c>
      <c r="G788" s="454">
        <v>1503</v>
      </c>
      <c r="H788" s="461">
        <v>1746</v>
      </c>
      <c r="I788" s="454">
        <v>1990</v>
      </c>
      <c r="J788" s="454">
        <v>1982</v>
      </c>
      <c r="K788" s="454">
        <v>1724</v>
      </c>
      <c r="L788" s="454">
        <v>1444</v>
      </c>
      <c r="M788" s="454">
        <v>983</v>
      </c>
      <c r="N788" s="454">
        <v>608</v>
      </c>
      <c r="O788" s="454">
        <v>475</v>
      </c>
      <c r="P788" s="454">
        <v>1253</v>
      </c>
      <c r="Q788" s="454">
        <v>4</v>
      </c>
      <c r="R788" s="455">
        <f t="shared" si="12"/>
        <v>1252.6666666666667</v>
      </c>
    </row>
    <row r="789" spans="1:18" ht="13.5" customHeight="1" x14ac:dyDescent="0.2">
      <c r="A789" s="449" t="s">
        <v>1453</v>
      </c>
      <c r="B789" s="458" t="s">
        <v>1638</v>
      </c>
      <c r="C789" s="451" t="s">
        <v>1639</v>
      </c>
      <c r="D789" s="454">
        <v>483</v>
      </c>
      <c r="E789" s="454">
        <v>766</v>
      </c>
      <c r="F789" s="454">
        <v>1123</v>
      </c>
      <c r="G789" s="454">
        <v>1442</v>
      </c>
      <c r="H789" s="461">
        <v>1700</v>
      </c>
      <c r="I789" s="454">
        <v>1933</v>
      </c>
      <c r="J789" s="454">
        <v>1881</v>
      </c>
      <c r="K789" s="454">
        <v>1647</v>
      </c>
      <c r="L789" s="454">
        <v>1337</v>
      </c>
      <c r="M789" s="454">
        <v>902</v>
      </c>
      <c r="N789" s="454">
        <v>545</v>
      </c>
      <c r="O789" s="454">
        <v>401</v>
      </c>
      <c r="P789" s="454">
        <v>1180</v>
      </c>
      <c r="Q789" s="454">
        <v>4</v>
      </c>
      <c r="R789" s="455">
        <f t="shared" si="12"/>
        <v>1180</v>
      </c>
    </row>
    <row r="790" spans="1:18" ht="13.5" customHeight="1" x14ac:dyDescent="0.2">
      <c r="A790" s="449" t="s">
        <v>1454</v>
      </c>
      <c r="B790" s="458" t="s">
        <v>1638</v>
      </c>
      <c r="C790" s="451" t="s">
        <v>1639</v>
      </c>
      <c r="D790" s="454">
        <v>561</v>
      </c>
      <c r="E790" s="454">
        <v>862</v>
      </c>
      <c r="F790" s="454">
        <v>1179</v>
      </c>
      <c r="G790" s="454">
        <v>1513</v>
      </c>
      <c r="H790" s="461">
        <v>1747</v>
      </c>
      <c r="I790" s="454">
        <v>1983</v>
      </c>
      <c r="J790" s="454">
        <v>2017</v>
      </c>
      <c r="K790" s="454">
        <v>1766</v>
      </c>
      <c r="L790" s="454">
        <v>1459</v>
      </c>
      <c r="M790" s="454">
        <v>1035</v>
      </c>
      <c r="N790" s="454">
        <v>641</v>
      </c>
      <c r="O790" s="454">
        <v>501</v>
      </c>
      <c r="P790" s="454">
        <v>1272</v>
      </c>
      <c r="Q790" s="454">
        <v>4</v>
      </c>
      <c r="R790" s="455">
        <f t="shared" si="12"/>
        <v>1272</v>
      </c>
    </row>
    <row r="791" spans="1:18" ht="13.5" customHeight="1" x14ac:dyDescent="0.2">
      <c r="A791" s="449" t="s">
        <v>1455</v>
      </c>
      <c r="B791" s="458" t="s">
        <v>1638</v>
      </c>
      <c r="C791" s="451" t="s">
        <v>1639</v>
      </c>
      <c r="D791" s="454">
        <v>598</v>
      </c>
      <c r="E791" s="454">
        <v>880</v>
      </c>
      <c r="F791" s="454">
        <v>1173</v>
      </c>
      <c r="G791" s="454">
        <v>1574</v>
      </c>
      <c r="H791" s="461">
        <v>1796</v>
      </c>
      <c r="I791" s="454">
        <v>2005</v>
      </c>
      <c r="J791" s="454">
        <v>1994</v>
      </c>
      <c r="K791" s="454">
        <v>1850</v>
      </c>
      <c r="L791" s="454">
        <v>1484</v>
      </c>
      <c r="M791" s="454">
        <v>1097</v>
      </c>
      <c r="N791" s="454">
        <v>693</v>
      </c>
      <c r="O791" s="454">
        <v>525</v>
      </c>
      <c r="P791" s="454">
        <v>1306</v>
      </c>
      <c r="Q791" s="454">
        <v>4</v>
      </c>
      <c r="R791" s="455">
        <f t="shared" si="12"/>
        <v>1305.75</v>
      </c>
    </row>
    <row r="792" spans="1:18" ht="13.5" customHeight="1" x14ac:dyDescent="0.2">
      <c r="A792" s="449" t="s">
        <v>1456</v>
      </c>
      <c r="B792" s="458" t="s">
        <v>1638</v>
      </c>
      <c r="C792" s="451" t="s">
        <v>1639</v>
      </c>
      <c r="D792" s="454">
        <v>490</v>
      </c>
      <c r="E792" s="454">
        <v>750</v>
      </c>
      <c r="F792" s="454">
        <v>1131</v>
      </c>
      <c r="G792" s="454">
        <v>1458</v>
      </c>
      <c r="H792" s="461">
        <v>1709</v>
      </c>
      <c r="I792" s="454">
        <v>1923</v>
      </c>
      <c r="J792" s="454">
        <v>1944</v>
      </c>
      <c r="K792" s="454">
        <v>1677</v>
      </c>
      <c r="L792" s="454">
        <v>1371</v>
      </c>
      <c r="M792" s="454">
        <v>935</v>
      </c>
      <c r="N792" s="454">
        <v>560</v>
      </c>
      <c r="O792" s="454">
        <v>420</v>
      </c>
      <c r="P792" s="454">
        <v>1197</v>
      </c>
      <c r="Q792" s="454">
        <v>4</v>
      </c>
      <c r="R792" s="455">
        <f t="shared" si="12"/>
        <v>1197.3333333333333</v>
      </c>
    </row>
    <row r="793" spans="1:18" ht="13.5" customHeight="1" x14ac:dyDescent="0.2">
      <c r="A793" s="449" t="s">
        <v>1457</v>
      </c>
      <c r="B793" s="458" t="s">
        <v>1638</v>
      </c>
      <c r="C793" s="451" t="s">
        <v>1639</v>
      </c>
      <c r="D793" s="454">
        <v>550</v>
      </c>
      <c r="E793" s="454">
        <v>815</v>
      </c>
      <c r="F793" s="454">
        <v>1165</v>
      </c>
      <c r="G793" s="454">
        <v>1486</v>
      </c>
      <c r="H793" s="461">
        <v>1757</v>
      </c>
      <c r="I793" s="454">
        <v>1958</v>
      </c>
      <c r="J793" s="454">
        <v>1934</v>
      </c>
      <c r="K793" s="454">
        <v>1739</v>
      </c>
      <c r="L793" s="454">
        <v>1441</v>
      </c>
      <c r="M793" s="454">
        <v>1012</v>
      </c>
      <c r="N793" s="454">
        <v>615</v>
      </c>
      <c r="O793" s="454">
        <v>472</v>
      </c>
      <c r="P793" s="454">
        <v>1245</v>
      </c>
      <c r="Q793" s="454">
        <v>4</v>
      </c>
      <c r="R793" s="455">
        <f t="shared" si="12"/>
        <v>1245.3333333333333</v>
      </c>
    </row>
    <row r="794" spans="1:18" ht="13.5" customHeight="1" x14ac:dyDescent="0.2">
      <c r="A794" s="449" t="s">
        <v>1458</v>
      </c>
      <c r="B794" s="458" t="s">
        <v>1638</v>
      </c>
      <c r="C794" s="451" t="s">
        <v>1639</v>
      </c>
      <c r="D794" s="454">
        <v>433</v>
      </c>
      <c r="E794" s="454">
        <v>698</v>
      </c>
      <c r="F794" s="461">
        <v>1130</v>
      </c>
      <c r="G794" s="461">
        <v>1471</v>
      </c>
      <c r="H794" s="461">
        <v>1729</v>
      </c>
      <c r="I794" s="454">
        <v>1935</v>
      </c>
      <c r="J794" s="454">
        <v>1898</v>
      </c>
      <c r="K794" s="454">
        <v>1646</v>
      </c>
      <c r="L794" s="454">
        <v>1335</v>
      </c>
      <c r="M794" s="454">
        <v>889</v>
      </c>
      <c r="N794" s="454">
        <v>518</v>
      </c>
      <c r="O794" s="454">
        <v>389</v>
      </c>
      <c r="P794" s="454">
        <v>1173</v>
      </c>
      <c r="Q794" s="454">
        <v>4</v>
      </c>
      <c r="R794" s="455">
        <f t="shared" si="12"/>
        <v>1172.5833333333333</v>
      </c>
    </row>
    <row r="795" spans="1:18" ht="13.5" customHeight="1" x14ac:dyDescent="0.2">
      <c r="A795" s="449" t="s">
        <v>1459</v>
      </c>
      <c r="B795" s="458" t="s">
        <v>1638</v>
      </c>
      <c r="C795" s="451" t="s">
        <v>1639</v>
      </c>
      <c r="D795" s="454">
        <v>545</v>
      </c>
      <c r="E795" s="454">
        <v>817</v>
      </c>
      <c r="F795" s="461">
        <v>1181</v>
      </c>
      <c r="G795" s="461">
        <v>1507</v>
      </c>
      <c r="H795" s="461">
        <v>1782</v>
      </c>
      <c r="I795" s="454">
        <v>1979</v>
      </c>
      <c r="J795" s="454">
        <v>1995</v>
      </c>
      <c r="K795" s="454">
        <v>1762</v>
      </c>
      <c r="L795" s="454">
        <v>1435</v>
      </c>
      <c r="M795" s="454">
        <v>986</v>
      </c>
      <c r="N795" s="454">
        <v>613</v>
      </c>
      <c r="O795" s="454">
        <v>482</v>
      </c>
      <c r="P795" s="454">
        <v>1257</v>
      </c>
      <c r="Q795" s="454">
        <v>4</v>
      </c>
      <c r="R795" s="455">
        <f t="shared" si="12"/>
        <v>1257</v>
      </c>
    </row>
    <row r="796" spans="1:18" ht="13.5" customHeight="1" x14ac:dyDescent="0.2">
      <c r="A796" s="449" t="s">
        <v>1460</v>
      </c>
      <c r="B796" s="458" t="s">
        <v>1638</v>
      </c>
      <c r="C796" s="451" t="s">
        <v>1639</v>
      </c>
      <c r="D796" s="454">
        <v>503</v>
      </c>
      <c r="E796" s="454">
        <v>764</v>
      </c>
      <c r="F796" s="461">
        <v>1135</v>
      </c>
      <c r="G796" s="461">
        <v>1476</v>
      </c>
      <c r="H796" s="461">
        <v>1718</v>
      </c>
      <c r="I796" s="454">
        <v>1933</v>
      </c>
      <c r="J796" s="454">
        <v>1904</v>
      </c>
      <c r="K796" s="454">
        <v>1668</v>
      </c>
      <c r="L796" s="454">
        <v>1348</v>
      </c>
      <c r="M796" s="454">
        <v>903</v>
      </c>
      <c r="N796" s="454">
        <v>551</v>
      </c>
      <c r="O796" s="454">
        <v>422</v>
      </c>
      <c r="P796" s="454">
        <v>1194</v>
      </c>
      <c r="Q796" s="454">
        <v>4</v>
      </c>
      <c r="R796" s="455">
        <f t="shared" si="12"/>
        <v>1193.75</v>
      </c>
    </row>
    <row r="797" spans="1:18" ht="13.5" customHeight="1" x14ac:dyDescent="0.2">
      <c r="A797" s="449" t="s">
        <v>1461</v>
      </c>
      <c r="B797" s="458" t="s">
        <v>1638</v>
      </c>
      <c r="C797" s="451" t="s">
        <v>1639</v>
      </c>
      <c r="D797" s="454">
        <v>469</v>
      </c>
      <c r="E797" s="454">
        <v>722</v>
      </c>
      <c r="F797" s="461">
        <v>1111</v>
      </c>
      <c r="G797" s="461">
        <v>1479</v>
      </c>
      <c r="H797" s="461">
        <v>1707</v>
      </c>
      <c r="I797" s="454">
        <v>1902</v>
      </c>
      <c r="J797" s="454">
        <v>1944</v>
      </c>
      <c r="K797" s="454">
        <v>1678</v>
      </c>
      <c r="L797" s="454">
        <v>1308</v>
      </c>
      <c r="M797" s="454">
        <v>878</v>
      </c>
      <c r="N797" s="454">
        <v>538</v>
      </c>
      <c r="O797" s="454">
        <v>388</v>
      </c>
      <c r="P797" s="454">
        <v>1177</v>
      </c>
      <c r="Q797" s="454">
        <v>4</v>
      </c>
      <c r="R797" s="455">
        <f t="shared" si="12"/>
        <v>1177</v>
      </c>
    </row>
    <row r="798" spans="1:18" ht="13.5" customHeight="1" x14ac:dyDescent="0.2">
      <c r="A798" s="449" t="s">
        <v>1462</v>
      </c>
      <c r="B798" s="458" t="s">
        <v>1638</v>
      </c>
      <c r="C798" s="451" t="s">
        <v>1639</v>
      </c>
      <c r="D798" s="454">
        <v>522</v>
      </c>
      <c r="E798" s="454">
        <v>787</v>
      </c>
      <c r="F798" s="461">
        <v>1178</v>
      </c>
      <c r="G798" s="461">
        <v>1532</v>
      </c>
      <c r="H798" s="461">
        <v>1774</v>
      </c>
      <c r="I798" s="454">
        <v>2010</v>
      </c>
      <c r="J798" s="454">
        <v>2046</v>
      </c>
      <c r="K798" s="454">
        <v>1787</v>
      </c>
      <c r="L798" s="454">
        <v>1418</v>
      </c>
      <c r="M798" s="454">
        <v>982</v>
      </c>
      <c r="N798" s="454">
        <v>624</v>
      </c>
      <c r="O798" s="454">
        <v>468</v>
      </c>
      <c r="P798" s="454">
        <v>1260</v>
      </c>
      <c r="Q798" s="454">
        <v>4</v>
      </c>
      <c r="R798" s="455">
        <f t="shared" si="12"/>
        <v>1260.6666666666667</v>
      </c>
    </row>
    <row r="799" spans="1:18" ht="13.5" customHeight="1" x14ac:dyDescent="0.2">
      <c r="A799" s="449" t="s">
        <v>1463</v>
      </c>
      <c r="B799" s="458" t="s">
        <v>1638</v>
      </c>
      <c r="C799" s="451" t="s">
        <v>1639</v>
      </c>
      <c r="D799" s="454">
        <v>505</v>
      </c>
      <c r="E799" s="454">
        <v>755</v>
      </c>
      <c r="F799" s="461">
        <v>1131</v>
      </c>
      <c r="G799" s="461">
        <v>1451</v>
      </c>
      <c r="H799" s="461">
        <v>1722</v>
      </c>
      <c r="I799" s="454">
        <v>1924</v>
      </c>
      <c r="J799" s="454">
        <v>1952</v>
      </c>
      <c r="K799" s="454">
        <v>1698</v>
      </c>
      <c r="L799" s="454">
        <v>1357</v>
      </c>
      <c r="M799" s="454">
        <v>909</v>
      </c>
      <c r="N799" s="454">
        <v>554</v>
      </c>
      <c r="O799" s="454">
        <v>418</v>
      </c>
      <c r="P799" s="454">
        <v>1198</v>
      </c>
      <c r="Q799" s="454">
        <v>4</v>
      </c>
      <c r="R799" s="455">
        <f t="shared" si="12"/>
        <v>1198</v>
      </c>
    </row>
    <row r="800" spans="1:18" ht="13.5" customHeight="1" x14ac:dyDescent="0.2">
      <c r="A800" s="449" t="s">
        <v>1464</v>
      </c>
      <c r="B800" s="458" t="s">
        <v>1638</v>
      </c>
      <c r="C800" s="451" t="s">
        <v>1639</v>
      </c>
      <c r="D800" s="454">
        <v>701</v>
      </c>
      <c r="E800" s="454">
        <v>948</v>
      </c>
      <c r="F800" s="461">
        <v>1319</v>
      </c>
      <c r="G800" s="461">
        <v>1647</v>
      </c>
      <c r="H800" s="461">
        <v>1881</v>
      </c>
      <c r="I800" s="454">
        <v>2123</v>
      </c>
      <c r="J800" s="454">
        <v>2140</v>
      </c>
      <c r="K800" s="454">
        <v>1916</v>
      </c>
      <c r="L800" s="454">
        <v>1544</v>
      </c>
      <c r="M800" s="454">
        <v>1128</v>
      </c>
      <c r="N800" s="454">
        <v>772</v>
      </c>
      <c r="O800" s="454">
        <v>608</v>
      </c>
      <c r="P800" s="454">
        <v>1394</v>
      </c>
      <c r="Q800" s="454">
        <v>4</v>
      </c>
      <c r="R800" s="455">
        <f t="shared" si="12"/>
        <v>1393.9166666666667</v>
      </c>
    </row>
    <row r="801" spans="1:18" ht="13.5" customHeight="1" x14ac:dyDescent="0.2">
      <c r="A801" s="449" t="s">
        <v>1465</v>
      </c>
      <c r="B801" s="458" t="s">
        <v>1638</v>
      </c>
      <c r="C801" s="451" t="s">
        <v>1639</v>
      </c>
      <c r="D801" s="454">
        <v>816</v>
      </c>
      <c r="E801" s="454">
        <v>1068</v>
      </c>
      <c r="F801" s="454">
        <v>1439</v>
      </c>
      <c r="G801" s="454">
        <v>1786</v>
      </c>
      <c r="H801" s="454">
        <v>2049</v>
      </c>
      <c r="I801" s="454">
        <v>2230</v>
      </c>
      <c r="J801" s="454">
        <v>2272</v>
      </c>
      <c r="K801" s="454">
        <v>1980</v>
      </c>
      <c r="L801" s="454">
        <v>1636</v>
      </c>
      <c r="M801" s="454">
        <v>1239</v>
      </c>
      <c r="N801" s="454">
        <v>889</v>
      </c>
      <c r="O801" s="454">
        <v>740</v>
      </c>
      <c r="P801" s="454">
        <v>1512</v>
      </c>
      <c r="Q801" s="454">
        <v>4</v>
      </c>
      <c r="R801" s="455">
        <f t="shared" si="12"/>
        <v>1512</v>
      </c>
    </row>
    <row r="802" spans="1:18" ht="13.5" customHeight="1" x14ac:dyDescent="0.2">
      <c r="A802" s="449" t="s">
        <v>1466</v>
      </c>
      <c r="B802" s="458" t="s">
        <v>1638</v>
      </c>
      <c r="C802" s="451" t="s">
        <v>1639</v>
      </c>
      <c r="D802" s="454">
        <v>785</v>
      </c>
      <c r="E802" s="454">
        <v>1014</v>
      </c>
      <c r="F802" s="454">
        <v>1426</v>
      </c>
      <c r="G802" s="454">
        <v>1762</v>
      </c>
      <c r="H802" s="454">
        <v>2007</v>
      </c>
      <c r="I802" s="454">
        <v>2274</v>
      </c>
      <c r="J802" s="454">
        <v>2301</v>
      </c>
      <c r="K802" s="454">
        <v>2013</v>
      </c>
      <c r="L802" s="454">
        <v>1646</v>
      </c>
      <c r="M802" s="454">
        <v>1216</v>
      </c>
      <c r="N802" s="454">
        <v>826</v>
      </c>
      <c r="O802" s="454">
        <v>681</v>
      </c>
      <c r="P802" s="454">
        <v>1496</v>
      </c>
      <c r="Q802" s="454">
        <v>4</v>
      </c>
      <c r="R802" s="455">
        <f t="shared" si="12"/>
        <v>1495.9166666666667</v>
      </c>
    </row>
    <row r="803" spans="1:18" ht="13.5" customHeight="1" x14ac:dyDescent="0.2">
      <c r="A803" s="449" t="s">
        <v>1467</v>
      </c>
      <c r="B803" s="458" t="s">
        <v>1638</v>
      </c>
      <c r="C803" s="451" t="s">
        <v>1639</v>
      </c>
      <c r="D803" s="454">
        <v>739</v>
      </c>
      <c r="E803" s="454">
        <v>986</v>
      </c>
      <c r="F803" s="454">
        <v>1343</v>
      </c>
      <c r="G803" s="454">
        <v>1669</v>
      </c>
      <c r="H803" s="454">
        <v>1944</v>
      </c>
      <c r="I803" s="454">
        <v>2144</v>
      </c>
      <c r="J803" s="454">
        <v>2176</v>
      </c>
      <c r="K803" s="454">
        <v>1927</v>
      </c>
      <c r="L803" s="454">
        <v>1571</v>
      </c>
      <c r="M803" s="454">
        <v>1153</v>
      </c>
      <c r="N803" s="454">
        <v>818</v>
      </c>
      <c r="O803" s="454">
        <v>655</v>
      </c>
      <c r="P803" s="454">
        <v>1427</v>
      </c>
      <c r="Q803" s="454">
        <v>4</v>
      </c>
      <c r="R803" s="455">
        <f t="shared" si="12"/>
        <v>1427.0833333333333</v>
      </c>
    </row>
    <row r="804" spans="1:18" ht="13.5" customHeight="1" x14ac:dyDescent="0.2">
      <c r="A804" s="449" t="s">
        <v>1468</v>
      </c>
      <c r="B804" s="458" t="s">
        <v>1638</v>
      </c>
      <c r="C804" s="451" t="s">
        <v>1639</v>
      </c>
      <c r="D804" s="454">
        <v>679</v>
      </c>
      <c r="E804" s="454">
        <v>944</v>
      </c>
      <c r="F804" s="454">
        <v>1277</v>
      </c>
      <c r="G804" s="454">
        <v>1574</v>
      </c>
      <c r="H804" s="454">
        <v>1809</v>
      </c>
      <c r="I804" s="454">
        <v>2027</v>
      </c>
      <c r="J804" s="454">
        <v>2069</v>
      </c>
      <c r="K804" s="454">
        <v>1864</v>
      </c>
      <c r="L804" s="454">
        <v>1497</v>
      </c>
      <c r="M804" s="454">
        <v>1102</v>
      </c>
      <c r="N804" s="454">
        <v>733</v>
      </c>
      <c r="O804" s="454">
        <v>598</v>
      </c>
      <c r="P804" s="454">
        <v>1348</v>
      </c>
      <c r="Q804" s="454">
        <v>4</v>
      </c>
      <c r="R804" s="455">
        <f t="shared" si="12"/>
        <v>1347.75</v>
      </c>
    </row>
    <row r="805" spans="1:18" ht="13.5" customHeight="1" x14ac:dyDescent="0.2">
      <c r="A805" s="449" t="s">
        <v>1469</v>
      </c>
      <c r="B805" s="458" t="s">
        <v>1638</v>
      </c>
      <c r="C805" s="451" t="s">
        <v>1639</v>
      </c>
      <c r="D805" s="454">
        <v>763</v>
      </c>
      <c r="E805" s="454">
        <v>1050</v>
      </c>
      <c r="F805" s="454">
        <v>1345</v>
      </c>
      <c r="G805" s="454">
        <v>1701</v>
      </c>
      <c r="H805" s="454">
        <v>1930</v>
      </c>
      <c r="I805" s="454">
        <v>2132</v>
      </c>
      <c r="J805" s="454">
        <v>2179</v>
      </c>
      <c r="K805" s="454">
        <v>1961</v>
      </c>
      <c r="L805" s="454">
        <v>1567</v>
      </c>
      <c r="M805" s="454">
        <v>1173</v>
      </c>
      <c r="N805" s="454">
        <v>831</v>
      </c>
      <c r="O805" s="454">
        <v>666</v>
      </c>
      <c r="P805" s="454">
        <v>1442</v>
      </c>
      <c r="Q805" s="454">
        <v>4</v>
      </c>
      <c r="R805" s="455">
        <f t="shared" si="12"/>
        <v>1441.5</v>
      </c>
    </row>
    <row r="806" spans="1:18" ht="13.5" customHeight="1" x14ac:dyDescent="0.2">
      <c r="A806" s="449" t="s">
        <v>1470</v>
      </c>
      <c r="B806" s="458" t="s">
        <v>1638</v>
      </c>
      <c r="C806" s="451" t="s">
        <v>1639</v>
      </c>
      <c r="D806" s="454">
        <v>553</v>
      </c>
      <c r="E806" s="454">
        <v>832</v>
      </c>
      <c r="F806" s="454">
        <v>1167</v>
      </c>
      <c r="G806" s="454">
        <v>1532</v>
      </c>
      <c r="H806" s="454">
        <v>1782</v>
      </c>
      <c r="I806" s="454">
        <v>1956</v>
      </c>
      <c r="J806" s="454">
        <v>1937</v>
      </c>
      <c r="K806" s="454">
        <v>1768</v>
      </c>
      <c r="L806" s="454">
        <v>1439</v>
      </c>
      <c r="M806" s="454">
        <v>1027</v>
      </c>
      <c r="N806" s="454">
        <v>644</v>
      </c>
      <c r="O806" s="454">
        <v>487</v>
      </c>
      <c r="P806" s="454">
        <v>1260</v>
      </c>
      <c r="Q806" s="454">
        <v>4</v>
      </c>
      <c r="R806" s="455">
        <f t="shared" si="12"/>
        <v>1260.3333333333333</v>
      </c>
    </row>
    <row r="807" spans="1:18" ht="13.5" customHeight="1" x14ac:dyDescent="0.2">
      <c r="A807" s="449" t="s">
        <v>1471</v>
      </c>
      <c r="B807" s="458" t="s">
        <v>1638</v>
      </c>
      <c r="C807" s="451" t="s">
        <v>1639</v>
      </c>
      <c r="D807" s="454">
        <v>591</v>
      </c>
      <c r="E807" s="454">
        <v>831</v>
      </c>
      <c r="F807" s="454">
        <v>1165</v>
      </c>
      <c r="G807" s="454">
        <v>1534</v>
      </c>
      <c r="H807" s="454">
        <v>1745</v>
      </c>
      <c r="I807" s="454">
        <v>1909</v>
      </c>
      <c r="J807" s="454">
        <v>1882</v>
      </c>
      <c r="K807" s="454">
        <v>1752</v>
      </c>
      <c r="L807" s="454">
        <v>1416</v>
      </c>
      <c r="M807" s="454">
        <v>1060</v>
      </c>
      <c r="N807" s="454">
        <v>708</v>
      </c>
      <c r="O807" s="454">
        <v>539</v>
      </c>
      <c r="P807" s="454">
        <v>1261</v>
      </c>
      <c r="Q807" s="454">
        <v>4</v>
      </c>
      <c r="R807" s="455">
        <f t="shared" si="12"/>
        <v>1261</v>
      </c>
    </row>
    <row r="808" spans="1:18" ht="13.5" customHeight="1" x14ac:dyDescent="0.2">
      <c r="A808" s="449" t="s">
        <v>1472</v>
      </c>
      <c r="B808" s="458" t="s">
        <v>1638</v>
      </c>
      <c r="C808" s="451" t="s">
        <v>1639</v>
      </c>
      <c r="D808" s="454">
        <v>571</v>
      </c>
      <c r="E808" s="454">
        <v>841</v>
      </c>
      <c r="F808" s="459">
        <v>1177</v>
      </c>
      <c r="G808" s="459">
        <v>1572</v>
      </c>
      <c r="H808" s="454">
        <v>1814</v>
      </c>
      <c r="I808" s="460">
        <v>1963</v>
      </c>
      <c r="J808" s="454">
        <v>1925</v>
      </c>
      <c r="K808" s="454">
        <v>1782</v>
      </c>
      <c r="L808" s="454">
        <v>1444</v>
      </c>
      <c r="M808" s="454">
        <v>1079</v>
      </c>
      <c r="N808" s="454">
        <v>688</v>
      </c>
      <c r="O808" s="454">
        <v>517</v>
      </c>
      <c r="P808" s="454">
        <v>1281</v>
      </c>
      <c r="Q808" s="454">
        <v>4</v>
      </c>
      <c r="R808" s="455">
        <f t="shared" si="12"/>
        <v>1281.0833333333333</v>
      </c>
    </row>
    <row r="809" spans="1:18" ht="13.5" customHeight="1" x14ac:dyDescent="0.2">
      <c r="A809" s="449" t="s">
        <v>1473</v>
      </c>
      <c r="B809" s="458" t="s">
        <v>1638</v>
      </c>
      <c r="C809" s="451" t="s">
        <v>1639</v>
      </c>
      <c r="D809" s="454">
        <v>595</v>
      </c>
      <c r="E809" s="454">
        <v>895</v>
      </c>
      <c r="F809" s="459">
        <v>1206</v>
      </c>
      <c r="G809" s="459">
        <v>1563</v>
      </c>
      <c r="H809" s="454">
        <v>1816</v>
      </c>
      <c r="I809" s="460">
        <v>1982</v>
      </c>
      <c r="J809" s="454">
        <v>1963</v>
      </c>
      <c r="K809" s="454">
        <v>1811</v>
      </c>
      <c r="L809" s="454">
        <v>1471</v>
      </c>
      <c r="M809" s="454">
        <v>1073</v>
      </c>
      <c r="N809" s="454">
        <v>692</v>
      </c>
      <c r="O809" s="454">
        <v>520</v>
      </c>
      <c r="P809" s="454">
        <v>1299</v>
      </c>
      <c r="Q809" s="454">
        <v>4</v>
      </c>
      <c r="R809" s="455">
        <f t="shared" si="12"/>
        <v>1298.9166666666667</v>
      </c>
    </row>
    <row r="810" spans="1:18" ht="13.5" customHeight="1" x14ac:dyDescent="0.2">
      <c r="A810" s="449" t="s">
        <v>1474</v>
      </c>
      <c r="B810" s="458" t="s">
        <v>1638</v>
      </c>
      <c r="C810" s="451" t="s">
        <v>1639</v>
      </c>
      <c r="D810" s="454">
        <v>630</v>
      </c>
      <c r="E810" s="454">
        <v>893</v>
      </c>
      <c r="F810" s="459">
        <v>1224</v>
      </c>
      <c r="G810" s="459">
        <v>1607</v>
      </c>
      <c r="H810" s="454">
        <v>1820</v>
      </c>
      <c r="I810" s="460">
        <v>2017</v>
      </c>
      <c r="J810" s="454">
        <v>2031</v>
      </c>
      <c r="K810" s="454">
        <v>1888</v>
      </c>
      <c r="L810" s="454">
        <v>1494</v>
      </c>
      <c r="M810" s="454">
        <v>1121</v>
      </c>
      <c r="N810" s="454">
        <v>726</v>
      </c>
      <c r="O810" s="454">
        <v>556</v>
      </c>
      <c r="P810" s="454">
        <v>1334</v>
      </c>
      <c r="Q810" s="454">
        <v>4</v>
      </c>
      <c r="R810" s="455">
        <f t="shared" si="12"/>
        <v>1333.9166666666667</v>
      </c>
    </row>
    <row r="811" spans="1:18" ht="13.5" customHeight="1" x14ac:dyDescent="0.2">
      <c r="A811" s="449" t="s">
        <v>1475</v>
      </c>
      <c r="B811" s="458" t="s">
        <v>1638</v>
      </c>
      <c r="C811" s="451" t="s">
        <v>1639</v>
      </c>
      <c r="D811" s="454">
        <v>822</v>
      </c>
      <c r="E811" s="454">
        <v>1075</v>
      </c>
      <c r="F811" s="459">
        <v>1375</v>
      </c>
      <c r="G811" s="459">
        <v>1736</v>
      </c>
      <c r="H811" s="454">
        <v>1894</v>
      </c>
      <c r="I811" s="460">
        <v>1914</v>
      </c>
      <c r="J811" s="454">
        <v>1896</v>
      </c>
      <c r="K811" s="454">
        <v>1813</v>
      </c>
      <c r="L811" s="454">
        <v>1553</v>
      </c>
      <c r="M811" s="454">
        <v>1291</v>
      </c>
      <c r="N811" s="454">
        <v>983</v>
      </c>
      <c r="O811" s="454">
        <v>784</v>
      </c>
      <c r="P811" s="454">
        <v>1428</v>
      </c>
      <c r="Q811" s="454">
        <v>4</v>
      </c>
      <c r="R811" s="455">
        <f t="shared" si="12"/>
        <v>1428</v>
      </c>
    </row>
    <row r="812" spans="1:18" ht="13.5" customHeight="1" x14ac:dyDescent="0.2">
      <c r="A812" s="449" t="s">
        <v>1476</v>
      </c>
      <c r="B812" s="458" t="s">
        <v>1638</v>
      </c>
      <c r="C812" s="451" t="s">
        <v>1639</v>
      </c>
      <c r="D812" s="454">
        <v>833</v>
      </c>
      <c r="E812" s="454">
        <v>1046</v>
      </c>
      <c r="F812" s="459">
        <v>1395</v>
      </c>
      <c r="G812" s="459">
        <v>1727</v>
      </c>
      <c r="H812" s="454">
        <v>1920</v>
      </c>
      <c r="I812" s="460">
        <v>1977</v>
      </c>
      <c r="J812" s="454">
        <v>1930</v>
      </c>
      <c r="K812" s="454">
        <v>1825</v>
      </c>
      <c r="L812" s="454">
        <v>1575</v>
      </c>
      <c r="M812" s="454">
        <v>1321</v>
      </c>
      <c r="N812" s="454">
        <v>987</v>
      </c>
      <c r="O812" s="454">
        <v>786</v>
      </c>
      <c r="P812" s="454">
        <v>1443</v>
      </c>
      <c r="Q812" s="454">
        <v>4</v>
      </c>
      <c r="R812" s="455">
        <f t="shared" si="12"/>
        <v>1443.5</v>
      </c>
    </row>
    <row r="813" spans="1:18" ht="13.5" customHeight="1" x14ac:dyDescent="0.2">
      <c r="A813" s="449" t="s">
        <v>1477</v>
      </c>
      <c r="B813" s="458" t="s">
        <v>1638</v>
      </c>
      <c r="C813" s="451" t="s">
        <v>1639</v>
      </c>
      <c r="D813" s="454">
        <v>873</v>
      </c>
      <c r="E813" s="454">
        <v>1114</v>
      </c>
      <c r="F813" s="459">
        <v>1454</v>
      </c>
      <c r="G813" s="459">
        <v>1798</v>
      </c>
      <c r="H813" s="454">
        <v>1964</v>
      </c>
      <c r="I813" s="460">
        <v>1928</v>
      </c>
      <c r="J813" s="454">
        <v>1856</v>
      </c>
      <c r="K813" s="454">
        <v>1791</v>
      </c>
      <c r="L813" s="454">
        <v>1570</v>
      </c>
      <c r="M813" s="454">
        <v>1328</v>
      </c>
      <c r="N813" s="454">
        <v>1038</v>
      </c>
      <c r="O813" s="454">
        <v>827</v>
      </c>
      <c r="P813" s="454">
        <v>1462</v>
      </c>
      <c r="Q813" s="454">
        <v>4</v>
      </c>
      <c r="R813" s="455">
        <f t="shared" si="12"/>
        <v>1461.75</v>
      </c>
    </row>
    <row r="814" spans="1:18" ht="13.5" customHeight="1" x14ac:dyDescent="0.2">
      <c r="A814" s="449" t="s">
        <v>1478</v>
      </c>
      <c r="B814" s="458" t="s">
        <v>1638</v>
      </c>
      <c r="C814" s="451" t="s">
        <v>1639</v>
      </c>
      <c r="D814" s="454">
        <v>783</v>
      </c>
      <c r="E814" s="454">
        <v>1001</v>
      </c>
      <c r="F814" s="454">
        <v>1342</v>
      </c>
      <c r="G814" s="454">
        <v>1709</v>
      </c>
      <c r="H814" s="454">
        <v>1837</v>
      </c>
      <c r="I814" s="454">
        <v>2007</v>
      </c>
      <c r="J814" s="454">
        <v>2049</v>
      </c>
      <c r="K814" s="454">
        <v>1915</v>
      </c>
      <c r="L814" s="454">
        <v>1575</v>
      </c>
      <c r="M814" s="454">
        <v>1251</v>
      </c>
      <c r="N814" s="454">
        <v>884</v>
      </c>
      <c r="O814" s="454">
        <v>732</v>
      </c>
      <c r="P814" s="454">
        <v>1424</v>
      </c>
      <c r="Q814" s="454">
        <v>4</v>
      </c>
      <c r="R814" s="455">
        <f t="shared" si="12"/>
        <v>1423.75</v>
      </c>
    </row>
    <row r="815" spans="1:18" ht="13.5" customHeight="1" x14ac:dyDescent="0.2">
      <c r="A815" s="449" t="s">
        <v>1479</v>
      </c>
      <c r="B815" s="458" t="s">
        <v>1638</v>
      </c>
      <c r="C815" s="451" t="s">
        <v>1639</v>
      </c>
      <c r="D815" s="454">
        <v>496</v>
      </c>
      <c r="E815" s="454">
        <v>752</v>
      </c>
      <c r="F815" s="454">
        <v>1059</v>
      </c>
      <c r="G815" s="454">
        <v>1410</v>
      </c>
      <c r="H815" s="454">
        <v>1639</v>
      </c>
      <c r="I815" s="454">
        <v>1762</v>
      </c>
      <c r="J815" s="454">
        <v>1751</v>
      </c>
      <c r="K815" s="454">
        <v>1585</v>
      </c>
      <c r="L815" s="454">
        <v>1227</v>
      </c>
      <c r="M815" s="454">
        <v>792</v>
      </c>
      <c r="N815" s="454">
        <v>491</v>
      </c>
      <c r="O815" s="454">
        <v>411</v>
      </c>
      <c r="P815" s="454">
        <v>1115</v>
      </c>
      <c r="Q815" s="454">
        <v>4</v>
      </c>
      <c r="R815" s="455">
        <f t="shared" si="12"/>
        <v>1114.5833333333333</v>
      </c>
    </row>
    <row r="816" spans="1:18" ht="13.5" customHeight="1" x14ac:dyDescent="0.2">
      <c r="A816" s="449" t="s">
        <v>1480</v>
      </c>
      <c r="B816" s="458" t="s">
        <v>1638</v>
      </c>
      <c r="C816" s="451" t="s">
        <v>1639</v>
      </c>
      <c r="D816" s="454">
        <v>428</v>
      </c>
      <c r="E816" s="454">
        <v>674</v>
      </c>
      <c r="F816" s="454">
        <v>1034</v>
      </c>
      <c r="G816" s="454">
        <v>1390</v>
      </c>
      <c r="H816" s="454">
        <v>1684</v>
      </c>
      <c r="I816" s="454">
        <v>1800</v>
      </c>
      <c r="J816" s="454">
        <v>1703</v>
      </c>
      <c r="K816" s="454">
        <v>1542</v>
      </c>
      <c r="L816" s="454">
        <v>1136</v>
      </c>
      <c r="M816" s="454">
        <v>689</v>
      </c>
      <c r="N816" s="454">
        <v>424</v>
      </c>
      <c r="O816" s="454">
        <v>353</v>
      </c>
      <c r="P816" s="454">
        <v>1071</v>
      </c>
      <c r="Q816" s="454">
        <v>4</v>
      </c>
      <c r="R816" s="455">
        <f t="shared" si="12"/>
        <v>1071.4166666666667</v>
      </c>
    </row>
    <row r="817" spans="1:18" ht="13.5" customHeight="1" x14ac:dyDescent="0.2">
      <c r="A817" s="449" t="s">
        <v>1481</v>
      </c>
      <c r="B817" s="458" t="s">
        <v>1638</v>
      </c>
      <c r="C817" s="451" t="s">
        <v>1639</v>
      </c>
      <c r="D817" s="454">
        <v>530</v>
      </c>
      <c r="E817" s="454">
        <v>803</v>
      </c>
      <c r="F817" s="454">
        <v>1111</v>
      </c>
      <c r="G817" s="454">
        <v>1471</v>
      </c>
      <c r="H817" s="454">
        <v>1714</v>
      </c>
      <c r="I817" s="454">
        <v>1838</v>
      </c>
      <c r="J817" s="454">
        <v>1844</v>
      </c>
      <c r="K817" s="454">
        <v>1688</v>
      </c>
      <c r="L817" s="454">
        <v>1295</v>
      </c>
      <c r="M817" s="454">
        <v>879</v>
      </c>
      <c r="N817" s="454">
        <v>552</v>
      </c>
      <c r="O817" s="454">
        <v>458</v>
      </c>
      <c r="P817" s="454">
        <v>1182</v>
      </c>
      <c r="Q817" s="454">
        <v>4</v>
      </c>
      <c r="R817" s="455">
        <f t="shared" si="12"/>
        <v>1181.9166666666667</v>
      </c>
    </row>
    <row r="818" spans="1:18" ht="13.5" customHeight="1" x14ac:dyDescent="0.2">
      <c r="A818" s="449" t="s">
        <v>1482</v>
      </c>
      <c r="B818" s="458" t="s">
        <v>1638</v>
      </c>
      <c r="C818" s="451" t="s">
        <v>1639</v>
      </c>
      <c r="D818" s="454">
        <v>653</v>
      </c>
      <c r="E818" s="454">
        <v>929</v>
      </c>
      <c r="F818" s="454">
        <v>1231</v>
      </c>
      <c r="G818" s="454">
        <v>1555</v>
      </c>
      <c r="H818" s="454">
        <v>1774</v>
      </c>
      <c r="I818" s="454">
        <v>1918</v>
      </c>
      <c r="J818" s="454">
        <v>1866</v>
      </c>
      <c r="K818" s="454">
        <v>1681</v>
      </c>
      <c r="L818" s="454">
        <v>1350</v>
      </c>
      <c r="M818" s="454">
        <v>1036</v>
      </c>
      <c r="N818" s="454">
        <v>709</v>
      </c>
      <c r="O818" s="454">
        <v>580</v>
      </c>
      <c r="P818" s="454">
        <v>1274</v>
      </c>
      <c r="Q818" s="454">
        <v>4</v>
      </c>
      <c r="R818" s="455">
        <f t="shared" si="12"/>
        <v>1273.5</v>
      </c>
    </row>
    <row r="819" spans="1:18" ht="13.5" customHeight="1" x14ac:dyDescent="0.2">
      <c r="A819" s="449" t="s">
        <v>1483</v>
      </c>
      <c r="B819" s="458" t="s">
        <v>1638</v>
      </c>
      <c r="C819" s="451" t="s">
        <v>1639</v>
      </c>
      <c r="D819" s="454">
        <v>558</v>
      </c>
      <c r="E819" s="454">
        <v>833</v>
      </c>
      <c r="F819" s="454">
        <v>1113</v>
      </c>
      <c r="G819" s="454">
        <v>1461</v>
      </c>
      <c r="H819" s="454">
        <v>1703</v>
      </c>
      <c r="I819" s="454">
        <v>1811</v>
      </c>
      <c r="J819" s="454">
        <v>1830</v>
      </c>
      <c r="K819" s="454">
        <v>1657</v>
      </c>
      <c r="L819" s="454">
        <v>1284</v>
      </c>
      <c r="M819" s="454">
        <v>913</v>
      </c>
      <c r="N819" s="454">
        <v>576</v>
      </c>
      <c r="O819" s="454">
        <v>475</v>
      </c>
      <c r="P819" s="454">
        <v>1184</v>
      </c>
      <c r="Q819" s="454">
        <v>4</v>
      </c>
      <c r="R819" s="455">
        <f t="shared" si="12"/>
        <v>1184.5</v>
      </c>
    </row>
    <row r="820" spans="1:18" ht="13.5" customHeight="1" x14ac:dyDescent="0.2">
      <c r="A820" s="449" t="s">
        <v>1484</v>
      </c>
      <c r="B820" s="458" t="s">
        <v>1638</v>
      </c>
      <c r="C820" s="451" t="s">
        <v>1639</v>
      </c>
      <c r="D820" s="454">
        <v>567</v>
      </c>
      <c r="E820" s="454">
        <v>821</v>
      </c>
      <c r="F820" s="454">
        <v>1123</v>
      </c>
      <c r="G820" s="454">
        <v>1454</v>
      </c>
      <c r="H820" s="454">
        <v>1675</v>
      </c>
      <c r="I820" s="454">
        <v>1764</v>
      </c>
      <c r="J820" s="454">
        <v>1848</v>
      </c>
      <c r="K820" s="454">
        <v>1619</v>
      </c>
      <c r="L820" s="454">
        <v>1276</v>
      </c>
      <c r="M820" s="454">
        <v>903</v>
      </c>
      <c r="N820" s="454">
        <v>584</v>
      </c>
      <c r="O820" s="454">
        <v>477</v>
      </c>
      <c r="P820" s="454">
        <v>1176</v>
      </c>
      <c r="Q820" s="454">
        <v>4</v>
      </c>
      <c r="R820" s="455">
        <f t="shared" si="12"/>
        <v>1175.9166666666667</v>
      </c>
    </row>
    <row r="821" spans="1:18" ht="13.5" customHeight="1" x14ac:dyDescent="0.2">
      <c r="A821" s="449" t="s">
        <v>1485</v>
      </c>
      <c r="B821" s="458" t="s">
        <v>1638</v>
      </c>
      <c r="C821" s="451" t="s">
        <v>1639</v>
      </c>
      <c r="D821" s="454">
        <v>401</v>
      </c>
      <c r="E821" s="454">
        <v>653</v>
      </c>
      <c r="F821" s="454">
        <v>1103</v>
      </c>
      <c r="G821" s="454">
        <v>1457</v>
      </c>
      <c r="H821" s="461">
        <v>1771</v>
      </c>
      <c r="I821" s="454">
        <v>1948</v>
      </c>
      <c r="J821" s="454">
        <v>1896</v>
      </c>
      <c r="K821" s="454">
        <v>1632</v>
      </c>
      <c r="L821" s="454">
        <v>1232</v>
      </c>
      <c r="M821" s="454">
        <v>752</v>
      </c>
      <c r="N821" s="454">
        <v>439</v>
      </c>
      <c r="O821" s="454">
        <v>346</v>
      </c>
      <c r="P821" s="454">
        <v>1136</v>
      </c>
      <c r="Q821" s="454">
        <v>4</v>
      </c>
      <c r="R821" s="455">
        <f t="shared" si="12"/>
        <v>1135.8333333333333</v>
      </c>
    </row>
    <row r="822" spans="1:18" ht="13.5" customHeight="1" x14ac:dyDescent="0.2">
      <c r="A822" s="449" t="s">
        <v>1486</v>
      </c>
      <c r="B822" s="458" t="s">
        <v>1638</v>
      </c>
      <c r="C822" s="451" t="s">
        <v>1639</v>
      </c>
      <c r="D822" s="454">
        <v>479</v>
      </c>
      <c r="E822" s="454">
        <v>755</v>
      </c>
      <c r="F822" s="454">
        <v>1117</v>
      </c>
      <c r="G822" s="454">
        <v>1442</v>
      </c>
      <c r="H822" s="461">
        <v>1738</v>
      </c>
      <c r="I822" s="454">
        <v>1922</v>
      </c>
      <c r="J822" s="454">
        <v>1896</v>
      </c>
      <c r="K822" s="454">
        <v>1620</v>
      </c>
      <c r="L822" s="454">
        <v>1332</v>
      </c>
      <c r="M822" s="454">
        <v>861</v>
      </c>
      <c r="N822" s="454">
        <v>510</v>
      </c>
      <c r="O822" s="454">
        <v>400</v>
      </c>
      <c r="P822" s="454">
        <v>1173</v>
      </c>
      <c r="Q822" s="454">
        <v>4</v>
      </c>
      <c r="R822" s="455">
        <f t="shared" si="12"/>
        <v>1172.6666666666667</v>
      </c>
    </row>
    <row r="823" spans="1:18" ht="13.5" customHeight="1" x14ac:dyDescent="0.2">
      <c r="A823" s="449" t="s">
        <v>1487</v>
      </c>
      <c r="B823" s="458" t="s">
        <v>1638</v>
      </c>
      <c r="C823" s="451" t="s">
        <v>1639</v>
      </c>
      <c r="D823" s="454">
        <v>469</v>
      </c>
      <c r="E823" s="454">
        <v>746</v>
      </c>
      <c r="F823" s="454">
        <v>1120</v>
      </c>
      <c r="G823" s="454">
        <v>1437</v>
      </c>
      <c r="H823" s="461">
        <v>1711</v>
      </c>
      <c r="I823" s="454">
        <v>1884</v>
      </c>
      <c r="J823" s="454">
        <v>1850</v>
      </c>
      <c r="K823" s="454">
        <v>1585</v>
      </c>
      <c r="L823" s="454">
        <v>1316</v>
      </c>
      <c r="M823" s="454">
        <v>870</v>
      </c>
      <c r="N823" s="454">
        <v>507</v>
      </c>
      <c r="O823" s="454">
        <v>409</v>
      </c>
      <c r="P823" s="454">
        <v>1159</v>
      </c>
      <c r="Q823" s="454">
        <v>4</v>
      </c>
      <c r="R823" s="455">
        <f t="shared" si="12"/>
        <v>1158.6666666666667</v>
      </c>
    </row>
    <row r="824" spans="1:18" ht="13.5" customHeight="1" x14ac:dyDescent="0.2">
      <c r="A824" s="449" t="s">
        <v>1488</v>
      </c>
      <c r="B824" s="458" t="s">
        <v>1638</v>
      </c>
      <c r="C824" s="451" t="s">
        <v>1639</v>
      </c>
      <c r="D824" s="454">
        <v>440</v>
      </c>
      <c r="E824" s="454">
        <v>713</v>
      </c>
      <c r="F824" s="454">
        <v>1104</v>
      </c>
      <c r="G824" s="454">
        <v>1474</v>
      </c>
      <c r="H824" s="461">
        <v>1747</v>
      </c>
      <c r="I824" s="454">
        <v>1947</v>
      </c>
      <c r="J824" s="454">
        <v>1921</v>
      </c>
      <c r="K824" s="454">
        <v>1635</v>
      </c>
      <c r="L824" s="454">
        <v>1309</v>
      </c>
      <c r="M824" s="454">
        <v>839</v>
      </c>
      <c r="N824" s="454">
        <v>491</v>
      </c>
      <c r="O824" s="454">
        <v>394</v>
      </c>
      <c r="P824" s="454">
        <v>1168</v>
      </c>
      <c r="Q824" s="454">
        <v>4</v>
      </c>
      <c r="R824" s="455">
        <f t="shared" si="12"/>
        <v>1167.8333333333333</v>
      </c>
    </row>
    <row r="825" spans="1:18" ht="13.5" customHeight="1" x14ac:dyDescent="0.2">
      <c r="A825" s="449" t="s">
        <v>1489</v>
      </c>
      <c r="B825" s="458" t="s">
        <v>1638</v>
      </c>
      <c r="C825" s="451" t="s">
        <v>1639</v>
      </c>
      <c r="D825" s="454">
        <v>405</v>
      </c>
      <c r="E825" s="454">
        <v>684</v>
      </c>
      <c r="F825" s="454">
        <v>1109</v>
      </c>
      <c r="G825" s="454">
        <v>1461</v>
      </c>
      <c r="H825" s="461">
        <v>1746</v>
      </c>
      <c r="I825" s="454">
        <v>1943</v>
      </c>
      <c r="J825" s="454">
        <v>1913</v>
      </c>
      <c r="K825" s="454">
        <v>1635</v>
      </c>
      <c r="L825" s="454">
        <v>1306</v>
      </c>
      <c r="M825" s="454">
        <v>819</v>
      </c>
      <c r="N825" s="454">
        <v>487</v>
      </c>
      <c r="O825" s="454">
        <v>367</v>
      </c>
      <c r="P825" s="454">
        <v>1156</v>
      </c>
      <c r="Q825" s="454">
        <v>4</v>
      </c>
      <c r="R825" s="455">
        <f t="shared" si="12"/>
        <v>1156.25</v>
      </c>
    </row>
    <row r="826" spans="1:18" ht="13.5" customHeight="1" x14ac:dyDescent="0.2">
      <c r="A826" s="449" t="s">
        <v>1490</v>
      </c>
      <c r="B826" s="458" t="s">
        <v>1638</v>
      </c>
      <c r="C826" s="451" t="s">
        <v>1639</v>
      </c>
      <c r="D826" s="454">
        <v>401</v>
      </c>
      <c r="E826" s="454">
        <v>646</v>
      </c>
      <c r="F826" s="454">
        <v>1089</v>
      </c>
      <c r="G826" s="454">
        <v>1462</v>
      </c>
      <c r="H826" s="461">
        <v>1708</v>
      </c>
      <c r="I826" s="454">
        <v>1894</v>
      </c>
      <c r="J826" s="454">
        <v>1874</v>
      </c>
      <c r="K826" s="454">
        <v>1593</v>
      </c>
      <c r="L826" s="454">
        <v>1219</v>
      </c>
      <c r="M826" s="454">
        <v>763</v>
      </c>
      <c r="N826" s="454">
        <v>439</v>
      </c>
      <c r="O826" s="454">
        <v>363</v>
      </c>
      <c r="P826" s="454">
        <v>1121</v>
      </c>
      <c r="Q826" s="454">
        <v>4</v>
      </c>
      <c r="R826" s="455">
        <f t="shared" si="12"/>
        <v>1120.9166666666667</v>
      </c>
    </row>
    <row r="827" spans="1:18" ht="13.5" customHeight="1" x14ac:dyDescent="0.2">
      <c r="A827" s="449" t="s">
        <v>1491</v>
      </c>
      <c r="B827" s="458" t="s">
        <v>1638</v>
      </c>
      <c r="C827" s="451" t="s">
        <v>1639</v>
      </c>
      <c r="D827" s="454">
        <v>459</v>
      </c>
      <c r="E827" s="454">
        <v>729</v>
      </c>
      <c r="F827" s="454">
        <v>1109</v>
      </c>
      <c r="G827" s="454">
        <v>1441</v>
      </c>
      <c r="H827" s="454">
        <v>1707</v>
      </c>
      <c r="I827" s="454">
        <v>1905</v>
      </c>
      <c r="J827" s="454">
        <v>1863</v>
      </c>
      <c r="K827" s="454">
        <v>1595</v>
      </c>
      <c r="L827" s="454">
        <v>1303</v>
      </c>
      <c r="M827" s="454">
        <v>833</v>
      </c>
      <c r="N827" s="454">
        <v>494</v>
      </c>
      <c r="O827" s="454">
        <v>398</v>
      </c>
      <c r="P827" s="454">
        <v>1153</v>
      </c>
      <c r="Q827" s="454">
        <v>4</v>
      </c>
      <c r="R827" s="455">
        <f t="shared" si="12"/>
        <v>1153</v>
      </c>
    </row>
    <row r="828" spans="1:18" ht="13.5" customHeight="1" x14ac:dyDescent="0.2">
      <c r="A828" s="449" t="s">
        <v>1492</v>
      </c>
      <c r="B828" s="458" t="s">
        <v>1638</v>
      </c>
      <c r="C828" s="451" t="s">
        <v>1639</v>
      </c>
      <c r="D828" s="454">
        <v>391</v>
      </c>
      <c r="E828" s="454">
        <v>659</v>
      </c>
      <c r="F828" s="454">
        <v>1102</v>
      </c>
      <c r="G828" s="454">
        <v>1479</v>
      </c>
      <c r="H828" s="454">
        <v>1775</v>
      </c>
      <c r="I828" s="454">
        <v>1986</v>
      </c>
      <c r="J828" s="454">
        <v>1962</v>
      </c>
      <c r="K828" s="454">
        <v>1671</v>
      </c>
      <c r="L828" s="454">
        <v>1290</v>
      </c>
      <c r="M828" s="454">
        <v>809</v>
      </c>
      <c r="N828" s="454">
        <v>451</v>
      </c>
      <c r="O828" s="454">
        <v>339</v>
      </c>
      <c r="P828" s="454">
        <v>1160</v>
      </c>
      <c r="Q828" s="454">
        <v>4</v>
      </c>
      <c r="R828" s="455">
        <f t="shared" si="12"/>
        <v>1159.5</v>
      </c>
    </row>
    <row r="829" spans="1:18" ht="13.5" customHeight="1" x14ac:dyDescent="0.2">
      <c r="A829" s="449" t="s">
        <v>1493</v>
      </c>
      <c r="B829" s="458" t="s">
        <v>1638</v>
      </c>
      <c r="C829" s="451" t="s">
        <v>1639</v>
      </c>
      <c r="D829" s="454">
        <v>357</v>
      </c>
      <c r="E829" s="454">
        <v>617</v>
      </c>
      <c r="F829" s="454">
        <v>1042</v>
      </c>
      <c r="G829" s="454">
        <v>1473</v>
      </c>
      <c r="H829" s="454">
        <v>1794</v>
      </c>
      <c r="I829" s="454">
        <v>1962</v>
      </c>
      <c r="J829" s="454">
        <v>1837</v>
      </c>
      <c r="K829" s="454">
        <v>1611</v>
      </c>
      <c r="L829" s="454">
        <v>1128</v>
      </c>
      <c r="M829" s="454">
        <v>677</v>
      </c>
      <c r="N829" s="454">
        <v>378</v>
      </c>
      <c r="O829" s="454">
        <v>291</v>
      </c>
      <c r="P829" s="454">
        <v>1097</v>
      </c>
      <c r="Q829" s="454">
        <v>4</v>
      </c>
      <c r="R829" s="455">
        <f t="shared" si="12"/>
        <v>1097.25</v>
      </c>
    </row>
    <row r="830" spans="1:18" ht="13.5" customHeight="1" x14ac:dyDescent="0.2">
      <c r="A830" s="449" t="s">
        <v>1494</v>
      </c>
      <c r="B830" s="458" t="s">
        <v>1638</v>
      </c>
      <c r="C830" s="451" t="s">
        <v>1639</v>
      </c>
      <c r="D830" s="454">
        <v>403</v>
      </c>
      <c r="E830" s="454">
        <v>648</v>
      </c>
      <c r="F830" s="454">
        <v>1101</v>
      </c>
      <c r="G830" s="454">
        <v>1462</v>
      </c>
      <c r="H830" s="454">
        <v>1756</v>
      </c>
      <c r="I830" s="454">
        <v>1921</v>
      </c>
      <c r="J830" s="454">
        <v>1874</v>
      </c>
      <c r="K830" s="454">
        <v>1619</v>
      </c>
      <c r="L830" s="454">
        <v>1210</v>
      </c>
      <c r="M830" s="454">
        <v>725</v>
      </c>
      <c r="N830" s="454">
        <v>405</v>
      </c>
      <c r="O830" s="454">
        <v>339</v>
      </c>
      <c r="P830" s="454">
        <v>1122</v>
      </c>
      <c r="Q830" s="454">
        <v>4</v>
      </c>
      <c r="R830" s="455">
        <f t="shared" si="12"/>
        <v>1121.9166666666667</v>
      </c>
    </row>
    <row r="831" spans="1:18" ht="13.5" customHeight="1" x14ac:dyDescent="0.2">
      <c r="A831" s="449" t="s">
        <v>1495</v>
      </c>
      <c r="B831" s="458" t="s">
        <v>1638</v>
      </c>
      <c r="C831" s="451" t="s">
        <v>1639</v>
      </c>
      <c r="D831" s="454">
        <v>461</v>
      </c>
      <c r="E831" s="454">
        <v>707</v>
      </c>
      <c r="F831" s="454">
        <v>1083</v>
      </c>
      <c r="G831" s="454">
        <v>1499</v>
      </c>
      <c r="H831" s="454">
        <v>1770</v>
      </c>
      <c r="I831" s="454">
        <v>1844</v>
      </c>
      <c r="J831" s="454">
        <v>1899</v>
      </c>
      <c r="K831" s="454">
        <v>1627</v>
      </c>
      <c r="L831" s="454">
        <v>1179</v>
      </c>
      <c r="M831" s="454">
        <v>724</v>
      </c>
      <c r="N831" s="454">
        <v>441</v>
      </c>
      <c r="O831" s="454">
        <v>365</v>
      </c>
      <c r="P831" s="454">
        <v>1133</v>
      </c>
      <c r="Q831" s="454">
        <v>4</v>
      </c>
      <c r="R831" s="455">
        <f t="shared" si="12"/>
        <v>1133.25</v>
      </c>
    </row>
    <row r="832" spans="1:18" ht="13.5" customHeight="1" x14ac:dyDescent="0.2">
      <c r="A832" s="449" t="s">
        <v>1496</v>
      </c>
      <c r="B832" s="458" t="s">
        <v>1638</v>
      </c>
      <c r="C832" s="451" t="s">
        <v>1639</v>
      </c>
      <c r="D832" s="454">
        <v>402</v>
      </c>
      <c r="E832" s="454">
        <v>667</v>
      </c>
      <c r="F832" s="454">
        <v>1041</v>
      </c>
      <c r="G832" s="454">
        <v>1501</v>
      </c>
      <c r="H832" s="454">
        <v>1708</v>
      </c>
      <c r="I832" s="454">
        <v>1788</v>
      </c>
      <c r="J832" s="454">
        <v>1807</v>
      </c>
      <c r="K832" s="454">
        <v>1574</v>
      </c>
      <c r="L832" s="454">
        <v>1102</v>
      </c>
      <c r="M832" s="454">
        <v>657</v>
      </c>
      <c r="N832" s="454">
        <v>375</v>
      </c>
      <c r="O832" s="454">
        <v>300</v>
      </c>
      <c r="P832" s="454">
        <v>1077</v>
      </c>
      <c r="Q832" s="454">
        <v>4</v>
      </c>
      <c r="R832" s="455">
        <f t="shared" si="12"/>
        <v>1076.8333333333333</v>
      </c>
    </row>
    <row r="833" spans="1:18" ht="13.5" customHeight="1" x14ac:dyDescent="0.2">
      <c r="A833" s="449" t="s">
        <v>1497</v>
      </c>
      <c r="B833" s="458" t="s">
        <v>1638</v>
      </c>
      <c r="C833" s="451" t="s">
        <v>1639</v>
      </c>
      <c r="D833" s="454">
        <v>490</v>
      </c>
      <c r="E833" s="454">
        <v>752</v>
      </c>
      <c r="F833" s="454">
        <v>1116</v>
      </c>
      <c r="G833" s="454">
        <v>1476</v>
      </c>
      <c r="H833" s="454">
        <v>1712</v>
      </c>
      <c r="I833" s="454">
        <v>1856</v>
      </c>
      <c r="J833" s="454">
        <v>1930</v>
      </c>
      <c r="K833" s="454">
        <v>1655</v>
      </c>
      <c r="L833" s="454">
        <v>1265</v>
      </c>
      <c r="M833" s="454">
        <v>814</v>
      </c>
      <c r="N833" s="454">
        <v>501</v>
      </c>
      <c r="O833" s="454">
        <v>389</v>
      </c>
      <c r="P833" s="454">
        <v>1163</v>
      </c>
      <c r="Q833" s="454">
        <v>4</v>
      </c>
      <c r="R833" s="455">
        <f t="shared" si="12"/>
        <v>1163</v>
      </c>
    </row>
    <row r="834" spans="1:18" ht="13.5" customHeight="1" x14ac:dyDescent="0.2">
      <c r="A834" s="449" t="s">
        <v>1498</v>
      </c>
      <c r="B834" s="458" t="s">
        <v>1638</v>
      </c>
      <c r="C834" s="451" t="s">
        <v>1639</v>
      </c>
      <c r="D834" s="454">
        <v>474</v>
      </c>
      <c r="E834" s="454">
        <v>708</v>
      </c>
      <c r="F834" s="454">
        <v>1106</v>
      </c>
      <c r="G834" s="454">
        <v>1489</v>
      </c>
      <c r="H834" s="454">
        <v>1709</v>
      </c>
      <c r="I834" s="454">
        <v>1891</v>
      </c>
      <c r="J834" s="454">
        <v>1955</v>
      </c>
      <c r="K834" s="454">
        <v>1664</v>
      </c>
      <c r="L834" s="454">
        <v>1286</v>
      </c>
      <c r="M834" s="454">
        <v>848</v>
      </c>
      <c r="N834" s="454">
        <v>513</v>
      </c>
      <c r="O834" s="454">
        <v>384</v>
      </c>
      <c r="P834" s="454">
        <v>1169</v>
      </c>
      <c r="Q834" s="454">
        <v>4</v>
      </c>
      <c r="R834" s="455">
        <f t="shared" si="12"/>
        <v>1168.9166666666667</v>
      </c>
    </row>
    <row r="835" spans="1:18" ht="13.5" customHeight="1" x14ac:dyDescent="0.2">
      <c r="A835" s="449" t="s">
        <v>1499</v>
      </c>
      <c r="B835" s="458" t="s">
        <v>1638</v>
      </c>
      <c r="C835" s="451" t="s">
        <v>1639</v>
      </c>
      <c r="D835" s="454">
        <v>453</v>
      </c>
      <c r="E835" s="454">
        <v>700</v>
      </c>
      <c r="F835" s="454">
        <v>1094</v>
      </c>
      <c r="G835" s="454">
        <v>1527</v>
      </c>
      <c r="H835" s="454">
        <v>1754</v>
      </c>
      <c r="I835" s="454">
        <v>1906</v>
      </c>
      <c r="J835" s="454">
        <v>1967</v>
      </c>
      <c r="K835" s="454">
        <v>1669</v>
      </c>
      <c r="L835" s="454">
        <v>1259</v>
      </c>
      <c r="M835" s="454">
        <v>802</v>
      </c>
      <c r="N835" s="454">
        <v>481</v>
      </c>
      <c r="O835" s="454">
        <v>367</v>
      </c>
      <c r="P835" s="454">
        <v>1165</v>
      </c>
      <c r="Q835" s="454">
        <v>4</v>
      </c>
      <c r="R835" s="455">
        <f t="shared" si="12"/>
        <v>1164.9166666666667</v>
      </c>
    </row>
    <row r="836" spans="1:18" ht="13.5" customHeight="1" x14ac:dyDescent="0.2">
      <c r="A836" s="449" t="s">
        <v>1500</v>
      </c>
      <c r="B836" s="458" t="s">
        <v>1638</v>
      </c>
      <c r="C836" s="451" t="s">
        <v>1639</v>
      </c>
      <c r="D836" s="454">
        <v>783</v>
      </c>
      <c r="E836" s="454">
        <v>1039</v>
      </c>
      <c r="F836" s="454">
        <v>1369</v>
      </c>
      <c r="G836" s="454">
        <v>1762</v>
      </c>
      <c r="H836" s="454">
        <v>1929</v>
      </c>
      <c r="I836" s="454">
        <v>2025</v>
      </c>
      <c r="J836" s="454">
        <v>1969</v>
      </c>
      <c r="K836" s="454">
        <v>1849</v>
      </c>
      <c r="L836" s="454">
        <v>1576</v>
      </c>
      <c r="M836" s="454">
        <v>1262</v>
      </c>
      <c r="N836" s="454">
        <v>922</v>
      </c>
      <c r="O836" s="454">
        <v>726</v>
      </c>
      <c r="P836" s="454">
        <v>1434</v>
      </c>
      <c r="Q836" s="454">
        <v>4</v>
      </c>
      <c r="R836" s="455">
        <f t="shared" ref="R836:R899" si="13">AVERAGE(D836:O836)</f>
        <v>1434.25</v>
      </c>
    </row>
    <row r="837" spans="1:18" ht="13.5" customHeight="1" x14ac:dyDescent="0.2">
      <c r="A837" s="449" t="s">
        <v>1501</v>
      </c>
      <c r="B837" s="458" t="s">
        <v>1638</v>
      </c>
      <c r="C837" s="451" t="s">
        <v>1639</v>
      </c>
      <c r="D837" s="454">
        <v>783</v>
      </c>
      <c r="E837" s="454">
        <v>1044</v>
      </c>
      <c r="F837" s="454">
        <v>1380</v>
      </c>
      <c r="G837" s="454">
        <v>1726</v>
      </c>
      <c r="H837" s="454">
        <v>1918</v>
      </c>
      <c r="I837" s="454">
        <v>1989</v>
      </c>
      <c r="J837" s="454">
        <v>1945</v>
      </c>
      <c r="K837" s="454">
        <v>1823</v>
      </c>
      <c r="L837" s="454">
        <v>1544</v>
      </c>
      <c r="M837" s="454">
        <v>1252</v>
      </c>
      <c r="N837" s="454">
        <v>924</v>
      </c>
      <c r="O837" s="454">
        <v>727</v>
      </c>
      <c r="P837" s="454">
        <v>1421</v>
      </c>
      <c r="Q837" s="454">
        <v>4</v>
      </c>
      <c r="R837" s="455">
        <f t="shared" si="13"/>
        <v>1421.25</v>
      </c>
    </row>
    <row r="838" spans="1:18" ht="13.5" customHeight="1" x14ac:dyDescent="0.2">
      <c r="A838" s="449" t="s">
        <v>1502</v>
      </c>
      <c r="B838" s="458" t="s">
        <v>1638</v>
      </c>
      <c r="C838" s="451" t="s">
        <v>1639</v>
      </c>
      <c r="D838" s="454">
        <v>730</v>
      </c>
      <c r="E838" s="454">
        <v>964</v>
      </c>
      <c r="F838" s="454">
        <v>1309</v>
      </c>
      <c r="G838" s="454">
        <v>1682</v>
      </c>
      <c r="H838" s="454">
        <v>1912</v>
      </c>
      <c r="I838" s="454">
        <v>2026</v>
      </c>
      <c r="J838" s="454">
        <v>1990</v>
      </c>
      <c r="K838" s="454">
        <v>1849</v>
      </c>
      <c r="L838" s="454">
        <v>1536</v>
      </c>
      <c r="M838" s="454">
        <v>1201</v>
      </c>
      <c r="N838" s="454">
        <v>832</v>
      </c>
      <c r="O838" s="454">
        <v>648</v>
      </c>
      <c r="P838" s="454">
        <v>1390</v>
      </c>
      <c r="Q838" s="454">
        <v>4</v>
      </c>
      <c r="R838" s="455">
        <f t="shared" si="13"/>
        <v>1389.9166666666667</v>
      </c>
    </row>
    <row r="839" spans="1:18" ht="13.5" customHeight="1" x14ac:dyDescent="0.2">
      <c r="A839" s="449" t="s">
        <v>1503</v>
      </c>
      <c r="B839" s="458" t="s">
        <v>1638</v>
      </c>
      <c r="C839" s="451" t="s">
        <v>1639</v>
      </c>
      <c r="D839" s="454">
        <v>629</v>
      </c>
      <c r="E839" s="454">
        <v>886</v>
      </c>
      <c r="F839" s="454">
        <v>1251</v>
      </c>
      <c r="G839" s="454">
        <v>1575</v>
      </c>
      <c r="H839" s="454">
        <v>1808</v>
      </c>
      <c r="I839" s="454">
        <v>2033</v>
      </c>
      <c r="J839" s="454">
        <v>2027</v>
      </c>
      <c r="K839" s="454">
        <v>1823</v>
      </c>
      <c r="L839" s="454">
        <v>1490</v>
      </c>
      <c r="M839" s="454">
        <v>1070</v>
      </c>
      <c r="N839" s="454">
        <v>690</v>
      </c>
      <c r="O839" s="454">
        <v>556</v>
      </c>
      <c r="P839" s="454">
        <v>1320</v>
      </c>
      <c r="Q839" s="454">
        <v>4</v>
      </c>
      <c r="R839" s="455">
        <f t="shared" si="13"/>
        <v>1319.8333333333333</v>
      </c>
    </row>
    <row r="840" spans="1:18" ht="13.5" customHeight="1" x14ac:dyDescent="0.2">
      <c r="A840" s="449" t="s">
        <v>1504</v>
      </c>
      <c r="B840" s="458" t="s">
        <v>1638</v>
      </c>
      <c r="C840" s="451" t="s">
        <v>1639</v>
      </c>
      <c r="D840" s="454">
        <v>641</v>
      </c>
      <c r="E840" s="454">
        <v>929</v>
      </c>
      <c r="F840" s="454">
        <v>1273</v>
      </c>
      <c r="G840" s="454">
        <v>1566</v>
      </c>
      <c r="H840" s="454">
        <v>1815</v>
      </c>
      <c r="I840" s="454">
        <v>1999</v>
      </c>
      <c r="J840" s="454">
        <v>2028</v>
      </c>
      <c r="K840" s="454">
        <v>1823</v>
      </c>
      <c r="L840" s="454">
        <v>1488</v>
      </c>
      <c r="M840" s="454">
        <v>1074</v>
      </c>
      <c r="N840" s="454">
        <v>701</v>
      </c>
      <c r="O840" s="454">
        <v>566</v>
      </c>
      <c r="P840" s="454">
        <v>1325</v>
      </c>
      <c r="Q840" s="454">
        <v>4</v>
      </c>
      <c r="R840" s="455">
        <f t="shared" si="13"/>
        <v>1325.25</v>
      </c>
    </row>
    <row r="841" spans="1:18" ht="13.5" customHeight="1" x14ac:dyDescent="0.2">
      <c r="A841" s="449" t="s">
        <v>1505</v>
      </c>
      <c r="B841" s="458" t="s">
        <v>1638</v>
      </c>
      <c r="C841" s="451" t="s">
        <v>1639</v>
      </c>
      <c r="D841" s="454">
        <v>677</v>
      </c>
      <c r="E841" s="454">
        <v>929</v>
      </c>
      <c r="F841" s="454">
        <v>1242</v>
      </c>
      <c r="G841" s="454">
        <v>1593</v>
      </c>
      <c r="H841" s="454">
        <v>1783</v>
      </c>
      <c r="I841" s="454">
        <v>1996</v>
      </c>
      <c r="J841" s="454">
        <v>2030</v>
      </c>
      <c r="K841" s="454">
        <v>1868</v>
      </c>
      <c r="L841" s="454">
        <v>1494</v>
      </c>
      <c r="M841" s="454">
        <v>1129</v>
      </c>
      <c r="N841" s="454">
        <v>742</v>
      </c>
      <c r="O841" s="454">
        <v>601</v>
      </c>
      <c r="P841" s="454">
        <v>1340</v>
      </c>
      <c r="Q841" s="454">
        <v>4</v>
      </c>
      <c r="R841" s="455">
        <f t="shared" si="13"/>
        <v>1340.3333333333333</v>
      </c>
    </row>
    <row r="842" spans="1:18" ht="13.5" customHeight="1" x14ac:dyDescent="0.2">
      <c r="A842" s="449" t="s">
        <v>1506</v>
      </c>
      <c r="B842" s="458" t="s">
        <v>1638</v>
      </c>
      <c r="C842" s="451" t="s">
        <v>1639</v>
      </c>
      <c r="D842" s="454">
        <v>598</v>
      </c>
      <c r="E842" s="454">
        <v>882</v>
      </c>
      <c r="F842" s="454">
        <v>1217</v>
      </c>
      <c r="G842" s="454">
        <v>1557</v>
      </c>
      <c r="H842" s="454">
        <v>1765</v>
      </c>
      <c r="I842" s="454">
        <v>2007</v>
      </c>
      <c r="J842" s="454">
        <v>1978</v>
      </c>
      <c r="K842" s="454">
        <v>1802</v>
      </c>
      <c r="L842" s="454">
        <v>1471</v>
      </c>
      <c r="M842" s="454">
        <v>1076</v>
      </c>
      <c r="N842" s="454">
        <v>703</v>
      </c>
      <c r="O842" s="454">
        <v>537</v>
      </c>
      <c r="P842" s="454">
        <v>1299</v>
      </c>
      <c r="Q842" s="454">
        <v>4</v>
      </c>
      <c r="R842" s="455">
        <f t="shared" si="13"/>
        <v>1299.4166666666667</v>
      </c>
    </row>
    <row r="843" spans="1:18" ht="13.5" customHeight="1" x14ac:dyDescent="0.2">
      <c r="A843" s="449" t="s">
        <v>1507</v>
      </c>
      <c r="B843" s="458" t="s">
        <v>1638</v>
      </c>
      <c r="C843" s="451" t="s">
        <v>1639</v>
      </c>
      <c r="D843" s="454">
        <v>604</v>
      </c>
      <c r="E843" s="454">
        <v>888</v>
      </c>
      <c r="F843" s="454">
        <v>1226</v>
      </c>
      <c r="G843" s="454">
        <v>1570</v>
      </c>
      <c r="H843" s="454">
        <v>1763</v>
      </c>
      <c r="I843" s="454">
        <v>2009</v>
      </c>
      <c r="J843" s="454">
        <v>1992</v>
      </c>
      <c r="K843" s="454">
        <v>1811</v>
      </c>
      <c r="L843" s="454">
        <v>1467</v>
      </c>
      <c r="M843" s="454">
        <v>1073</v>
      </c>
      <c r="N843" s="454">
        <v>694</v>
      </c>
      <c r="O843" s="454">
        <v>545</v>
      </c>
      <c r="P843" s="454">
        <v>1303</v>
      </c>
      <c r="Q843" s="454">
        <v>4</v>
      </c>
      <c r="R843" s="455">
        <f t="shared" si="13"/>
        <v>1303.5</v>
      </c>
    </row>
    <row r="844" spans="1:18" ht="13.5" customHeight="1" x14ac:dyDescent="0.2">
      <c r="A844" s="449" t="s">
        <v>1508</v>
      </c>
      <c r="B844" s="458" t="s">
        <v>1638</v>
      </c>
      <c r="C844" s="451" t="s">
        <v>1639</v>
      </c>
      <c r="D844" s="454">
        <v>478</v>
      </c>
      <c r="E844" s="454">
        <v>784</v>
      </c>
      <c r="F844" s="454">
        <v>1148</v>
      </c>
      <c r="G844" s="454">
        <v>1514</v>
      </c>
      <c r="H844" s="454">
        <v>1883</v>
      </c>
      <c r="I844" s="454">
        <v>2048</v>
      </c>
      <c r="J844" s="454">
        <v>2221</v>
      </c>
      <c r="K844" s="454">
        <v>1912</v>
      </c>
      <c r="L844" s="454">
        <v>1424</v>
      </c>
      <c r="M844" s="454">
        <v>903</v>
      </c>
      <c r="N844" s="454">
        <v>544</v>
      </c>
      <c r="O844" s="454">
        <v>398</v>
      </c>
      <c r="P844" s="454">
        <v>1271</v>
      </c>
      <c r="Q844" s="454">
        <v>4</v>
      </c>
      <c r="R844" s="455">
        <f t="shared" si="13"/>
        <v>1271.4166666666667</v>
      </c>
    </row>
    <row r="845" spans="1:18" ht="13.5" customHeight="1" x14ac:dyDescent="0.2">
      <c r="A845" s="449" t="s">
        <v>1509</v>
      </c>
      <c r="B845" s="458" t="s">
        <v>1638</v>
      </c>
      <c r="C845" s="451" t="s">
        <v>1639</v>
      </c>
      <c r="D845" s="454">
        <v>366</v>
      </c>
      <c r="E845" s="454">
        <v>628</v>
      </c>
      <c r="F845" s="454">
        <v>1068</v>
      </c>
      <c r="G845" s="454">
        <v>1545</v>
      </c>
      <c r="H845" s="454">
        <v>1889</v>
      </c>
      <c r="I845" s="454">
        <v>2051</v>
      </c>
      <c r="J845" s="454">
        <v>2180</v>
      </c>
      <c r="K845" s="454">
        <v>1872</v>
      </c>
      <c r="L845" s="454">
        <v>1340</v>
      </c>
      <c r="M845" s="454">
        <v>834</v>
      </c>
      <c r="N845" s="454">
        <v>444</v>
      </c>
      <c r="O845" s="454">
        <v>311</v>
      </c>
      <c r="P845" s="454">
        <v>1211</v>
      </c>
      <c r="Q845" s="454">
        <v>4</v>
      </c>
      <c r="R845" s="455">
        <f t="shared" si="13"/>
        <v>1210.6666666666667</v>
      </c>
    </row>
    <row r="846" spans="1:18" ht="13.5" customHeight="1" x14ac:dyDescent="0.2">
      <c r="A846" s="449" t="s">
        <v>1510</v>
      </c>
      <c r="B846" s="458" t="s">
        <v>1638</v>
      </c>
      <c r="C846" s="451" t="s">
        <v>1639</v>
      </c>
      <c r="D846" s="454">
        <v>428</v>
      </c>
      <c r="E846" s="454">
        <v>706</v>
      </c>
      <c r="F846" s="454">
        <v>1106</v>
      </c>
      <c r="G846" s="454">
        <v>1450</v>
      </c>
      <c r="H846" s="454">
        <v>1806</v>
      </c>
      <c r="I846" s="454">
        <v>2001</v>
      </c>
      <c r="J846" s="454">
        <v>2163</v>
      </c>
      <c r="K846" s="454">
        <v>1857</v>
      </c>
      <c r="L846" s="454">
        <v>1360</v>
      </c>
      <c r="M846" s="454">
        <v>840</v>
      </c>
      <c r="N846" s="454">
        <v>465</v>
      </c>
      <c r="O846" s="454">
        <v>358</v>
      </c>
      <c r="P846" s="454">
        <v>1212</v>
      </c>
      <c r="Q846" s="454">
        <v>4</v>
      </c>
      <c r="R846" s="455">
        <f t="shared" si="13"/>
        <v>1211.6666666666667</v>
      </c>
    </row>
    <row r="847" spans="1:18" ht="13.5" customHeight="1" x14ac:dyDescent="0.2">
      <c r="A847" s="449" t="s">
        <v>1511</v>
      </c>
      <c r="B847" s="458" t="s">
        <v>1638</v>
      </c>
      <c r="C847" s="451" t="s">
        <v>1639</v>
      </c>
      <c r="D847" s="454">
        <v>371</v>
      </c>
      <c r="E847" s="454">
        <v>632</v>
      </c>
      <c r="F847" s="454">
        <v>1091</v>
      </c>
      <c r="G847" s="454">
        <v>1522</v>
      </c>
      <c r="H847" s="454">
        <v>1828</v>
      </c>
      <c r="I847" s="454">
        <v>2035</v>
      </c>
      <c r="J847" s="454">
        <v>2166</v>
      </c>
      <c r="K847" s="454">
        <v>1862</v>
      </c>
      <c r="L847" s="454">
        <v>1333</v>
      </c>
      <c r="M847" s="454">
        <v>826</v>
      </c>
      <c r="N847" s="454">
        <v>435</v>
      </c>
      <c r="O847" s="454">
        <v>318</v>
      </c>
      <c r="P847" s="454">
        <v>1202</v>
      </c>
      <c r="Q847" s="454">
        <v>4</v>
      </c>
      <c r="R847" s="455">
        <f t="shared" si="13"/>
        <v>1201.5833333333333</v>
      </c>
    </row>
    <row r="848" spans="1:18" ht="13.5" customHeight="1" x14ac:dyDescent="0.2">
      <c r="A848" s="449" t="s">
        <v>1512</v>
      </c>
      <c r="B848" s="458" t="s">
        <v>1638</v>
      </c>
      <c r="C848" s="451" t="s">
        <v>1639</v>
      </c>
      <c r="D848" s="454">
        <v>456</v>
      </c>
      <c r="E848" s="454">
        <v>767</v>
      </c>
      <c r="F848" s="454">
        <v>1185</v>
      </c>
      <c r="G848" s="454">
        <v>1513</v>
      </c>
      <c r="H848" s="454">
        <v>1832</v>
      </c>
      <c r="I848" s="454">
        <v>2048</v>
      </c>
      <c r="J848" s="454">
        <v>2214</v>
      </c>
      <c r="K848" s="454">
        <v>1898</v>
      </c>
      <c r="L848" s="454">
        <v>1420</v>
      </c>
      <c r="M848" s="454">
        <v>889</v>
      </c>
      <c r="N848" s="454">
        <v>503</v>
      </c>
      <c r="O848" s="454">
        <v>390</v>
      </c>
      <c r="P848" s="454">
        <v>1260</v>
      </c>
      <c r="Q848" s="454">
        <v>4</v>
      </c>
      <c r="R848" s="455">
        <f t="shared" si="13"/>
        <v>1259.5833333333333</v>
      </c>
    </row>
    <row r="849" spans="1:18" ht="13.5" customHeight="1" x14ac:dyDescent="0.2">
      <c r="A849" s="449" t="s">
        <v>1513</v>
      </c>
      <c r="B849" s="458" t="s">
        <v>1638</v>
      </c>
      <c r="C849" s="451" t="s">
        <v>1639</v>
      </c>
      <c r="D849" s="454">
        <v>322</v>
      </c>
      <c r="E849" s="454">
        <v>605</v>
      </c>
      <c r="F849" s="454">
        <v>1031</v>
      </c>
      <c r="G849" s="454">
        <v>1440</v>
      </c>
      <c r="H849" s="454">
        <v>1761</v>
      </c>
      <c r="I849" s="454">
        <v>1895</v>
      </c>
      <c r="J849" s="454">
        <v>2166</v>
      </c>
      <c r="K849" s="454">
        <v>1812</v>
      </c>
      <c r="L849" s="454">
        <v>1300</v>
      </c>
      <c r="M849" s="454">
        <v>742</v>
      </c>
      <c r="N849" s="454">
        <v>377</v>
      </c>
      <c r="O849" s="454">
        <v>259</v>
      </c>
      <c r="P849" s="454">
        <v>1142</v>
      </c>
      <c r="Q849" s="454">
        <v>4</v>
      </c>
      <c r="R849" s="455">
        <f t="shared" si="13"/>
        <v>1142.5</v>
      </c>
    </row>
    <row r="850" spans="1:18" ht="13.5" customHeight="1" x14ac:dyDescent="0.2">
      <c r="A850" s="449" t="s">
        <v>1514</v>
      </c>
      <c r="B850" s="458" t="s">
        <v>1638</v>
      </c>
      <c r="C850" s="451" t="s">
        <v>1639</v>
      </c>
      <c r="D850" s="454">
        <v>387</v>
      </c>
      <c r="E850" s="454">
        <v>676</v>
      </c>
      <c r="F850" s="454">
        <v>1088</v>
      </c>
      <c r="G850" s="454">
        <v>1451</v>
      </c>
      <c r="H850" s="454">
        <v>1787</v>
      </c>
      <c r="I850" s="454">
        <v>1966</v>
      </c>
      <c r="J850" s="454">
        <v>2229</v>
      </c>
      <c r="K850" s="454">
        <v>1883</v>
      </c>
      <c r="L850" s="454">
        <v>1385</v>
      </c>
      <c r="M850" s="454">
        <v>820</v>
      </c>
      <c r="N850" s="454">
        <v>428</v>
      </c>
      <c r="O850" s="454">
        <v>315</v>
      </c>
      <c r="P850" s="454">
        <v>1201</v>
      </c>
      <c r="Q850" s="454">
        <v>4</v>
      </c>
      <c r="R850" s="455">
        <f t="shared" si="13"/>
        <v>1201.25</v>
      </c>
    </row>
    <row r="851" spans="1:18" ht="13.5" customHeight="1" x14ac:dyDescent="0.2">
      <c r="A851" s="449" t="s">
        <v>1515</v>
      </c>
      <c r="B851" s="458" t="s">
        <v>1638</v>
      </c>
      <c r="C851" s="451" t="s">
        <v>1639</v>
      </c>
      <c r="D851" s="454">
        <v>637</v>
      </c>
      <c r="E851" s="454">
        <v>908</v>
      </c>
      <c r="F851" s="454">
        <v>1284</v>
      </c>
      <c r="G851" s="454">
        <v>1619</v>
      </c>
      <c r="H851" s="454">
        <v>1846</v>
      </c>
      <c r="I851" s="454">
        <v>2102</v>
      </c>
      <c r="J851" s="454">
        <v>2100</v>
      </c>
      <c r="K851" s="454">
        <v>1855</v>
      </c>
      <c r="L851" s="454">
        <v>1492</v>
      </c>
      <c r="M851" s="454">
        <v>1080</v>
      </c>
      <c r="N851" s="454">
        <v>711</v>
      </c>
      <c r="O851" s="454">
        <v>554</v>
      </c>
      <c r="P851" s="454">
        <v>1349</v>
      </c>
      <c r="Q851" s="454">
        <v>4</v>
      </c>
      <c r="R851" s="455">
        <f t="shared" si="13"/>
        <v>1349</v>
      </c>
    </row>
    <row r="852" spans="1:18" ht="13.5" customHeight="1" x14ac:dyDescent="0.2">
      <c r="A852" s="449" t="s">
        <v>1516</v>
      </c>
      <c r="B852" s="458" t="s">
        <v>1638</v>
      </c>
      <c r="C852" s="451" t="s">
        <v>1639</v>
      </c>
      <c r="D852" s="454">
        <v>591</v>
      </c>
      <c r="E852" s="454">
        <v>872</v>
      </c>
      <c r="F852" s="454">
        <v>1205</v>
      </c>
      <c r="G852" s="454">
        <v>1555</v>
      </c>
      <c r="H852" s="454">
        <v>1782</v>
      </c>
      <c r="I852" s="454">
        <v>1994</v>
      </c>
      <c r="J852" s="454">
        <v>2017</v>
      </c>
      <c r="K852" s="454">
        <v>1784</v>
      </c>
      <c r="L852" s="454">
        <v>1465</v>
      </c>
      <c r="M852" s="454">
        <v>1030</v>
      </c>
      <c r="N852" s="454">
        <v>663</v>
      </c>
      <c r="O852" s="454">
        <v>521</v>
      </c>
      <c r="P852" s="454">
        <v>1290</v>
      </c>
      <c r="Q852" s="454">
        <v>4</v>
      </c>
      <c r="R852" s="455">
        <f t="shared" si="13"/>
        <v>1289.9166666666667</v>
      </c>
    </row>
    <row r="853" spans="1:18" ht="13.5" customHeight="1" x14ac:dyDescent="0.2">
      <c r="A853" s="449" t="s">
        <v>1517</v>
      </c>
      <c r="B853" s="458" t="s">
        <v>1638</v>
      </c>
      <c r="C853" s="451" t="s">
        <v>1639</v>
      </c>
      <c r="D853" s="454">
        <v>566</v>
      </c>
      <c r="E853" s="454">
        <v>836</v>
      </c>
      <c r="F853" s="454">
        <v>1226</v>
      </c>
      <c r="G853" s="454">
        <v>1556</v>
      </c>
      <c r="H853" s="454">
        <v>1807</v>
      </c>
      <c r="I853" s="454">
        <v>2036</v>
      </c>
      <c r="J853" s="454">
        <v>2063</v>
      </c>
      <c r="K853" s="454">
        <v>1794</v>
      </c>
      <c r="L853" s="454">
        <v>1452</v>
      </c>
      <c r="M853" s="454">
        <v>1012</v>
      </c>
      <c r="N853" s="454">
        <v>647</v>
      </c>
      <c r="O853" s="454">
        <v>507</v>
      </c>
      <c r="P853" s="454">
        <v>1292</v>
      </c>
      <c r="Q853" s="454">
        <v>4</v>
      </c>
      <c r="R853" s="455">
        <f t="shared" si="13"/>
        <v>1291.8333333333333</v>
      </c>
    </row>
    <row r="854" spans="1:18" ht="13.5" customHeight="1" x14ac:dyDescent="0.2">
      <c r="A854" s="449" t="s">
        <v>1518</v>
      </c>
      <c r="B854" s="458" t="s">
        <v>1638</v>
      </c>
      <c r="C854" s="451" t="s">
        <v>1639</v>
      </c>
      <c r="D854" s="454">
        <v>666</v>
      </c>
      <c r="E854" s="454">
        <v>938</v>
      </c>
      <c r="F854" s="454">
        <v>1324</v>
      </c>
      <c r="G854" s="454">
        <v>1642</v>
      </c>
      <c r="H854" s="454">
        <v>1899</v>
      </c>
      <c r="I854" s="454">
        <v>2170</v>
      </c>
      <c r="J854" s="460">
        <v>2191</v>
      </c>
      <c r="K854" s="454">
        <v>1905</v>
      </c>
      <c r="L854" s="454">
        <v>1546</v>
      </c>
      <c r="M854" s="454">
        <v>1097</v>
      </c>
      <c r="N854" s="454">
        <v>710</v>
      </c>
      <c r="O854" s="454">
        <v>587</v>
      </c>
      <c r="P854" s="454">
        <v>1390</v>
      </c>
      <c r="Q854" s="454">
        <v>4</v>
      </c>
      <c r="R854" s="455">
        <f t="shared" si="13"/>
        <v>1389.5833333333333</v>
      </c>
    </row>
    <row r="855" spans="1:18" ht="13.5" customHeight="1" x14ac:dyDescent="0.2">
      <c r="A855" s="449" t="s">
        <v>1519</v>
      </c>
      <c r="B855" s="458" t="s">
        <v>1638</v>
      </c>
      <c r="C855" s="451" t="s">
        <v>1639</v>
      </c>
      <c r="D855" s="454">
        <v>582</v>
      </c>
      <c r="E855" s="454">
        <v>852</v>
      </c>
      <c r="F855" s="454">
        <v>1204</v>
      </c>
      <c r="G855" s="454">
        <v>1512</v>
      </c>
      <c r="H855" s="454">
        <v>1776</v>
      </c>
      <c r="I855" s="454">
        <v>1992</v>
      </c>
      <c r="J855" s="460">
        <v>2001</v>
      </c>
      <c r="K855" s="454">
        <v>1749</v>
      </c>
      <c r="L855" s="454">
        <v>1447</v>
      </c>
      <c r="M855" s="454">
        <v>1007</v>
      </c>
      <c r="N855" s="454">
        <v>646</v>
      </c>
      <c r="O855" s="454">
        <v>506</v>
      </c>
      <c r="P855" s="454">
        <v>1273</v>
      </c>
      <c r="Q855" s="454">
        <v>4</v>
      </c>
      <c r="R855" s="455">
        <f t="shared" si="13"/>
        <v>1272.8333333333333</v>
      </c>
    </row>
    <row r="856" spans="1:18" ht="13.5" customHeight="1" x14ac:dyDescent="0.2">
      <c r="A856" s="449" t="s">
        <v>1520</v>
      </c>
      <c r="B856" s="458" t="s">
        <v>1638</v>
      </c>
      <c r="C856" s="451" t="s">
        <v>1639</v>
      </c>
      <c r="D856" s="454">
        <v>672</v>
      </c>
      <c r="E856" s="454">
        <v>923</v>
      </c>
      <c r="F856" s="454">
        <v>1295</v>
      </c>
      <c r="G856" s="454">
        <v>1647</v>
      </c>
      <c r="H856" s="454">
        <v>1955</v>
      </c>
      <c r="I856" s="454">
        <v>2180</v>
      </c>
      <c r="J856" s="460">
        <v>2261</v>
      </c>
      <c r="K856" s="454">
        <v>1963</v>
      </c>
      <c r="L856" s="454">
        <v>1571</v>
      </c>
      <c r="M856" s="454">
        <v>1089</v>
      </c>
      <c r="N856" s="454">
        <v>715</v>
      </c>
      <c r="O856" s="454">
        <v>559</v>
      </c>
      <c r="P856" s="454">
        <v>1403</v>
      </c>
      <c r="Q856" s="454">
        <v>4</v>
      </c>
      <c r="R856" s="455">
        <f t="shared" si="13"/>
        <v>1402.5</v>
      </c>
    </row>
    <row r="857" spans="1:18" ht="13.5" customHeight="1" x14ac:dyDescent="0.2">
      <c r="A857" s="449" t="s">
        <v>1521</v>
      </c>
      <c r="B857" s="458" t="s">
        <v>1638</v>
      </c>
      <c r="C857" s="451" t="s">
        <v>1639</v>
      </c>
      <c r="D857" s="454">
        <v>601</v>
      </c>
      <c r="E857" s="454">
        <v>853</v>
      </c>
      <c r="F857" s="454">
        <v>1215</v>
      </c>
      <c r="G857" s="454">
        <v>1539</v>
      </c>
      <c r="H857" s="454">
        <v>1862</v>
      </c>
      <c r="I857" s="454">
        <v>2066</v>
      </c>
      <c r="J857" s="460">
        <v>2187</v>
      </c>
      <c r="K857" s="454">
        <v>1883</v>
      </c>
      <c r="L857" s="454">
        <v>1496</v>
      </c>
      <c r="M857" s="454">
        <v>1011</v>
      </c>
      <c r="N857" s="454">
        <v>643</v>
      </c>
      <c r="O857" s="454">
        <v>514</v>
      </c>
      <c r="P857" s="454">
        <v>1322</v>
      </c>
      <c r="Q857" s="454">
        <v>4</v>
      </c>
      <c r="R857" s="455">
        <f t="shared" si="13"/>
        <v>1322.5</v>
      </c>
    </row>
    <row r="858" spans="1:18" ht="13.5" customHeight="1" x14ac:dyDescent="0.2">
      <c r="A858" s="449" t="s">
        <v>1522</v>
      </c>
      <c r="B858" s="458" t="s">
        <v>1638</v>
      </c>
      <c r="C858" s="451" t="s">
        <v>1639</v>
      </c>
      <c r="D858" s="454">
        <v>724</v>
      </c>
      <c r="E858" s="454">
        <v>1006</v>
      </c>
      <c r="F858" s="454">
        <v>1454</v>
      </c>
      <c r="G858" s="454">
        <v>1843</v>
      </c>
      <c r="H858" s="454">
        <v>2146</v>
      </c>
      <c r="I858" s="454">
        <v>2418</v>
      </c>
      <c r="J858" s="460">
        <v>2371</v>
      </c>
      <c r="K858" s="454">
        <v>2173</v>
      </c>
      <c r="L858" s="454">
        <v>1800</v>
      </c>
      <c r="M858" s="454">
        <v>1303</v>
      </c>
      <c r="N858" s="454">
        <v>875</v>
      </c>
      <c r="O858" s="454">
        <v>669</v>
      </c>
      <c r="P858" s="454">
        <v>1565</v>
      </c>
      <c r="Q858" s="454">
        <v>4</v>
      </c>
      <c r="R858" s="455">
        <f t="shared" si="13"/>
        <v>1565.1666666666667</v>
      </c>
    </row>
    <row r="859" spans="1:18" ht="13.5" customHeight="1" x14ac:dyDescent="0.2">
      <c r="A859" s="449" t="s">
        <v>1523</v>
      </c>
      <c r="B859" s="458" t="s">
        <v>1638</v>
      </c>
      <c r="C859" s="451" t="s">
        <v>1639</v>
      </c>
      <c r="D859" s="454">
        <v>965</v>
      </c>
      <c r="E859" s="454">
        <v>1244</v>
      </c>
      <c r="F859" s="454">
        <v>1732</v>
      </c>
      <c r="G859" s="454">
        <v>2164</v>
      </c>
      <c r="H859" s="454">
        <v>2466</v>
      </c>
      <c r="I859" s="454">
        <v>2628</v>
      </c>
      <c r="J859" s="460">
        <v>2439</v>
      </c>
      <c r="K859" s="454">
        <v>2202</v>
      </c>
      <c r="L859" s="454">
        <v>1938</v>
      </c>
      <c r="M859" s="454">
        <v>1479</v>
      </c>
      <c r="N859" s="454">
        <v>1093</v>
      </c>
      <c r="O859" s="454">
        <v>885</v>
      </c>
      <c r="P859" s="454">
        <v>1769</v>
      </c>
      <c r="Q859" s="454">
        <v>4</v>
      </c>
      <c r="R859" s="455">
        <f t="shared" si="13"/>
        <v>1769.5833333333333</v>
      </c>
    </row>
    <row r="860" spans="1:18" ht="13.5" customHeight="1" x14ac:dyDescent="0.2">
      <c r="A860" s="449" t="s">
        <v>1524</v>
      </c>
      <c r="B860" s="458" t="s">
        <v>1638</v>
      </c>
      <c r="C860" s="451" t="s">
        <v>1639</v>
      </c>
      <c r="D860" s="454">
        <v>687</v>
      </c>
      <c r="E860" s="454">
        <v>992</v>
      </c>
      <c r="F860" s="454">
        <v>1414</v>
      </c>
      <c r="G860" s="454">
        <v>1822</v>
      </c>
      <c r="H860" s="454">
        <v>2189</v>
      </c>
      <c r="I860" s="454">
        <v>2471</v>
      </c>
      <c r="J860" s="454">
        <v>2533</v>
      </c>
      <c r="K860" s="454">
        <v>2252</v>
      </c>
      <c r="L860" s="454">
        <v>1833</v>
      </c>
      <c r="M860" s="454">
        <v>1274</v>
      </c>
      <c r="N860" s="454">
        <v>802</v>
      </c>
      <c r="O860" s="454">
        <v>587</v>
      </c>
      <c r="P860" s="454">
        <v>1571</v>
      </c>
      <c r="Q860" s="454">
        <v>4</v>
      </c>
      <c r="R860" s="455">
        <f t="shared" si="13"/>
        <v>1571.3333333333333</v>
      </c>
    </row>
    <row r="861" spans="1:18" ht="13.5" customHeight="1" x14ac:dyDescent="0.2">
      <c r="A861" s="449" t="s">
        <v>1525</v>
      </c>
      <c r="B861" s="458" t="s">
        <v>1638</v>
      </c>
      <c r="C861" s="451" t="s">
        <v>1639</v>
      </c>
      <c r="D861" s="454">
        <v>937</v>
      </c>
      <c r="E861" s="454">
        <v>1212</v>
      </c>
      <c r="F861" s="454">
        <v>1714</v>
      </c>
      <c r="G861" s="454">
        <v>2151</v>
      </c>
      <c r="H861" s="454">
        <v>2464</v>
      </c>
      <c r="I861" s="454">
        <v>2664</v>
      </c>
      <c r="J861" s="454">
        <v>2527</v>
      </c>
      <c r="K861" s="454">
        <v>2313</v>
      </c>
      <c r="L861" s="454">
        <v>1977</v>
      </c>
      <c r="M861" s="454">
        <v>1482</v>
      </c>
      <c r="N861" s="454">
        <v>1077</v>
      </c>
      <c r="O861" s="454">
        <v>860</v>
      </c>
      <c r="P861" s="454">
        <v>1781</v>
      </c>
      <c r="Q861" s="454">
        <v>4</v>
      </c>
      <c r="R861" s="455">
        <f t="shared" si="13"/>
        <v>1781.5</v>
      </c>
    </row>
    <row r="862" spans="1:18" ht="13.5" customHeight="1" x14ac:dyDescent="0.2">
      <c r="A862" s="449" t="s">
        <v>1526</v>
      </c>
      <c r="B862" s="458" t="s">
        <v>1638</v>
      </c>
      <c r="C862" s="451" t="s">
        <v>1639</v>
      </c>
      <c r="D862" s="454">
        <v>715</v>
      </c>
      <c r="E862" s="454">
        <v>992</v>
      </c>
      <c r="F862" s="454">
        <v>1471</v>
      </c>
      <c r="G862" s="454">
        <v>1889</v>
      </c>
      <c r="H862" s="454">
        <v>2232</v>
      </c>
      <c r="I862" s="454">
        <v>2473</v>
      </c>
      <c r="J862" s="454">
        <v>2512</v>
      </c>
      <c r="K862" s="454">
        <v>2249</v>
      </c>
      <c r="L862" s="454">
        <v>1854</v>
      </c>
      <c r="M862" s="454">
        <v>1310</v>
      </c>
      <c r="N862" s="454">
        <v>859</v>
      </c>
      <c r="O862" s="454">
        <v>633</v>
      </c>
      <c r="P862" s="454">
        <v>1599</v>
      </c>
      <c r="Q862" s="454">
        <v>4</v>
      </c>
      <c r="R862" s="455">
        <f t="shared" si="13"/>
        <v>1599.0833333333333</v>
      </c>
    </row>
    <row r="863" spans="1:18" ht="13.5" customHeight="1" x14ac:dyDescent="0.2">
      <c r="A863" s="449" t="s">
        <v>1527</v>
      </c>
      <c r="B863" s="458" t="s">
        <v>1638</v>
      </c>
      <c r="C863" s="451" t="s">
        <v>1639</v>
      </c>
      <c r="D863" s="454">
        <v>828</v>
      </c>
      <c r="E863" s="454">
        <v>1128</v>
      </c>
      <c r="F863" s="454">
        <v>1629</v>
      </c>
      <c r="G863" s="454">
        <v>2056</v>
      </c>
      <c r="H863" s="454">
        <v>2344</v>
      </c>
      <c r="I863" s="454">
        <v>2586</v>
      </c>
      <c r="J863" s="454">
        <v>2507</v>
      </c>
      <c r="K863" s="454">
        <v>2304</v>
      </c>
      <c r="L863" s="454">
        <v>1922</v>
      </c>
      <c r="M863" s="454">
        <v>1430</v>
      </c>
      <c r="N863" s="454">
        <v>997</v>
      </c>
      <c r="O863" s="454">
        <v>779</v>
      </c>
      <c r="P863" s="454">
        <v>1709</v>
      </c>
      <c r="Q863" s="454">
        <v>4</v>
      </c>
      <c r="R863" s="455">
        <f t="shared" si="13"/>
        <v>1709.1666666666667</v>
      </c>
    </row>
    <row r="864" spans="1:18" ht="13.5" customHeight="1" x14ac:dyDescent="0.2">
      <c r="A864" s="449" t="s">
        <v>1528</v>
      </c>
      <c r="B864" s="458" t="s">
        <v>1638</v>
      </c>
      <c r="C864" s="451" t="s">
        <v>1639</v>
      </c>
      <c r="D864" s="454">
        <v>652</v>
      </c>
      <c r="E864" s="454">
        <v>964</v>
      </c>
      <c r="F864" s="454">
        <v>1380</v>
      </c>
      <c r="G864" s="454">
        <v>1762</v>
      </c>
      <c r="H864" s="454">
        <v>2147</v>
      </c>
      <c r="I864" s="454">
        <v>2437</v>
      </c>
      <c r="J864" s="454">
        <v>2523</v>
      </c>
      <c r="K864" s="454">
        <v>2232</v>
      </c>
      <c r="L864" s="454">
        <v>1795</v>
      </c>
      <c r="M864" s="454">
        <v>1248</v>
      </c>
      <c r="N864" s="454">
        <v>760</v>
      </c>
      <c r="O864" s="454">
        <v>555</v>
      </c>
      <c r="P864" s="454">
        <v>1538</v>
      </c>
      <c r="Q864" s="454">
        <v>4</v>
      </c>
      <c r="R864" s="455">
        <f t="shared" si="13"/>
        <v>1537.9166666666667</v>
      </c>
    </row>
    <row r="865" spans="1:18" ht="13.5" customHeight="1" x14ac:dyDescent="0.2">
      <c r="A865" s="449" t="s">
        <v>1529</v>
      </c>
      <c r="B865" s="458" t="s">
        <v>1638</v>
      </c>
      <c r="C865" s="451" t="s">
        <v>1639</v>
      </c>
      <c r="D865" s="454">
        <v>535</v>
      </c>
      <c r="E865" s="454">
        <v>803</v>
      </c>
      <c r="F865" s="454">
        <v>1097</v>
      </c>
      <c r="G865" s="454">
        <v>1469</v>
      </c>
      <c r="H865" s="454">
        <v>1684</v>
      </c>
      <c r="I865" s="454">
        <v>1801</v>
      </c>
      <c r="J865" s="454">
        <v>1844</v>
      </c>
      <c r="K865" s="454">
        <v>1644</v>
      </c>
      <c r="L865" s="454">
        <v>1267</v>
      </c>
      <c r="M865" s="454">
        <v>869</v>
      </c>
      <c r="N865" s="454">
        <v>556</v>
      </c>
      <c r="O865" s="454">
        <v>446</v>
      </c>
      <c r="P865" s="454">
        <v>1168</v>
      </c>
      <c r="Q865" s="454">
        <v>4</v>
      </c>
      <c r="R865" s="455">
        <f t="shared" si="13"/>
        <v>1167.9166666666667</v>
      </c>
    </row>
    <row r="866" spans="1:18" ht="13.5" customHeight="1" x14ac:dyDescent="0.2">
      <c r="A866" s="449" t="s">
        <v>1530</v>
      </c>
      <c r="B866" s="458" t="s">
        <v>1638</v>
      </c>
      <c r="C866" s="451" t="s">
        <v>1639</v>
      </c>
      <c r="D866" s="454">
        <v>646</v>
      </c>
      <c r="E866" s="454">
        <v>924</v>
      </c>
      <c r="F866" s="454">
        <v>1224</v>
      </c>
      <c r="G866" s="454">
        <v>1581</v>
      </c>
      <c r="H866" s="454">
        <v>1800</v>
      </c>
      <c r="I866" s="454">
        <v>1935</v>
      </c>
      <c r="J866" s="454">
        <v>1927</v>
      </c>
      <c r="K866" s="454">
        <v>1733</v>
      </c>
      <c r="L866" s="454">
        <v>1394</v>
      </c>
      <c r="M866" s="454">
        <v>1048</v>
      </c>
      <c r="N866" s="454">
        <v>720</v>
      </c>
      <c r="O866" s="454">
        <v>578</v>
      </c>
      <c r="P866" s="454">
        <v>1292</v>
      </c>
      <c r="Q866" s="454">
        <v>4</v>
      </c>
      <c r="R866" s="455">
        <f t="shared" si="13"/>
        <v>1292.5</v>
      </c>
    </row>
    <row r="867" spans="1:18" ht="13.5" customHeight="1" x14ac:dyDescent="0.2">
      <c r="A867" s="449" t="s">
        <v>1531</v>
      </c>
      <c r="B867" s="458" t="s">
        <v>1638</v>
      </c>
      <c r="C867" s="451" t="s">
        <v>1639</v>
      </c>
      <c r="D867" s="454">
        <v>602</v>
      </c>
      <c r="E867" s="454">
        <v>887</v>
      </c>
      <c r="F867" s="454">
        <v>1195</v>
      </c>
      <c r="G867" s="454">
        <v>1502</v>
      </c>
      <c r="H867" s="454">
        <v>1748</v>
      </c>
      <c r="I867" s="454">
        <v>1854</v>
      </c>
      <c r="J867" s="454">
        <v>1838</v>
      </c>
      <c r="K867" s="454">
        <v>1629</v>
      </c>
      <c r="L867" s="454">
        <v>1324</v>
      </c>
      <c r="M867" s="454">
        <v>975</v>
      </c>
      <c r="N867" s="454">
        <v>638</v>
      </c>
      <c r="O867" s="454">
        <v>521</v>
      </c>
      <c r="P867" s="454">
        <v>1226</v>
      </c>
      <c r="Q867" s="454">
        <v>4</v>
      </c>
      <c r="R867" s="455">
        <f t="shared" si="13"/>
        <v>1226.0833333333333</v>
      </c>
    </row>
    <row r="868" spans="1:18" ht="13.5" customHeight="1" x14ac:dyDescent="0.2">
      <c r="A868" s="449" t="s">
        <v>1532</v>
      </c>
      <c r="B868" s="458" t="s">
        <v>1638</v>
      </c>
      <c r="C868" s="451" t="s">
        <v>1639</v>
      </c>
      <c r="D868" s="454">
        <v>1003</v>
      </c>
      <c r="E868" s="454">
        <v>1270</v>
      </c>
      <c r="F868" s="454">
        <v>1699</v>
      </c>
      <c r="G868" s="454">
        <v>2126</v>
      </c>
      <c r="H868" s="454">
        <v>2356</v>
      </c>
      <c r="I868" s="454">
        <v>2479</v>
      </c>
      <c r="J868" s="454">
        <v>2312</v>
      </c>
      <c r="K868" s="454">
        <v>2082</v>
      </c>
      <c r="L868" s="454">
        <v>1846</v>
      </c>
      <c r="M868" s="454">
        <v>1469</v>
      </c>
      <c r="N868" s="454">
        <v>1114</v>
      </c>
      <c r="O868" s="454">
        <v>904</v>
      </c>
      <c r="P868" s="454">
        <v>1722</v>
      </c>
      <c r="Q868" s="454">
        <v>4</v>
      </c>
      <c r="R868" s="455">
        <f t="shared" si="13"/>
        <v>1721.6666666666667</v>
      </c>
    </row>
    <row r="869" spans="1:18" ht="13.5" customHeight="1" x14ac:dyDescent="0.2">
      <c r="A869" s="449" t="s">
        <v>1533</v>
      </c>
      <c r="B869" s="458" t="s">
        <v>1638</v>
      </c>
      <c r="C869" s="451" t="s">
        <v>1639</v>
      </c>
      <c r="D869" s="454">
        <v>930</v>
      </c>
      <c r="E869" s="454">
        <v>1194</v>
      </c>
      <c r="F869" s="454">
        <v>1654</v>
      </c>
      <c r="G869" s="454">
        <v>2095</v>
      </c>
      <c r="H869" s="454">
        <v>2350</v>
      </c>
      <c r="I869" s="454">
        <v>2507</v>
      </c>
      <c r="J869" s="454">
        <v>2187</v>
      </c>
      <c r="K869" s="454">
        <v>1943</v>
      </c>
      <c r="L869" s="454">
        <v>1806</v>
      </c>
      <c r="M869" s="454">
        <v>1466</v>
      </c>
      <c r="N869" s="454">
        <v>1072</v>
      </c>
      <c r="O869" s="454">
        <v>825</v>
      </c>
      <c r="P869" s="454">
        <v>1669</v>
      </c>
      <c r="Q869" s="454">
        <v>4</v>
      </c>
      <c r="R869" s="455">
        <f t="shared" si="13"/>
        <v>1669.0833333333333</v>
      </c>
    </row>
    <row r="870" spans="1:18" ht="13.5" customHeight="1" x14ac:dyDescent="0.2">
      <c r="A870" s="449" t="s">
        <v>1534</v>
      </c>
      <c r="B870" s="458" t="s">
        <v>1638</v>
      </c>
      <c r="C870" s="451" t="s">
        <v>1639</v>
      </c>
      <c r="D870" s="454">
        <v>1013</v>
      </c>
      <c r="E870" s="454">
        <v>1323</v>
      </c>
      <c r="F870" s="454">
        <v>1744</v>
      </c>
      <c r="G870" s="454">
        <v>2125</v>
      </c>
      <c r="H870" s="454">
        <v>2301</v>
      </c>
      <c r="I870" s="454">
        <v>2434</v>
      </c>
      <c r="J870" s="454">
        <v>2302</v>
      </c>
      <c r="K870" s="454">
        <v>2085</v>
      </c>
      <c r="L870" s="454">
        <v>1822</v>
      </c>
      <c r="M870" s="454">
        <v>1452</v>
      </c>
      <c r="N870" s="454">
        <v>1127</v>
      </c>
      <c r="O870" s="454">
        <v>939</v>
      </c>
      <c r="P870" s="454">
        <v>1722</v>
      </c>
      <c r="Q870" s="454">
        <v>4</v>
      </c>
      <c r="R870" s="455">
        <f t="shared" si="13"/>
        <v>1722.25</v>
      </c>
    </row>
    <row r="871" spans="1:18" ht="13.5" customHeight="1" x14ac:dyDescent="0.2">
      <c r="A871" s="449" t="s">
        <v>1535</v>
      </c>
      <c r="B871" s="458" t="s">
        <v>1638</v>
      </c>
      <c r="C871" s="451" t="s">
        <v>1639</v>
      </c>
      <c r="D871" s="454">
        <v>532</v>
      </c>
      <c r="E871" s="454">
        <v>789</v>
      </c>
      <c r="F871" s="454">
        <v>1096</v>
      </c>
      <c r="G871" s="454">
        <v>1496</v>
      </c>
      <c r="H871" s="454">
        <v>1739</v>
      </c>
      <c r="I871" s="454">
        <v>1853</v>
      </c>
      <c r="J871" s="454">
        <v>1872</v>
      </c>
      <c r="K871" s="454">
        <v>1640</v>
      </c>
      <c r="L871" s="454">
        <v>1300</v>
      </c>
      <c r="M871" s="454">
        <v>882</v>
      </c>
      <c r="N871" s="454">
        <v>534</v>
      </c>
      <c r="O871" s="454">
        <v>422</v>
      </c>
      <c r="P871" s="454">
        <v>1180</v>
      </c>
      <c r="Q871" s="454">
        <v>4</v>
      </c>
      <c r="R871" s="455">
        <f t="shared" si="13"/>
        <v>1179.5833333333333</v>
      </c>
    </row>
    <row r="872" spans="1:18" ht="13.5" customHeight="1" x14ac:dyDescent="0.2">
      <c r="A872" s="449" t="s">
        <v>1536</v>
      </c>
      <c r="B872" s="458" t="s">
        <v>1638</v>
      </c>
      <c r="C872" s="451" t="s">
        <v>1639</v>
      </c>
      <c r="D872" s="454">
        <v>500</v>
      </c>
      <c r="E872" s="454">
        <v>745</v>
      </c>
      <c r="F872" s="454">
        <v>1056</v>
      </c>
      <c r="G872" s="454">
        <v>1449</v>
      </c>
      <c r="H872" s="454">
        <v>1722</v>
      </c>
      <c r="I872" s="454">
        <v>1839</v>
      </c>
      <c r="J872" s="454">
        <v>1818</v>
      </c>
      <c r="K872" s="454">
        <v>1614</v>
      </c>
      <c r="L872" s="454">
        <v>1224</v>
      </c>
      <c r="M872" s="454">
        <v>833</v>
      </c>
      <c r="N872" s="454">
        <v>498</v>
      </c>
      <c r="O872" s="454">
        <v>406</v>
      </c>
      <c r="P872" s="454">
        <v>1142</v>
      </c>
      <c r="Q872" s="454">
        <v>4</v>
      </c>
      <c r="R872" s="455">
        <f t="shared" si="13"/>
        <v>1142</v>
      </c>
    </row>
    <row r="873" spans="1:18" ht="13.5" customHeight="1" x14ac:dyDescent="0.2">
      <c r="A873" s="449" t="s">
        <v>1537</v>
      </c>
      <c r="B873" s="458" t="s">
        <v>1638</v>
      </c>
      <c r="C873" s="451" t="s">
        <v>1639</v>
      </c>
      <c r="D873" s="454">
        <v>447</v>
      </c>
      <c r="E873" s="454">
        <v>730</v>
      </c>
      <c r="F873" s="454">
        <v>1070</v>
      </c>
      <c r="G873" s="454">
        <v>1453</v>
      </c>
      <c r="H873" s="454">
        <v>1793</v>
      </c>
      <c r="I873" s="454">
        <v>1939</v>
      </c>
      <c r="J873" s="454">
        <v>1865</v>
      </c>
      <c r="K873" s="454">
        <v>1643</v>
      </c>
      <c r="L873" s="454">
        <v>1273</v>
      </c>
      <c r="M873" s="454">
        <v>808</v>
      </c>
      <c r="N873" s="454">
        <v>478</v>
      </c>
      <c r="O873" s="454">
        <v>382</v>
      </c>
      <c r="P873" s="454">
        <v>1157</v>
      </c>
      <c r="Q873" s="454">
        <v>4</v>
      </c>
      <c r="R873" s="455">
        <f t="shared" si="13"/>
        <v>1156.75</v>
      </c>
    </row>
    <row r="874" spans="1:18" ht="13.5" customHeight="1" x14ac:dyDescent="0.2">
      <c r="A874" s="449" t="s">
        <v>1538</v>
      </c>
      <c r="B874" s="458" t="s">
        <v>1638</v>
      </c>
      <c r="C874" s="451" t="s">
        <v>1639</v>
      </c>
      <c r="D874" s="454">
        <v>591</v>
      </c>
      <c r="E874" s="454">
        <v>878</v>
      </c>
      <c r="F874" s="454">
        <v>1196</v>
      </c>
      <c r="G874" s="454">
        <v>1527</v>
      </c>
      <c r="H874" s="454">
        <v>1785</v>
      </c>
      <c r="I874" s="454">
        <v>1896</v>
      </c>
      <c r="J874" s="454">
        <v>1890</v>
      </c>
      <c r="K874" s="454">
        <v>1694</v>
      </c>
      <c r="L874" s="454">
        <v>1347</v>
      </c>
      <c r="M874" s="454">
        <v>988</v>
      </c>
      <c r="N874" s="454">
        <v>643</v>
      </c>
      <c r="O874" s="454">
        <v>518</v>
      </c>
      <c r="P874" s="454">
        <v>1246</v>
      </c>
      <c r="Q874" s="454">
        <v>4</v>
      </c>
      <c r="R874" s="455">
        <f t="shared" si="13"/>
        <v>1246.0833333333333</v>
      </c>
    </row>
    <row r="875" spans="1:18" ht="13.5" customHeight="1" x14ac:dyDescent="0.2">
      <c r="A875" s="449" t="s">
        <v>1539</v>
      </c>
      <c r="B875" s="458" t="s">
        <v>1638</v>
      </c>
      <c r="C875" s="451" t="s">
        <v>1639</v>
      </c>
      <c r="D875" s="454">
        <v>445</v>
      </c>
      <c r="E875" s="454">
        <v>741</v>
      </c>
      <c r="F875" s="454">
        <v>1072</v>
      </c>
      <c r="G875" s="454">
        <v>1452</v>
      </c>
      <c r="H875" s="454">
        <v>1753</v>
      </c>
      <c r="I875" s="454">
        <v>1876</v>
      </c>
      <c r="J875" s="454">
        <v>1865</v>
      </c>
      <c r="K875" s="454">
        <v>1646</v>
      </c>
      <c r="L875" s="454">
        <v>1236</v>
      </c>
      <c r="M875" s="454">
        <v>764</v>
      </c>
      <c r="N875" s="454">
        <v>449</v>
      </c>
      <c r="O875" s="454">
        <v>348</v>
      </c>
      <c r="P875" s="454">
        <v>1137</v>
      </c>
      <c r="Q875" s="454">
        <v>4</v>
      </c>
      <c r="R875" s="455">
        <f t="shared" si="13"/>
        <v>1137.25</v>
      </c>
    </row>
    <row r="876" spans="1:18" ht="13.5" customHeight="1" x14ac:dyDescent="0.2">
      <c r="A876" s="449" t="s">
        <v>1540</v>
      </c>
      <c r="B876" s="458" t="s">
        <v>1638</v>
      </c>
      <c r="C876" s="451" t="s">
        <v>1639</v>
      </c>
      <c r="D876" s="454">
        <v>583</v>
      </c>
      <c r="E876" s="454">
        <v>863</v>
      </c>
      <c r="F876" s="454">
        <v>1154</v>
      </c>
      <c r="G876" s="454">
        <v>1499</v>
      </c>
      <c r="H876" s="454">
        <v>1760</v>
      </c>
      <c r="I876" s="454">
        <v>1878</v>
      </c>
      <c r="J876" s="454">
        <v>1859</v>
      </c>
      <c r="K876" s="454">
        <v>1636</v>
      </c>
      <c r="L876" s="454">
        <v>1314</v>
      </c>
      <c r="M876" s="454">
        <v>962</v>
      </c>
      <c r="N876" s="454">
        <v>627</v>
      </c>
      <c r="O876" s="454">
        <v>511</v>
      </c>
      <c r="P876" s="454">
        <v>1220</v>
      </c>
      <c r="Q876" s="454">
        <v>4</v>
      </c>
      <c r="R876" s="455">
        <f t="shared" si="13"/>
        <v>1220.5</v>
      </c>
    </row>
    <row r="877" spans="1:18" ht="13.5" customHeight="1" x14ac:dyDescent="0.2">
      <c r="A877" s="449" t="s">
        <v>1541</v>
      </c>
      <c r="B877" s="458" t="s">
        <v>1638</v>
      </c>
      <c r="C877" s="451" t="s">
        <v>1639</v>
      </c>
      <c r="D877" s="454">
        <v>588</v>
      </c>
      <c r="E877" s="454">
        <v>861</v>
      </c>
      <c r="F877" s="454">
        <v>1175</v>
      </c>
      <c r="G877" s="454">
        <v>1516</v>
      </c>
      <c r="H877" s="454">
        <v>1760</v>
      </c>
      <c r="I877" s="454">
        <v>1898</v>
      </c>
      <c r="J877" s="454">
        <v>1867</v>
      </c>
      <c r="K877" s="454">
        <v>1661</v>
      </c>
      <c r="L877" s="454">
        <v>1328</v>
      </c>
      <c r="M877" s="454">
        <v>969</v>
      </c>
      <c r="N877" s="454">
        <v>630</v>
      </c>
      <c r="O877" s="454">
        <v>513</v>
      </c>
      <c r="P877" s="454">
        <v>1231</v>
      </c>
      <c r="Q877" s="454">
        <v>4</v>
      </c>
      <c r="R877" s="455">
        <f t="shared" si="13"/>
        <v>1230.5</v>
      </c>
    </row>
    <row r="878" spans="1:18" ht="13.5" customHeight="1" x14ac:dyDescent="0.2">
      <c r="A878" s="449" t="s">
        <v>1542</v>
      </c>
      <c r="B878" s="458" t="s">
        <v>1638</v>
      </c>
      <c r="C878" s="451" t="s">
        <v>1639</v>
      </c>
      <c r="D878" s="454">
        <v>463</v>
      </c>
      <c r="E878" s="454">
        <v>719</v>
      </c>
      <c r="F878" s="454">
        <v>1059</v>
      </c>
      <c r="G878" s="454">
        <v>1432</v>
      </c>
      <c r="H878" s="454">
        <v>1759</v>
      </c>
      <c r="I878" s="454">
        <v>1886</v>
      </c>
      <c r="J878" s="454">
        <v>1849</v>
      </c>
      <c r="K878" s="454">
        <v>1621</v>
      </c>
      <c r="L878" s="454">
        <v>1242</v>
      </c>
      <c r="M878" s="454">
        <v>788</v>
      </c>
      <c r="N878" s="454">
        <v>480</v>
      </c>
      <c r="O878" s="454">
        <v>385</v>
      </c>
      <c r="P878" s="454">
        <v>1140</v>
      </c>
      <c r="Q878" s="454">
        <v>4</v>
      </c>
      <c r="R878" s="455">
        <f t="shared" si="13"/>
        <v>1140.25</v>
      </c>
    </row>
    <row r="879" spans="1:18" ht="13.5" customHeight="1" x14ac:dyDescent="0.2">
      <c r="A879" s="449" t="s">
        <v>1543</v>
      </c>
      <c r="B879" s="458" t="s">
        <v>1638</v>
      </c>
      <c r="C879" s="451" t="s">
        <v>1639</v>
      </c>
      <c r="D879" s="454">
        <v>457</v>
      </c>
      <c r="E879" s="454">
        <v>685</v>
      </c>
      <c r="F879" s="454">
        <v>1033</v>
      </c>
      <c r="G879" s="454">
        <v>1468</v>
      </c>
      <c r="H879" s="454">
        <v>1797</v>
      </c>
      <c r="I879" s="454">
        <v>1896</v>
      </c>
      <c r="J879" s="454">
        <v>1884</v>
      </c>
      <c r="K879" s="454">
        <v>1651</v>
      </c>
      <c r="L879" s="454">
        <v>1246</v>
      </c>
      <c r="M879" s="454">
        <v>801</v>
      </c>
      <c r="N879" s="454">
        <v>472</v>
      </c>
      <c r="O879" s="454">
        <v>380</v>
      </c>
      <c r="P879" s="454">
        <v>1147</v>
      </c>
      <c r="Q879" s="454">
        <v>4</v>
      </c>
      <c r="R879" s="455">
        <f t="shared" si="13"/>
        <v>1147.5</v>
      </c>
    </row>
    <row r="880" spans="1:18" ht="13.5" customHeight="1" x14ac:dyDescent="0.2">
      <c r="A880" s="449" t="s">
        <v>1544</v>
      </c>
      <c r="B880" s="458" t="s">
        <v>1638</v>
      </c>
      <c r="C880" s="451" t="s">
        <v>1639</v>
      </c>
      <c r="D880" s="454">
        <v>802</v>
      </c>
      <c r="E880" s="454">
        <v>1054</v>
      </c>
      <c r="F880" s="454">
        <v>1361</v>
      </c>
      <c r="G880" s="454">
        <v>1697</v>
      </c>
      <c r="H880" s="454">
        <v>1862</v>
      </c>
      <c r="I880" s="454">
        <v>1887</v>
      </c>
      <c r="J880" s="454">
        <v>1872</v>
      </c>
      <c r="K880" s="454">
        <v>1723</v>
      </c>
      <c r="L880" s="454">
        <v>1455</v>
      </c>
      <c r="M880" s="454">
        <v>1186</v>
      </c>
      <c r="N880" s="454">
        <v>870</v>
      </c>
      <c r="O880" s="454">
        <v>717</v>
      </c>
      <c r="P880" s="454">
        <v>1374</v>
      </c>
      <c r="Q880" s="454">
        <v>4</v>
      </c>
      <c r="R880" s="455">
        <f t="shared" si="13"/>
        <v>1373.8333333333333</v>
      </c>
    </row>
    <row r="881" spans="1:18" ht="13.5" customHeight="1" x14ac:dyDescent="0.2">
      <c r="A881" s="449" t="s">
        <v>1545</v>
      </c>
      <c r="B881" s="458" t="s">
        <v>1638</v>
      </c>
      <c r="C881" s="451" t="s">
        <v>1639</v>
      </c>
      <c r="D881" s="454">
        <v>785</v>
      </c>
      <c r="E881" s="454">
        <v>1029</v>
      </c>
      <c r="F881" s="454">
        <v>1385</v>
      </c>
      <c r="G881" s="454">
        <v>1741</v>
      </c>
      <c r="H881" s="454">
        <v>1918</v>
      </c>
      <c r="I881" s="454">
        <v>1996</v>
      </c>
      <c r="J881" s="454">
        <v>1931</v>
      </c>
      <c r="K881" s="454">
        <v>1731</v>
      </c>
      <c r="L881" s="454">
        <v>1475</v>
      </c>
      <c r="M881" s="454">
        <v>1177</v>
      </c>
      <c r="N881" s="454">
        <v>866</v>
      </c>
      <c r="O881" s="454">
        <v>707</v>
      </c>
      <c r="P881" s="454">
        <v>1395</v>
      </c>
      <c r="Q881" s="454">
        <v>4</v>
      </c>
      <c r="R881" s="455">
        <f t="shared" si="13"/>
        <v>1395.0833333333333</v>
      </c>
    </row>
    <row r="882" spans="1:18" ht="13.5" customHeight="1" x14ac:dyDescent="0.2">
      <c r="A882" s="449" t="s">
        <v>1546</v>
      </c>
      <c r="B882" s="458" t="s">
        <v>1638</v>
      </c>
      <c r="C882" s="451" t="s">
        <v>1639</v>
      </c>
      <c r="D882" s="454">
        <v>771</v>
      </c>
      <c r="E882" s="454">
        <v>1029</v>
      </c>
      <c r="F882" s="454">
        <v>1359</v>
      </c>
      <c r="G882" s="454">
        <v>1725</v>
      </c>
      <c r="H882" s="454">
        <v>1911</v>
      </c>
      <c r="I882" s="454">
        <v>1969</v>
      </c>
      <c r="J882" s="454">
        <v>1931</v>
      </c>
      <c r="K882" s="454">
        <v>1744</v>
      </c>
      <c r="L882" s="454">
        <v>1435</v>
      </c>
      <c r="M882" s="454">
        <v>1155</v>
      </c>
      <c r="N882" s="454">
        <v>853</v>
      </c>
      <c r="O882" s="454">
        <v>699</v>
      </c>
      <c r="P882" s="454">
        <v>1382</v>
      </c>
      <c r="Q882" s="454">
        <v>4</v>
      </c>
      <c r="R882" s="455">
        <f t="shared" si="13"/>
        <v>1381.75</v>
      </c>
    </row>
    <row r="883" spans="1:18" ht="13.5" customHeight="1" x14ac:dyDescent="0.2">
      <c r="A883" s="449" t="s">
        <v>1547</v>
      </c>
      <c r="B883" s="458" t="s">
        <v>1638</v>
      </c>
      <c r="C883" s="451" t="s">
        <v>1639</v>
      </c>
      <c r="D883" s="454">
        <v>758</v>
      </c>
      <c r="E883" s="454">
        <v>1023</v>
      </c>
      <c r="F883" s="454">
        <v>1354</v>
      </c>
      <c r="G883" s="454">
        <v>1701</v>
      </c>
      <c r="H883" s="454">
        <v>1875</v>
      </c>
      <c r="I883" s="454">
        <v>1956</v>
      </c>
      <c r="J883" s="454">
        <v>1912</v>
      </c>
      <c r="K883" s="454">
        <v>1717</v>
      </c>
      <c r="L883" s="454">
        <v>1418</v>
      </c>
      <c r="M883" s="454">
        <v>1146</v>
      </c>
      <c r="N883" s="454">
        <v>851</v>
      </c>
      <c r="O883" s="454">
        <v>692</v>
      </c>
      <c r="P883" s="454">
        <v>1367</v>
      </c>
      <c r="Q883" s="454">
        <v>4</v>
      </c>
      <c r="R883" s="455">
        <f t="shared" si="13"/>
        <v>1366.9166666666667</v>
      </c>
    </row>
    <row r="884" spans="1:18" ht="13.5" customHeight="1" x14ac:dyDescent="0.2">
      <c r="A884" s="449" t="s">
        <v>1548</v>
      </c>
      <c r="B884" s="458" t="s">
        <v>1638</v>
      </c>
      <c r="C884" s="451" t="s">
        <v>1639</v>
      </c>
      <c r="D884" s="454">
        <v>811</v>
      </c>
      <c r="E884" s="454">
        <v>1068</v>
      </c>
      <c r="F884" s="454">
        <v>1426</v>
      </c>
      <c r="G884" s="454">
        <v>1808</v>
      </c>
      <c r="H884" s="454">
        <v>1938</v>
      </c>
      <c r="I884" s="454">
        <v>1942</v>
      </c>
      <c r="J884" s="454">
        <v>1917</v>
      </c>
      <c r="K884" s="454">
        <v>1722</v>
      </c>
      <c r="L884" s="454">
        <v>1405</v>
      </c>
      <c r="M884" s="454">
        <v>1178</v>
      </c>
      <c r="N884" s="454">
        <v>910</v>
      </c>
      <c r="O884" s="454">
        <v>747</v>
      </c>
      <c r="P884" s="454">
        <v>1406</v>
      </c>
      <c r="Q884" s="454">
        <v>4</v>
      </c>
      <c r="R884" s="455">
        <f t="shared" si="13"/>
        <v>1406</v>
      </c>
    </row>
    <row r="885" spans="1:18" ht="13.5" customHeight="1" x14ac:dyDescent="0.2">
      <c r="A885" s="449" t="s">
        <v>1549</v>
      </c>
      <c r="B885" s="458" t="s">
        <v>1638</v>
      </c>
      <c r="C885" s="451" t="s">
        <v>1639</v>
      </c>
      <c r="D885" s="454">
        <v>411</v>
      </c>
      <c r="E885" s="454">
        <v>666</v>
      </c>
      <c r="F885" s="454">
        <v>1092</v>
      </c>
      <c r="G885" s="454">
        <v>1523</v>
      </c>
      <c r="H885" s="454">
        <v>1811</v>
      </c>
      <c r="I885" s="454">
        <v>1994</v>
      </c>
      <c r="J885" s="454">
        <v>2092</v>
      </c>
      <c r="K885" s="454">
        <v>1798</v>
      </c>
      <c r="L885" s="454">
        <v>1335</v>
      </c>
      <c r="M885" s="454">
        <v>859</v>
      </c>
      <c r="N885" s="454">
        <v>488</v>
      </c>
      <c r="O885" s="454">
        <v>348</v>
      </c>
      <c r="P885" s="454">
        <v>1201</v>
      </c>
      <c r="Q885" s="454">
        <v>4</v>
      </c>
      <c r="R885" s="455">
        <f t="shared" si="13"/>
        <v>1201.4166666666667</v>
      </c>
    </row>
    <row r="886" spans="1:18" ht="13.5" customHeight="1" x14ac:dyDescent="0.2">
      <c r="A886" s="449" t="s">
        <v>1550</v>
      </c>
      <c r="B886" s="458" t="s">
        <v>1638</v>
      </c>
      <c r="C886" s="451" t="s">
        <v>1639</v>
      </c>
      <c r="D886" s="454">
        <v>383</v>
      </c>
      <c r="E886" s="454">
        <v>606</v>
      </c>
      <c r="F886" s="454">
        <v>1023</v>
      </c>
      <c r="G886" s="454">
        <v>1562</v>
      </c>
      <c r="H886" s="454">
        <v>1804</v>
      </c>
      <c r="I886" s="454">
        <v>1914</v>
      </c>
      <c r="J886" s="454">
        <v>1984</v>
      </c>
      <c r="K886" s="454">
        <v>1716</v>
      </c>
      <c r="L886" s="454">
        <v>1261</v>
      </c>
      <c r="M886" s="454">
        <v>785</v>
      </c>
      <c r="N886" s="454">
        <v>445</v>
      </c>
      <c r="O886" s="454">
        <v>313</v>
      </c>
      <c r="P886" s="454">
        <v>1149</v>
      </c>
      <c r="Q886" s="454">
        <v>4</v>
      </c>
      <c r="R886" s="455">
        <f t="shared" si="13"/>
        <v>1149.6666666666667</v>
      </c>
    </row>
    <row r="887" spans="1:18" ht="13.5" customHeight="1" x14ac:dyDescent="0.2">
      <c r="A887" s="449" t="s">
        <v>1551</v>
      </c>
      <c r="B887" s="458" t="s">
        <v>1638</v>
      </c>
      <c r="C887" s="451" t="s">
        <v>1639</v>
      </c>
      <c r="D887" s="454">
        <v>380</v>
      </c>
      <c r="E887" s="454">
        <v>628</v>
      </c>
      <c r="F887" s="454">
        <v>1069</v>
      </c>
      <c r="G887" s="454">
        <v>1537</v>
      </c>
      <c r="H887" s="454">
        <v>1781</v>
      </c>
      <c r="I887" s="460">
        <v>1928</v>
      </c>
      <c r="J887" s="454">
        <v>2042</v>
      </c>
      <c r="K887" s="454">
        <v>1735</v>
      </c>
      <c r="L887" s="454">
        <v>1249</v>
      </c>
      <c r="M887" s="454">
        <v>793</v>
      </c>
      <c r="N887" s="454">
        <v>433</v>
      </c>
      <c r="O887" s="454">
        <v>299</v>
      </c>
      <c r="P887" s="454">
        <v>1156</v>
      </c>
      <c r="Q887" s="454">
        <v>4</v>
      </c>
      <c r="R887" s="455">
        <f t="shared" si="13"/>
        <v>1156.1666666666667</v>
      </c>
    </row>
    <row r="888" spans="1:18" ht="13.5" customHeight="1" x14ac:dyDescent="0.2">
      <c r="A888" s="449" t="s">
        <v>1552</v>
      </c>
      <c r="B888" s="458" t="s">
        <v>1638</v>
      </c>
      <c r="C888" s="451" t="s">
        <v>1639</v>
      </c>
      <c r="D888" s="454">
        <v>369</v>
      </c>
      <c r="E888" s="454">
        <v>634</v>
      </c>
      <c r="F888" s="454">
        <v>1067</v>
      </c>
      <c r="G888" s="454">
        <v>1545</v>
      </c>
      <c r="H888" s="454">
        <v>1838</v>
      </c>
      <c r="I888" s="460">
        <v>2010</v>
      </c>
      <c r="J888" s="454">
        <v>2154</v>
      </c>
      <c r="K888" s="454">
        <v>1817</v>
      </c>
      <c r="L888" s="454">
        <v>1312</v>
      </c>
      <c r="M888" s="454">
        <v>813</v>
      </c>
      <c r="N888" s="454">
        <v>445</v>
      </c>
      <c r="O888" s="454">
        <v>311</v>
      </c>
      <c r="P888" s="454">
        <v>1193</v>
      </c>
      <c r="Q888" s="454">
        <v>4</v>
      </c>
      <c r="R888" s="455">
        <f t="shared" si="13"/>
        <v>1192.9166666666667</v>
      </c>
    </row>
    <row r="889" spans="1:18" ht="13.5" customHeight="1" x14ac:dyDescent="0.2">
      <c r="A889" s="449" t="s">
        <v>1553</v>
      </c>
      <c r="B889" s="458" t="s">
        <v>1638</v>
      </c>
      <c r="C889" s="451" t="s">
        <v>1639</v>
      </c>
      <c r="D889" s="454">
        <v>490</v>
      </c>
      <c r="E889" s="454">
        <v>720</v>
      </c>
      <c r="F889" s="454">
        <v>1075</v>
      </c>
      <c r="G889" s="454">
        <v>1421</v>
      </c>
      <c r="H889" s="454">
        <v>1683</v>
      </c>
      <c r="I889" s="460">
        <v>1840</v>
      </c>
      <c r="J889" s="454">
        <v>1859</v>
      </c>
      <c r="K889" s="454">
        <v>1645</v>
      </c>
      <c r="L889" s="454">
        <v>1327</v>
      </c>
      <c r="M889" s="454">
        <v>892</v>
      </c>
      <c r="N889" s="454">
        <v>538</v>
      </c>
      <c r="O889" s="454">
        <v>432</v>
      </c>
      <c r="P889" s="454">
        <v>1160</v>
      </c>
      <c r="Q889" s="454">
        <v>4</v>
      </c>
      <c r="R889" s="455">
        <f t="shared" si="13"/>
        <v>1160.1666666666667</v>
      </c>
    </row>
    <row r="890" spans="1:18" ht="13.5" customHeight="1" x14ac:dyDescent="0.2">
      <c r="A890" s="449" t="s">
        <v>1554</v>
      </c>
      <c r="B890" s="458" t="s">
        <v>1638</v>
      </c>
      <c r="C890" s="451" t="s">
        <v>1639</v>
      </c>
      <c r="D890" s="454">
        <v>462</v>
      </c>
      <c r="E890" s="454">
        <v>689</v>
      </c>
      <c r="F890" s="454">
        <v>1067</v>
      </c>
      <c r="G890" s="454">
        <v>1430</v>
      </c>
      <c r="H890" s="454">
        <v>1756</v>
      </c>
      <c r="I890" s="460">
        <v>1944</v>
      </c>
      <c r="J890" s="454">
        <v>1923</v>
      </c>
      <c r="K890" s="454">
        <v>1672</v>
      </c>
      <c r="L890" s="454">
        <v>1335</v>
      </c>
      <c r="M890" s="454">
        <v>851</v>
      </c>
      <c r="N890" s="454">
        <v>511</v>
      </c>
      <c r="O890" s="454">
        <v>380</v>
      </c>
      <c r="P890" s="454">
        <v>1168</v>
      </c>
      <c r="Q890" s="454">
        <v>4</v>
      </c>
      <c r="R890" s="455">
        <f t="shared" si="13"/>
        <v>1168.3333333333333</v>
      </c>
    </row>
    <row r="891" spans="1:18" ht="13.5" customHeight="1" x14ac:dyDescent="0.2">
      <c r="A891" s="449" t="s">
        <v>1555</v>
      </c>
      <c r="B891" s="458" t="s">
        <v>1638</v>
      </c>
      <c r="C891" s="451" t="s">
        <v>1639</v>
      </c>
      <c r="D891" s="454">
        <v>527</v>
      </c>
      <c r="E891" s="454">
        <v>743</v>
      </c>
      <c r="F891" s="454">
        <v>1080</v>
      </c>
      <c r="G891" s="454">
        <v>1472</v>
      </c>
      <c r="H891" s="454">
        <v>1716</v>
      </c>
      <c r="I891" s="460">
        <v>1889</v>
      </c>
      <c r="J891" s="454">
        <v>1866</v>
      </c>
      <c r="K891" s="454">
        <v>1692</v>
      </c>
      <c r="L891" s="454">
        <v>1388</v>
      </c>
      <c r="M891" s="454">
        <v>971</v>
      </c>
      <c r="N891" s="454">
        <v>601</v>
      </c>
      <c r="O891" s="454">
        <v>456</v>
      </c>
      <c r="P891" s="454">
        <v>1200</v>
      </c>
      <c r="Q891" s="454">
        <v>4</v>
      </c>
      <c r="R891" s="455">
        <f t="shared" si="13"/>
        <v>1200.0833333333333</v>
      </c>
    </row>
    <row r="892" spans="1:18" ht="13.5" customHeight="1" x14ac:dyDescent="0.2">
      <c r="A892" s="449" t="s">
        <v>1556</v>
      </c>
      <c r="B892" s="458" t="s">
        <v>1638</v>
      </c>
      <c r="C892" s="451" t="s">
        <v>1639</v>
      </c>
      <c r="D892" s="454">
        <v>517</v>
      </c>
      <c r="E892" s="454">
        <v>759</v>
      </c>
      <c r="F892" s="454">
        <v>1122</v>
      </c>
      <c r="G892" s="454">
        <v>1479</v>
      </c>
      <c r="H892" s="454">
        <v>1747</v>
      </c>
      <c r="I892" s="460">
        <v>1925</v>
      </c>
      <c r="J892" s="454">
        <v>1936</v>
      </c>
      <c r="K892" s="454">
        <v>1738</v>
      </c>
      <c r="L892" s="454">
        <v>1409</v>
      </c>
      <c r="M892" s="454">
        <v>993</v>
      </c>
      <c r="N892" s="454">
        <v>607</v>
      </c>
      <c r="O892" s="454">
        <v>456</v>
      </c>
      <c r="P892" s="454">
        <v>1224</v>
      </c>
      <c r="Q892" s="454">
        <v>4</v>
      </c>
      <c r="R892" s="455">
        <f t="shared" si="13"/>
        <v>1224</v>
      </c>
    </row>
    <row r="893" spans="1:18" ht="13.5" customHeight="1" x14ac:dyDescent="0.2">
      <c r="A893" s="449" t="s">
        <v>1557</v>
      </c>
      <c r="B893" s="458" t="s">
        <v>1638</v>
      </c>
      <c r="C893" s="451" t="s">
        <v>1639</v>
      </c>
      <c r="D893" s="454">
        <v>492</v>
      </c>
      <c r="E893" s="454">
        <v>700</v>
      </c>
      <c r="F893" s="454">
        <v>1071</v>
      </c>
      <c r="G893" s="454">
        <v>1438</v>
      </c>
      <c r="H893" s="454">
        <v>1709</v>
      </c>
      <c r="I893" s="454">
        <v>1882</v>
      </c>
      <c r="J893" s="454">
        <v>1904</v>
      </c>
      <c r="K893" s="454">
        <v>1643</v>
      </c>
      <c r="L893" s="454">
        <v>1329</v>
      </c>
      <c r="M893" s="454">
        <v>918</v>
      </c>
      <c r="N893" s="454">
        <v>553</v>
      </c>
      <c r="O893" s="454">
        <v>423</v>
      </c>
      <c r="P893" s="454">
        <v>1172</v>
      </c>
      <c r="Q893" s="454">
        <v>4</v>
      </c>
      <c r="R893" s="455">
        <f t="shared" si="13"/>
        <v>1171.8333333333333</v>
      </c>
    </row>
    <row r="894" spans="1:18" ht="13.5" customHeight="1" x14ac:dyDescent="0.2">
      <c r="A894" s="449" t="s">
        <v>1558</v>
      </c>
      <c r="B894" s="458" t="s">
        <v>1638</v>
      </c>
      <c r="C894" s="451" t="s">
        <v>1639</v>
      </c>
      <c r="D894" s="454">
        <v>485</v>
      </c>
      <c r="E894" s="454">
        <v>754</v>
      </c>
      <c r="F894" s="454">
        <v>1125</v>
      </c>
      <c r="G894" s="454">
        <v>1446</v>
      </c>
      <c r="H894" s="454">
        <v>1747</v>
      </c>
      <c r="I894" s="454">
        <v>1939</v>
      </c>
      <c r="J894" s="454">
        <v>1938</v>
      </c>
      <c r="K894" s="454">
        <v>1656</v>
      </c>
      <c r="L894" s="454">
        <v>1360</v>
      </c>
      <c r="M894" s="454">
        <v>912</v>
      </c>
      <c r="N894" s="454">
        <v>537</v>
      </c>
      <c r="O894" s="454">
        <v>408</v>
      </c>
      <c r="P894" s="454">
        <v>1192</v>
      </c>
      <c r="Q894" s="454">
        <v>4</v>
      </c>
      <c r="R894" s="455">
        <f t="shared" si="13"/>
        <v>1192.25</v>
      </c>
    </row>
    <row r="895" spans="1:18" ht="13.5" customHeight="1" x14ac:dyDescent="0.2">
      <c r="A895" s="449" t="s">
        <v>1559</v>
      </c>
      <c r="B895" s="458" t="s">
        <v>1638</v>
      </c>
      <c r="C895" s="451" t="s">
        <v>1639</v>
      </c>
      <c r="D895" s="454">
        <v>476</v>
      </c>
      <c r="E895" s="454">
        <v>714</v>
      </c>
      <c r="F895" s="454">
        <v>1070</v>
      </c>
      <c r="G895" s="454">
        <v>1410</v>
      </c>
      <c r="H895" s="454">
        <v>1680</v>
      </c>
      <c r="I895" s="454">
        <v>1842</v>
      </c>
      <c r="J895" s="454">
        <v>1839</v>
      </c>
      <c r="K895" s="454">
        <v>1631</v>
      </c>
      <c r="L895" s="454">
        <v>1295</v>
      </c>
      <c r="M895" s="454">
        <v>859</v>
      </c>
      <c r="N895" s="454">
        <v>520</v>
      </c>
      <c r="O895" s="454">
        <v>423</v>
      </c>
      <c r="P895" s="454">
        <v>1147</v>
      </c>
      <c r="Q895" s="454">
        <v>4</v>
      </c>
      <c r="R895" s="455">
        <f t="shared" si="13"/>
        <v>1146.5833333333333</v>
      </c>
    </row>
    <row r="896" spans="1:18" ht="13.5" customHeight="1" x14ac:dyDescent="0.2">
      <c r="A896" s="449" t="s">
        <v>1560</v>
      </c>
      <c r="B896" s="458" t="s">
        <v>1638</v>
      </c>
      <c r="C896" s="451" t="s">
        <v>1639</v>
      </c>
      <c r="D896" s="454">
        <v>831</v>
      </c>
      <c r="E896" s="454">
        <v>1090</v>
      </c>
      <c r="F896" s="454">
        <v>1389</v>
      </c>
      <c r="G896" s="454">
        <v>1757</v>
      </c>
      <c r="H896" s="454">
        <v>1898</v>
      </c>
      <c r="I896" s="454">
        <v>2111</v>
      </c>
      <c r="J896" s="454">
        <v>2215</v>
      </c>
      <c r="K896" s="454">
        <v>1982</v>
      </c>
      <c r="L896" s="454">
        <v>1600</v>
      </c>
      <c r="M896" s="454">
        <v>1235</v>
      </c>
      <c r="N896" s="454">
        <v>889</v>
      </c>
      <c r="O896" s="454">
        <v>751</v>
      </c>
      <c r="P896" s="454">
        <v>1479</v>
      </c>
      <c r="Q896" s="454">
        <v>4</v>
      </c>
      <c r="R896" s="455">
        <f t="shared" si="13"/>
        <v>1479</v>
      </c>
    </row>
    <row r="897" spans="1:18" ht="13.5" customHeight="1" x14ac:dyDescent="0.2">
      <c r="A897" s="449" t="s">
        <v>1561</v>
      </c>
      <c r="B897" s="458" t="s">
        <v>1638</v>
      </c>
      <c r="C897" s="451" t="s">
        <v>1639</v>
      </c>
      <c r="D897" s="454">
        <v>748</v>
      </c>
      <c r="E897" s="454">
        <v>1023</v>
      </c>
      <c r="F897" s="454">
        <v>1320</v>
      </c>
      <c r="G897" s="454">
        <v>1671</v>
      </c>
      <c r="H897" s="454">
        <v>1822</v>
      </c>
      <c r="I897" s="454">
        <v>2027</v>
      </c>
      <c r="J897" s="454">
        <v>2152</v>
      </c>
      <c r="K897" s="454">
        <v>1938</v>
      </c>
      <c r="L897" s="454">
        <v>1523</v>
      </c>
      <c r="M897" s="454">
        <v>1166</v>
      </c>
      <c r="N897" s="454">
        <v>816</v>
      </c>
      <c r="O897" s="454">
        <v>682</v>
      </c>
      <c r="P897" s="454">
        <v>1407</v>
      </c>
      <c r="Q897" s="454">
        <v>4</v>
      </c>
      <c r="R897" s="455">
        <f t="shared" si="13"/>
        <v>1407.3333333333333</v>
      </c>
    </row>
    <row r="898" spans="1:18" ht="13.5" customHeight="1" x14ac:dyDescent="0.2">
      <c r="A898" s="449" t="s">
        <v>1562</v>
      </c>
      <c r="B898" s="458" t="s">
        <v>1638</v>
      </c>
      <c r="C898" s="451" t="s">
        <v>1639</v>
      </c>
      <c r="D898" s="454">
        <v>343</v>
      </c>
      <c r="E898" s="454">
        <v>600</v>
      </c>
      <c r="F898" s="454">
        <v>877</v>
      </c>
      <c r="G898" s="454">
        <v>1252</v>
      </c>
      <c r="H898" s="454">
        <v>1537</v>
      </c>
      <c r="I898" s="454">
        <v>1627</v>
      </c>
      <c r="J898" s="454">
        <v>1708</v>
      </c>
      <c r="K898" s="454">
        <v>1492</v>
      </c>
      <c r="L898" s="454">
        <v>1196</v>
      </c>
      <c r="M898" s="454">
        <v>728</v>
      </c>
      <c r="N898" s="454">
        <v>391</v>
      </c>
      <c r="O898" s="454">
        <v>302</v>
      </c>
      <c r="P898" s="454">
        <v>1005</v>
      </c>
      <c r="Q898" s="454">
        <v>4</v>
      </c>
      <c r="R898" s="455">
        <f t="shared" si="13"/>
        <v>1004.4166666666666</v>
      </c>
    </row>
    <row r="899" spans="1:18" ht="13.5" customHeight="1" x14ac:dyDescent="0.2">
      <c r="A899" s="449" t="s">
        <v>1563</v>
      </c>
      <c r="B899" s="458" t="s">
        <v>1638</v>
      </c>
      <c r="C899" s="451" t="s">
        <v>1639</v>
      </c>
      <c r="D899" s="454">
        <v>475</v>
      </c>
      <c r="E899" s="454">
        <v>707</v>
      </c>
      <c r="F899" s="454">
        <v>1195</v>
      </c>
      <c r="G899" s="454">
        <v>1606</v>
      </c>
      <c r="H899" s="454">
        <v>2000</v>
      </c>
      <c r="I899" s="454">
        <v>2285</v>
      </c>
      <c r="J899" s="454">
        <v>2459</v>
      </c>
      <c r="K899" s="454">
        <v>2155</v>
      </c>
      <c r="L899" s="454">
        <v>1691</v>
      </c>
      <c r="M899" s="454">
        <v>1098</v>
      </c>
      <c r="N899" s="454">
        <v>573</v>
      </c>
      <c r="O899" s="454">
        <v>384</v>
      </c>
      <c r="P899" s="454">
        <v>1386</v>
      </c>
      <c r="Q899" s="454">
        <v>4</v>
      </c>
      <c r="R899" s="455">
        <f t="shared" si="13"/>
        <v>1385.6666666666667</v>
      </c>
    </row>
    <row r="900" spans="1:18" ht="13.5" customHeight="1" x14ac:dyDescent="0.2">
      <c r="A900" s="449" t="s">
        <v>1564</v>
      </c>
      <c r="B900" s="458" t="s">
        <v>1638</v>
      </c>
      <c r="C900" s="451" t="s">
        <v>1639</v>
      </c>
      <c r="D900" s="454">
        <v>396</v>
      </c>
      <c r="E900" s="454">
        <v>673</v>
      </c>
      <c r="F900" s="460">
        <v>998</v>
      </c>
      <c r="G900" s="454">
        <v>1386</v>
      </c>
      <c r="H900" s="454">
        <v>1739</v>
      </c>
      <c r="I900" s="460">
        <v>1961</v>
      </c>
      <c r="J900" s="454">
        <v>2238</v>
      </c>
      <c r="K900" s="454">
        <v>1960</v>
      </c>
      <c r="L900" s="454">
        <v>1491</v>
      </c>
      <c r="M900" s="454">
        <v>839</v>
      </c>
      <c r="N900" s="454">
        <v>449</v>
      </c>
      <c r="O900" s="454">
        <v>322</v>
      </c>
      <c r="P900" s="454">
        <v>1204</v>
      </c>
      <c r="Q900" s="454">
        <v>4</v>
      </c>
      <c r="R900" s="455">
        <f t="shared" ref="R900:R963" si="14">AVERAGE(D900:O900)</f>
        <v>1204.3333333333333</v>
      </c>
    </row>
    <row r="901" spans="1:18" ht="13.5" customHeight="1" x14ac:dyDescent="0.2">
      <c r="A901" s="449" t="s">
        <v>1565</v>
      </c>
      <c r="B901" s="458" t="s">
        <v>1638</v>
      </c>
      <c r="C901" s="451" t="s">
        <v>1639</v>
      </c>
      <c r="D901" s="454">
        <v>502</v>
      </c>
      <c r="E901" s="454">
        <v>774</v>
      </c>
      <c r="F901" s="459">
        <v>1143</v>
      </c>
      <c r="G901" s="454">
        <v>1490</v>
      </c>
      <c r="H901" s="454">
        <v>1917</v>
      </c>
      <c r="I901" s="460">
        <v>2257</v>
      </c>
      <c r="J901" s="454">
        <v>2415</v>
      </c>
      <c r="K901" s="454">
        <v>2117</v>
      </c>
      <c r="L901" s="454">
        <v>1649</v>
      </c>
      <c r="M901" s="454">
        <v>1051</v>
      </c>
      <c r="N901" s="454">
        <v>541</v>
      </c>
      <c r="O901" s="454">
        <v>430</v>
      </c>
      <c r="P901" s="454">
        <v>1357</v>
      </c>
      <c r="Q901" s="454">
        <v>4</v>
      </c>
      <c r="R901" s="455">
        <f t="shared" si="14"/>
        <v>1357.1666666666667</v>
      </c>
    </row>
    <row r="902" spans="1:18" ht="13.5" customHeight="1" x14ac:dyDescent="0.2">
      <c r="A902" s="449" t="s">
        <v>1566</v>
      </c>
      <c r="B902" s="458" t="s">
        <v>1638</v>
      </c>
      <c r="C902" s="451" t="s">
        <v>1639</v>
      </c>
      <c r="D902" s="454">
        <v>376</v>
      </c>
      <c r="E902" s="454">
        <v>678</v>
      </c>
      <c r="F902" s="459">
        <v>1117</v>
      </c>
      <c r="G902" s="454">
        <v>1628</v>
      </c>
      <c r="H902" s="454">
        <v>1970</v>
      </c>
      <c r="I902" s="460">
        <v>2228</v>
      </c>
      <c r="J902" s="454">
        <v>2372</v>
      </c>
      <c r="K902" s="454">
        <v>2058</v>
      </c>
      <c r="L902" s="454">
        <v>1541</v>
      </c>
      <c r="M902" s="454">
        <v>960</v>
      </c>
      <c r="N902" s="454">
        <v>460</v>
      </c>
      <c r="O902" s="454">
        <v>309</v>
      </c>
      <c r="P902" s="454">
        <v>1308</v>
      </c>
      <c r="Q902" s="454">
        <v>4</v>
      </c>
      <c r="R902" s="455">
        <f t="shared" si="14"/>
        <v>1308.0833333333333</v>
      </c>
    </row>
    <row r="903" spans="1:18" ht="13.5" customHeight="1" x14ac:dyDescent="0.2">
      <c r="A903" s="449" t="s">
        <v>1567</v>
      </c>
      <c r="B903" s="458" t="s">
        <v>1638</v>
      </c>
      <c r="C903" s="451" t="s">
        <v>1639</v>
      </c>
      <c r="D903" s="454">
        <v>370</v>
      </c>
      <c r="E903" s="454">
        <v>638</v>
      </c>
      <c r="F903" s="460">
        <v>951</v>
      </c>
      <c r="G903" s="454">
        <v>1355</v>
      </c>
      <c r="H903" s="454">
        <v>1703</v>
      </c>
      <c r="I903" s="460">
        <v>1859</v>
      </c>
      <c r="J903" s="454">
        <v>2099</v>
      </c>
      <c r="K903" s="454">
        <v>1846</v>
      </c>
      <c r="L903" s="454">
        <v>1392</v>
      </c>
      <c r="M903" s="454">
        <v>807</v>
      </c>
      <c r="N903" s="454">
        <v>416</v>
      </c>
      <c r="O903" s="454">
        <v>307</v>
      </c>
      <c r="P903" s="454">
        <v>1145</v>
      </c>
      <c r="Q903" s="454">
        <v>4</v>
      </c>
      <c r="R903" s="455">
        <f t="shared" si="14"/>
        <v>1145.25</v>
      </c>
    </row>
    <row r="904" spans="1:18" ht="13.5" customHeight="1" x14ac:dyDescent="0.2">
      <c r="A904" s="449" t="s">
        <v>1568</v>
      </c>
      <c r="B904" s="458" t="s">
        <v>1638</v>
      </c>
      <c r="C904" s="451" t="s">
        <v>1639</v>
      </c>
      <c r="D904" s="454">
        <v>568</v>
      </c>
      <c r="E904" s="454">
        <v>845</v>
      </c>
      <c r="F904" s="459">
        <v>1165</v>
      </c>
      <c r="G904" s="454">
        <v>1495</v>
      </c>
      <c r="H904" s="454">
        <v>1739</v>
      </c>
      <c r="I904" s="460">
        <v>1841</v>
      </c>
      <c r="J904" s="454">
        <v>1869</v>
      </c>
      <c r="K904" s="454">
        <v>1636</v>
      </c>
      <c r="L904" s="454">
        <v>1309</v>
      </c>
      <c r="M904" s="454">
        <v>950</v>
      </c>
      <c r="N904" s="454">
        <v>614</v>
      </c>
      <c r="O904" s="454">
        <v>495</v>
      </c>
      <c r="P904" s="454">
        <v>1210</v>
      </c>
      <c r="Q904" s="454">
        <v>4</v>
      </c>
      <c r="R904" s="455">
        <f t="shared" si="14"/>
        <v>1210.5</v>
      </c>
    </row>
    <row r="905" spans="1:18" ht="13.5" customHeight="1" x14ac:dyDescent="0.2">
      <c r="A905" s="449" t="s">
        <v>1569</v>
      </c>
      <c r="B905" s="458" t="s">
        <v>1638</v>
      </c>
      <c r="C905" s="451" t="s">
        <v>1639</v>
      </c>
      <c r="D905" s="454">
        <v>483</v>
      </c>
      <c r="E905" s="454">
        <v>742</v>
      </c>
      <c r="F905" s="459">
        <v>1056</v>
      </c>
      <c r="G905" s="454">
        <v>1439</v>
      </c>
      <c r="H905" s="454">
        <v>1651</v>
      </c>
      <c r="I905" s="460">
        <v>1781</v>
      </c>
      <c r="J905" s="454">
        <v>1759</v>
      </c>
      <c r="K905" s="454">
        <v>1563</v>
      </c>
      <c r="L905" s="454">
        <v>1218</v>
      </c>
      <c r="M905" s="454">
        <v>820</v>
      </c>
      <c r="N905" s="454">
        <v>508</v>
      </c>
      <c r="O905" s="454">
        <v>412</v>
      </c>
      <c r="P905" s="454">
        <v>1119</v>
      </c>
      <c r="Q905" s="454">
        <v>4</v>
      </c>
      <c r="R905" s="455">
        <f t="shared" si="14"/>
        <v>1119.3333333333333</v>
      </c>
    </row>
    <row r="906" spans="1:18" ht="13.5" customHeight="1" x14ac:dyDescent="0.2">
      <c r="A906" s="449" t="s">
        <v>1570</v>
      </c>
      <c r="B906" s="458" t="s">
        <v>1638</v>
      </c>
      <c r="C906" s="451" t="s">
        <v>1639</v>
      </c>
      <c r="D906" s="454">
        <v>367</v>
      </c>
      <c r="E906" s="454">
        <v>647</v>
      </c>
      <c r="F906" s="460">
        <v>994</v>
      </c>
      <c r="G906" s="454">
        <v>1425</v>
      </c>
      <c r="H906" s="454">
        <v>1756</v>
      </c>
      <c r="I906" s="460">
        <v>1946</v>
      </c>
      <c r="J906" s="454">
        <v>1921</v>
      </c>
      <c r="K906" s="454">
        <v>1661</v>
      </c>
      <c r="L906" s="454">
        <v>1281</v>
      </c>
      <c r="M906" s="454">
        <v>825</v>
      </c>
      <c r="N906" s="454">
        <v>474</v>
      </c>
      <c r="O906" s="454">
        <v>327</v>
      </c>
      <c r="P906" s="454">
        <v>1135</v>
      </c>
      <c r="Q906" s="454">
        <v>4</v>
      </c>
      <c r="R906" s="455">
        <f t="shared" si="14"/>
        <v>1135.3333333333333</v>
      </c>
    </row>
    <row r="907" spans="1:18" ht="13.5" customHeight="1" x14ac:dyDescent="0.2">
      <c r="A907" s="449" t="s">
        <v>1571</v>
      </c>
      <c r="B907" s="458" t="s">
        <v>1638</v>
      </c>
      <c r="C907" s="451" t="s">
        <v>1639</v>
      </c>
      <c r="D907" s="454">
        <v>580</v>
      </c>
      <c r="E907" s="454">
        <v>840</v>
      </c>
      <c r="F907" s="454">
        <v>1164</v>
      </c>
      <c r="G907" s="454">
        <v>1497</v>
      </c>
      <c r="H907" s="454">
        <v>1754</v>
      </c>
      <c r="I907" s="460">
        <v>1889</v>
      </c>
      <c r="J907" s="454">
        <v>1852</v>
      </c>
      <c r="K907" s="454">
        <v>1639</v>
      </c>
      <c r="L907" s="454">
        <v>1304</v>
      </c>
      <c r="M907" s="454">
        <v>967</v>
      </c>
      <c r="N907" s="454">
        <v>630</v>
      </c>
      <c r="O907" s="454">
        <v>512</v>
      </c>
      <c r="P907" s="454">
        <v>1219</v>
      </c>
      <c r="Q907" s="454">
        <v>4</v>
      </c>
      <c r="R907" s="455">
        <f t="shared" si="14"/>
        <v>1219</v>
      </c>
    </row>
    <row r="908" spans="1:18" ht="13.5" customHeight="1" x14ac:dyDescent="0.2">
      <c r="A908" s="449" t="s">
        <v>1572</v>
      </c>
      <c r="B908" s="458" t="s">
        <v>1638</v>
      </c>
      <c r="C908" s="451" t="s">
        <v>1639</v>
      </c>
      <c r="D908" s="454">
        <v>611</v>
      </c>
      <c r="E908" s="454">
        <v>911</v>
      </c>
      <c r="F908" s="454">
        <v>1190</v>
      </c>
      <c r="G908" s="454">
        <v>1537</v>
      </c>
      <c r="H908" s="454">
        <v>1778</v>
      </c>
      <c r="I908" s="460">
        <v>1917</v>
      </c>
      <c r="J908" s="454">
        <v>1891</v>
      </c>
      <c r="K908" s="454">
        <v>1698</v>
      </c>
      <c r="L908" s="454">
        <v>1357</v>
      </c>
      <c r="M908" s="454">
        <v>1015</v>
      </c>
      <c r="N908" s="454">
        <v>678</v>
      </c>
      <c r="O908" s="454">
        <v>549</v>
      </c>
      <c r="P908" s="454">
        <v>1261</v>
      </c>
      <c r="Q908" s="454">
        <v>4</v>
      </c>
      <c r="R908" s="455">
        <f t="shared" si="14"/>
        <v>1261</v>
      </c>
    </row>
    <row r="909" spans="1:18" ht="13.5" customHeight="1" x14ac:dyDescent="0.2">
      <c r="A909" s="449" t="s">
        <v>1573</v>
      </c>
      <c r="B909" s="458" t="s">
        <v>1638</v>
      </c>
      <c r="C909" s="451" t="s">
        <v>1639</v>
      </c>
      <c r="D909" s="454">
        <v>520</v>
      </c>
      <c r="E909" s="454">
        <v>760</v>
      </c>
      <c r="F909" s="454">
        <v>1080</v>
      </c>
      <c r="G909" s="454">
        <v>1440</v>
      </c>
      <c r="H909" s="454">
        <v>1691</v>
      </c>
      <c r="I909" s="460">
        <v>1846</v>
      </c>
      <c r="J909" s="454">
        <v>1823</v>
      </c>
      <c r="K909" s="454">
        <v>1636</v>
      </c>
      <c r="L909" s="454">
        <v>1306</v>
      </c>
      <c r="M909" s="454">
        <v>919</v>
      </c>
      <c r="N909" s="454">
        <v>566</v>
      </c>
      <c r="O909" s="454">
        <v>459</v>
      </c>
      <c r="P909" s="454">
        <v>1170</v>
      </c>
      <c r="Q909" s="454">
        <v>4</v>
      </c>
      <c r="R909" s="455">
        <f t="shared" si="14"/>
        <v>1170.5</v>
      </c>
    </row>
    <row r="910" spans="1:18" ht="13.5" customHeight="1" x14ac:dyDescent="0.2">
      <c r="A910" s="449" t="s">
        <v>1574</v>
      </c>
      <c r="B910" s="458" t="s">
        <v>1638</v>
      </c>
      <c r="C910" s="451" t="s">
        <v>1639</v>
      </c>
      <c r="D910" s="454">
        <v>538</v>
      </c>
      <c r="E910" s="454">
        <v>789</v>
      </c>
      <c r="F910" s="454">
        <v>1115</v>
      </c>
      <c r="G910" s="454">
        <v>1455</v>
      </c>
      <c r="H910" s="454">
        <v>1710</v>
      </c>
      <c r="I910" s="460">
        <v>1843</v>
      </c>
      <c r="J910" s="454">
        <v>1852</v>
      </c>
      <c r="K910" s="454">
        <v>1616</v>
      </c>
      <c r="L910" s="454">
        <v>1261</v>
      </c>
      <c r="M910" s="454">
        <v>888</v>
      </c>
      <c r="N910" s="454">
        <v>548</v>
      </c>
      <c r="O910" s="454">
        <v>455</v>
      </c>
      <c r="P910" s="454">
        <v>1173</v>
      </c>
      <c r="Q910" s="454">
        <v>4</v>
      </c>
      <c r="R910" s="455">
        <f t="shared" si="14"/>
        <v>1172.5</v>
      </c>
    </row>
    <row r="911" spans="1:18" ht="13.5" customHeight="1" x14ac:dyDescent="0.2">
      <c r="A911" s="449" t="s">
        <v>1575</v>
      </c>
      <c r="B911" s="458" t="s">
        <v>1638</v>
      </c>
      <c r="C911" s="451" t="s">
        <v>1639</v>
      </c>
      <c r="D911" s="454">
        <v>550</v>
      </c>
      <c r="E911" s="454">
        <v>803</v>
      </c>
      <c r="F911" s="454">
        <v>1122</v>
      </c>
      <c r="G911" s="454">
        <v>1457</v>
      </c>
      <c r="H911" s="454">
        <v>1714</v>
      </c>
      <c r="I911" s="460">
        <v>1846</v>
      </c>
      <c r="J911" s="454">
        <v>1830</v>
      </c>
      <c r="K911" s="454">
        <v>1603</v>
      </c>
      <c r="L911" s="454">
        <v>1233</v>
      </c>
      <c r="M911" s="454">
        <v>884</v>
      </c>
      <c r="N911" s="454">
        <v>545</v>
      </c>
      <c r="O911" s="454">
        <v>449</v>
      </c>
      <c r="P911" s="454">
        <v>1170</v>
      </c>
      <c r="Q911" s="454">
        <v>4</v>
      </c>
      <c r="R911" s="455">
        <f t="shared" si="14"/>
        <v>1169.6666666666667</v>
      </c>
    </row>
    <row r="912" spans="1:18" ht="13.5" customHeight="1" x14ac:dyDescent="0.2">
      <c r="A912" s="449" t="s">
        <v>1576</v>
      </c>
      <c r="B912" s="458" t="s">
        <v>1638</v>
      </c>
      <c r="C912" s="451" t="s">
        <v>1639</v>
      </c>
      <c r="D912" s="454">
        <v>579</v>
      </c>
      <c r="E912" s="454">
        <v>859</v>
      </c>
      <c r="F912" s="454">
        <v>1150</v>
      </c>
      <c r="G912" s="454">
        <v>1477</v>
      </c>
      <c r="H912" s="454">
        <v>1738</v>
      </c>
      <c r="I912" s="460">
        <v>1847</v>
      </c>
      <c r="J912" s="454">
        <v>1840</v>
      </c>
      <c r="K912" s="454">
        <v>1640</v>
      </c>
      <c r="L912" s="454">
        <v>1301</v>
      </c>
      <c r="M912" s="454">
        <v>937</v>
      </c>
      <c r="N912" s="454">
        <v>604</v>
      </c>
      <c r="O912" s="454">
        <v>501</v>
      </c>
      <c r="P912" s="454">
        <v>1206</v>
      </c>
      <c r="Q912" s="454">
        <v>4</v>
      </c>
      <c r="R912" s="455">
        <f t="shared" si="14"/>
        <v>1206.0833333333333</v>
      </c>
    </row>
    <row r="913" spans="1:18" ht="13.5" customHeight="1" x14ac:dyDescent="0.2">
      <c r="A913" s="449" t="s">
        <v>1577</v>
      </c>
      <c r="B913" s="458" t="s">
        <v>1638</v>
      </c>
      <c r="C913" s="451" t="s">
        <v>1639</v>
      </c>
      <c r="D913" s="454">
        <v>852</v>
      </c>
      <c r="E913" s="454">
        <v>1111</v>
      </c>
      <c r="F913" s="454">
        <v>1471</v>
      </c>
      <c r="G913" s="454">
        <v>1856</v>
      </c>
      <c r="H913" s="454">
        <v>1992</v>
      </c>
      <c r="I913" s="454">
        <v>1943</v>
      </c>
      <c r="J913" s="454">
        <v>1951</v>
      </c>
      <c r="K913" s="454">
        <v>1723</v>
      </c>
      <c r="L913" s="454">
        <v>1438</v>
      </c>
      <c r="M913" s="454">
        <v>1210</v>
      </c>
      <c r="N913" s="454">
        <v>972</v>
      </c>
      <c r="O913" s="454">
        <v>797</v>
      </c>
      <c r="P913" s="454">
        <v>1443</v>
      </c>
      <c r="Q913" s="454">
        <v>4</v>
      </c>
      <c r="R913" s="455">
        <f t="shared" si="14"/>
        <v>1443</v>
      </c>
    </row>
    <row r="914" spans="1:18" ht="13.5" customHeight="1" x14ac:dyDescent="0.2">
      <c r="A914" s="449" t="s">
        <v>1578</v>
      </c>
      <c r="B914" s="458" t="s">
        <v>1638</v>
      </c>
      <c r="C914" s="451" t="s">
        <v>1639</v>
      </c>
      <c r="D914" s="454">
        <v>824</v>
      </c>
      <c r="E914" s="454">
        <v>1073</v>
      </c>
      <c r="F914" s="454">
        <v>1415</v>
      </c>
      <c r="G914" s="454">
        <v>1781</v>
      </c>
      <c r="H914" s="454">
        <v>1944</v>
      </c>
      <c r="I914" s="454">
        <v>1975</v>
      </c>
      <c r="J914" s="454">
        <v>1949</v>
      </c>
      <c r="K914" s="454">
        <v>1756</v>
      </c>
      <c r="L914" s="454">
        <v>1497</v>
      </c>
      <c r="M914" s="454">
        <v>1206</v>
      </c>
      <c r="N914" s="454">
        <v>923</v>
      </c>
      <c r="O914" s="454">
        <v>761</v>
      </c>
      <c r="P914" s="454">
        <v>1425</v>
      </c>
      <c r="Q914" s="454">
        <v>4</v>
      </c>
      <c r="R914" s="455">
        <f t="shared" si="14"/>
        <v>1425.3333333333333</v>
      </c>
    </row>
    <row r="915" spans="1:18" ht="13.5" customHeight="1" x14ac:dyDescent="0.2">
      <c r="A915" s="449" t="s">
        <v>1579</v>
      </c>
      <c r="B915" s="458" t="s">
        <v>1638</v>
      </c>
      <c r="C915" s="451" t="s">
        <v>1639</v>
      </c>
      <c r="D915" s="454">
        <v>812</v>
      </c>
      <c r="E915" s="454">
        <v>1057</v>
      </c>
      <c r="F915" s="454">
        <v>1401</v>
      </c>
      <c r="G915" s="454">
        <v>1767</v>
      </c>
      <c r="H915" s="454">
        <v>1936</v>
      </c>
      <c r="I915" s="454">
        <v>1988</v>
      </c>
      <c r="J915" s="454">
        <v>1945</v>
      </c>
      <c r="K915" s="454">
        <v>1780</v>
      </c>
      <c r="L915" s="454">
        <v>1493</v>
      </c>
      <c r="M915" s="454">
        <v>1196</v>
      </c>
      <c r="N915" s="454">
        <v>888</v>
      </c>
      <c r="O915" s="454">
        <v>741</v>
      </c>
      <c r="P915" s="454">
        <v>1417</v>
      </c>
      <c r="Q915" s="454">
        <v>4</v>
      </c>
      <c r="R915" s="455">
        <f t="shared" si="14"/>
        <v>1417</v>
      </c>
    </row>
    <row r="916" spans="1:18" ht="13.5" customHeight="1" x14ac:dyDescent="0.2">
      <c r="A916" s="449" t="s">
        <v>1580</v>
      </c>
      <c r="B916" s="458" t="s">
        <v>1638</v>
      </c>
      <c r="C916" s="451" t="s">
        <v>1639</v>
      </c>
      <c r="D916" s="454">
        <v>435</v>
      </c>
      <c r="E916" s="454">
        <v>703</v>
      </c>
      <c r="F916" s="454">
        <v>1115</v>
      </c>
      <c r="G916" s="454">
        <v>1559</v>
      </c>
      <c r="H916" s="454">
        <v>1815</v>
      </c>
      <c r="I916" s="454">
        <v>1996</v>
      </c>
      <c r="J916" s="454">
        <v>2073</v>
      </c>
      <c r="K916" s="454">
        <v>1799</v>
      </c>
      <c r="L916" s="454">
        <v>1358</v>
      </c>
      <c r="M916" s="454">
        <v>880</v>
      </c>
      <c r="N916" s="454">
        <v>520</v>
      </c>
      <c r="O916" s="454">
        <v>372</v>
      </c>
      <c r="P916" s="454">
        <v>1219</v>
      </c>
      <c r="Q916" s="454">
        <v>4</v>
      </c>
      <c r="R916" s="455">
        <f t="shared" si="14"/>
        <v>1218.75</v>
      </c>
    </row>
    <row r="917" spans="1:18" ht="13.5" customHeight="1" x14ac:dyDescent="0.2">
      <c r="A917" s="449" t="s">
        <v>1581</v>
      </c>
      <c r="B917" s="458" t="s">
        <v>1638</v>
      </c>
      <c r="C917" s="451" t="s">
        <v>1639</v>
      </c>
      <c r="D917" s="454">
        <v>483</v>
      </c>
      <c r="E917" s="454">
        <v>770</v>
      </c>
      <c r="F917" s="454">
        <v>1131</v>
      </c>
      <c r="G917" s="454">
        <v>1556</v>
      </c>
      <c r="H917" s="454">
        <v>1845</v>
      </c>
      <c r="I917" s="454">
        <v>2014</v>
      </c>
      <c r="J917" s="454">
        <v>2094</v>
      </c>
      <c r="K917" s="454">
        <v>1817</v>
      </c>
      <c r="L917" s="454">
        <v>1404</v>
      </c>
      <c r="M917" s="454">
        <v>919</v>
      </c>
      <c r="N917" s="454">
        <v>562</v>
      </c>
      <c r="O917" s="454">
        <v>403</v>
      </c>
      <c r="P917" s="454">
        <v>1250</v>
      </c>
      <c r="Q917" s="454">
        <v>4</v>
      </c>
      <c r="R917" s="455">
        <f t="shared" si="14"/>
        <v>1249.8333333333333</v>
      </c>
    </row>
    <row r="918" spans="1:18" ht="13.5" customHeight="1" x14ac:dyDescent="0.2">
      <c r="A918" s="449" t="s">
        <v>1582</v>
      </c>
      <c r="B918" s="458" t="s">
        <v>1638</v>
      </c>
      <c r="C918" s="451" t="s">
        <v>1639</v>
      </c>
      <c r="D918" s="454">
        <v>506</v>
      </c>
      <c r="E918" s="454">
        <v>772</v>
      </c>
      <c r="F918" s="454">
        <v>1135</v>
      </c>
      <c r="G918" s="454">
        <v>1521</v>
      </c>
      <c r="H918" s="454">
        <v>1857</v>
      </c>
      <c r="I918" s="454">
        <v>2054</v>
      </c>
      <c r="J918" s="454">
        <v>2099</v>
      </c>
      <c r="K918" s="454">
        <v>1853</v>
      </c>
      <c r="L918" s="454">
        <v>1428</v>
      </c>
      <c r="M918" s="454">
        <v>927</v>
      </c>
      <c r="N918" s="454">
        <v>553</v>
      </c>
      <c r="O918" s="454">
        <v>421</v>
      </c>
      <c r="P918" s="454">
        <v>1261</v>
      </c>
      <c r="Q918" s="454">
        <v>4</v>
      </c>
      <c r="R918" s="455">
        <f t="shared" si="14"/>
        <v>1260.5</v>
      </c>
    </row>
    <row r="919" spans="1:18" ht="13.5" customHeight="1" x14ac:dyDescent="0.2">
      <c r="A919" s="449" t="s">
        <v>1583</v>
      </c>
      <c r="B919" s="458" t="s">
        <v>1638</v>
      </c>
      <c r="C919" s="451" t="s">
        <v>1639</v>
      </c>
      <c r="D919" s="454">
        <v>599</v>
      </c>
      <c r="E919" s="454">
        <v>844</v>
      </c>
      <c r="F919" s="454">
        <v>1212</v>
      </c>
      <c r="G919" s="454">
        <v>1588</v>
      </c>
      <c r="H919" s="454">
        <v>1906</v>
      </c>
      <c r="I919" s="454">
        <v>2092</v>
      </c>
      <c r="J919" s="454">
        <v>2150</v>
      </c>
      <c r="K919" s="454">
        <v>1920</v>
      </c>
      <c r="L919" s="454">
        <v>1505</v>
      </c>
      <c r="M919" s="454">
        <v>1016</v>
      </c>
      <c r="N919" s="454">
        <v>619</v>
      </c>
      <c r="O919" s="454">
        <v>503</v>
      </c>
      <c r="P919" s="454">
        <v>1329</v>
      </c>
      <c r="Q919" s="454">
        <v>4</v>
      </c>
      <c r="R919" s="455">
        <f t="shared" si="14"/>
        <v>1329.5</v>
      </c>
    </row>
    <row r="920" spans="1:18" ht="13.5" customHeight="1" x14ac:dyDescent="0.2">
      <c r="A920" s="449" t="s">
        <v>1584</v>
      </c>
      <c r="B920" s="458" t="s">
        <v>1638</v>
      </c>
      <c r="C920" s="451" t="s">
        <v>1639</v>
      </c>
      <c r="D920" s="454">
        <v>507</v>
      </c>
      <c r="E920" s="454">
        <v>777</v>
      </c>
      <c r="F920" s="454">
        <v>1169</v>
      </c>
      <c r="G920" s="454">
        <v>1523</v>
      </c>
      <c r="H920" s="454">
        <v>1751</v>
      </c>
      <c r="I920" s="460">
        <v>1979</v>
      </c>
      <c r="J920" s="454">
        <v>2046</v>
      </c>
      <c r="K920" s="454">
        <v>1762</v>
      </c>
      <c r="L920" s="454">
        <v>1393</v>
      </c>
      <c r="M920" s="454">
        <v>947</v>
      </c>
      <c r="N920" s="454">
        <v>576</v>
      </c>
      <c r="O920" s="454">
        <v>442</v>
      </c>
      <c r="P920" s="454">
        <v>1239</v>
      </c>
      <c r="Q920" s="454">
        <v>4</v>
      </c>
      <c r="R920" s="455">
        <f t="shared" si="14"/>
        <v>1239.3333333333333</v>
      </c>
    </row>
    <row r="921" spans="1:18" ht="13.5" customHeight="1" x14ac:dyDescent="0.2">
      <c r="A921" s="449" t="s">
        <v>1585</v>
      </c>
      <c r="B921" s="458" t="s">
        <v>1638</v>
      </c>
      <c r="C921" s="451" t="s">
        <v>1639</v>
      </c>
      <c r="D921" s="454">
        <v>682</v>
      </c>
      <c r="E921" s="454">
        <v>901</v>
      </c>
      <c r="F921" s="454">
        <v>1249</v>
      </c>
      <c r="G921" s="454">
        <v>1616</v>
      </c>
      <c r="H921" s="454">
        <v>1853</v>
      </c>
      <c r="I921" s="460">
        <v>1928</v>
      </c>
      <c r="J921" s="454">
        <v>1885</v>
      </c>
      <c r="K921" s="454">
        <v>1780</v>
      </c>
      <c r="L921" s="454">
        <v>1483</v>
      </c>
      <c r="M921" s="454">
        <v>1128</v>
      </c>
      <c r="N921" s="454">
        <v>790</v>
      </c>
      <c r="O921" s="454">
        <v>611</v>
      </c>
      <c r="P921" s="454">
        <v>1325</v>
      </c>
      <c r="Q921" s="454">
        <v>4</v>
      </c>
      <c r="R921" s="455">
        <f t="shared" si="14"/>
        <v>1325.5</v>
      </c>
    </row>
    <row r="922" spans="1:18" ht="13.5" customHeight="1" x14ac:dyDescent="0.2">
      <c r="A922" s="449" t="s">
        <v>1586</v>
      </c>
      <c r="B922" s="458" t="s">
        <v>1638</v>
      </c>
      <c r="C922" s="451" t="s">
        <v>1639</v>
      </c>
      <c r="D922" s="454">
        <v>722</v>
      </c>
      <c r="E922" s="454">
        <v>965</v>
      </c>
      <c r="F922" s="454">
        <v>1295</v>
      </c>
      <c r="G922" s="454">
        <v>1662</v>
      </c>
      <c r="H922" s="454">
        <v>1859</v>
      </c>
      <c r="I922" s="460">
        <v>1950</v>
      </c>
      <c r="J922" s="454">
        <v>1915</v>
      </c>
      <c r="K922" s="454">
        <v>1796</v>
      </c>
      <c r="L922" s="454">
        <v>1471</v>
      </c>
      <c r="M922" s="454">
        <v>1170</v>
      </c>
      <c r="N922" s="454">
        <v>824</v>
      </c>
      <c r="O922" s="454">
        <v>654</v>
      </c>
      <c r="P922" s="454">
        <v>1357</v>
      </c>
      <c r="Q922" s="454">
        <v>4</v>
      </c>
      <c r="R922" s="455">
        <f t="shared" si="14"/>
        <v>1356.9166666666667</v>
      </c>
    </row>
    <row r="923" spans="1:18" ht="13.5" customHeight="1" x14ac:dyDescent="0.2">
      <c r="A923" s="449" t="s">
        <v>1587</v>
      </c>
      <c r="B923" s="458" t="s">
        <v>1638</v>
      </c>
      <c r="C923" s="451" t="s">
        <v>1639</v>
      </c>
      <c r="D923" s="454">
        <v>692</v>
      </c>
      <c r="E923" s="454">
        <v>933</v>
      </c>
      <c r="F923" s="454">
        <v>1270</v>
      </c>
      <c r="G923" s="454">
        <v>1656</v>
      </c>
      <c r="H923" s="454">
        <v>1877</v>
      </c>
      <c r="I923" s="460">
        <v>1970</v>
      </c>
      <c r="J923" s="454">
        <v>1925</v>
      </c>
      <c r="K923" s="454">
        <v>1808</v>
      </c>
      <c r="L923" s="454">
        <v>1484</v>
      </c>
      <c r="M923" s="454">
        <v>1160</v>
      </c>
      <c r="N923" s="454">
        <v>798</v>
      </c>
      <c r="O923" s="454">
        <v>625</v>
      </c>
      <c r="P923" s="454">
        <v>1350</v>
      </c>
      <c r="Q923" s="454">
        <v>4</v>
      </c>
      <c r="R923" s="455">
        <f t="shared" si="14"/>
        <v>1349.8333333333333</v>
      </c>
    </row>
    <row r="924" spans="1:18" ht="13.5" customHeight="1" x14ac:dyDescent="0.2">
      <c r="A924" s="449" t="s">
        <v>1588</v>
      </c>
      <c r="B924" s="458" t="s">
        <v>1638</v>
      </c>
      <c r="C924" s="451" t="s">
        <v>1639</v>
      </c>
      <c r="D924" s="454">
        <v>696</v>
      </c>
      <c r="E924" s="454">
        <v>939</v>
      </c>
      <c r="F924" s="454">
        <v>1275</v>
      </c>
      <c r="G924" s="454">
        <v>1661</v>
      </c>
      <c r="H924" s="454">
        <v>1860</v>
      </c>
      <c r="I924" s="460">
        <v>2008</v>
      </c>
      <c r="J924" s="454">
        <v>1967</v>
      </c>
      <c r="K924" s="454">
        <v>1832</v>
      </c>
      <c r="L924" s="454">
        <v>1508</v>
      </c>
      <c r="M924" s="454">
        <v>1165</v>
      </c>
      <c r="N924" s="454">
        <v>794</v>
      </c>
      <c r="O924" s="454">
        <v>626</v>
      </c>
      <c r="P924" s="454">
        <v>1361</v>
      </c>
      <c r="Q924" s="454">
        <v>4</v>
      </c>
      <c r="R924" s="455">
        <f t="shared" si="14"/>
        <v>1360.9166666666667</v>
      </c>
    </row>
    <row r="925" spans="1:18" ht="13.5" customHeight="1" x14ac:dyDescent="0.2">
      <c r="A925" s="449" t="s">
        <v>1589</v>
      </c>
      <c r="B925" s="458" t="s">
        <v>1638</v>
      </c>
      <c r="C925" s="451" t="s">
        <v>1639</v>
      </c>
      <c r="D925" s="454">
        <v>654</v>
      </c>
      <c r="E925" s="454">
        <v>896</v>
      </c>
      <c r="F925" s="454">
        <v>1261</v>
      </c>
      <c r="G925" s="454">
        <v>1614</v>
      </c>
      <c r="H925" s="454">
        <v>1798</v>
      </c>
      <c r="I925" s="460">
        <v>1955</v>
      </c>
      <c r="J925" s="454">
        <v>1886</v>
      </c>
      <c r="K925" s="454">
        <v>1778</v>
      </c>
      <c r="L925" s="454">
        <v>1467</v>
      </c>
      <c r="M925" s="454">
        <v>1128</v>
      </c>
      <c r="N925" s="454">
        <v>772</v>
      </c>
      <c r="O925" s="454">
        <v>583</v>
      </c>
      <c r="P925" s="454">
        <v>1316</v>
      </c>
      <c r="Q925" s="454">
        <v>4</v>
      </c>
      <c r="R925" s="455">
        <f t="shared" si="14"/>
        <v>1316</v>
      </c>
    </row>
    <row r="926" spans="1:18" ht="13.5" customHeight="1" x14ac:dyDescent="0.2">
      <c r="A926" s="449" t="s">
        <v>1590</v>
      </c>
      <c r="B926" s="458" t="s">
        <v>1638</v>
      </c>
      <c r="C926" s="451" t="s">
        <v>1639</v>
      </c>
      <c r="D926" s="454">
        <v>959</v>
      </c>
      <c r="E926" s="454">
        <v>1205</v>
      </c>
      <c r="F926" s="454">
        <v>1557</v>
      </c>
      <c r="G926" s="454">
        <v>1936</v>
      </c>
      <c r="H926" s="454">
        <v>2052</v>
      </c>
      <c r="I926" s="454">
        <v>2245</v>
      </c>
      <c r="J926" s="454">
        <v>2252</v>
      </c>
      <c r="K926" s="454">
        <v>2006</v>
      </c>
      <c r="L926" s="454">
        <v>1701</v>
      </c>
      <c r="M926" s="454">
        <v>1375</v>
      </c>
      <c r="N926" s="454">
        <v>1046</v>
      </c>
      <c r="O926" s="454">
        <v>902</v>
      </c>
      <c r="P926" s="454">
        <v>1603</v>
      </c>
      <c r="Q926" s="454">
        <v>4</v>
      </c>
      <c r="R926" s="455">
        <f t="shared" si="14"/>
        <v>1603</v>
      </c>
    </row>
    <row r="927" spans="1:18" ht="13.5" customHeight="1" x14ac:dyDescent="0.2">
      <c r="A927" s="449" t="s">
        <v>1591</v>
      </c>
      <c r="B927" s="458" t="s">
        <v>1638</v>
      </c>
      <c r="C927" s="451" t="s">
        <v>1639</v>
      </c>
      <c r="D927" s="454">
        <v>882</v>
      </c>
      <c r="E927" s="454">
        <v>1232</v>
      </c>
      <c r="F927" s="454">
        <v>1607</v>
      </c>
      <c r="G927" s="454">
        <v>1972</v>
      </c>
      <c r="H927" s="454">
        <v>2156</v>
      </c>
      <c r="I927" s="454">
        <v>2357</v>
      </c>
      <c r="J927" s="454">
        <v>2313</v>
      </c>
      <c r="K927" s="454">
        <v>2021</v>
      </c>
      <c r="L927" s="454">
        <v>1748</v>
      </c>
      <c r="M927" s="454">
        <v>1388</v>
      </c>
      <c r="N927" s="454">
        <v>1057</v>
      </c>
      <c r="O927" s="454">
        <v>877</v>
      </c>
      <c r="P927" s="454">
        <v>1634</v>
      </c>
      <c r="Q927" s="454">
        <v>4</v>
      </c>
      <c r="R927" s="455">
        <f t="shared" si="14"/>
        <v>1634.1666666666667</v>
      </c>
    </row>
    <row r="928" spans="1:18" ht="13.5" customHeight="1" x14ac:dyDescent="0.2">
      <c r="A928" s="449" t="s">
        <v>1592</v>
      </c>
      <c r="B928" s="458" t="s">
        <v>1638</v>
      </c>
      <c r="C928" s="451" t="s">
        <v>1639</v>
      </c>
      <c r="D928" s="454">
        <v>868</v>
      </c>
      <c r="E928" s="454">
        <v>1085</v>
      </c>
      <c r="F928" s="454">
        <v>1368</v>
      </c>
      <c r="G928" s="454">
        <v>1699</v>
      </c>
      <c r="H928" s="454">
        <v>1812</v>
      </c>
      <c r="I928" s="454">
        <v>2094</v>
      </c>
      <c r="J928" s="454">
        <v>2135</v>
      </c>
      <c r="K928" s="454">
        <v>2023</v>
      </c>
      <c r="L928" s="454">
        <v>1645</v>
      </c>
      <c r="M928" s="454">
        <v>1313</v>
      </c>
      <c r="N928" s="454">
        <v>956</v>
      </c>
      <c r="O928" s="454">
        <v>806</v>
      </c>
      <c r="P928" s="454">
        <v>1484</v>
      </c>
      <c r="Q928" s="454">
        <v>4</v>
      </c>
      <c r="R928" s="455">
        <f t="shared" si="14"/>
        <v>1483.6666666666667</v>
      </c>
    </row>
    <row r="929" spans="1:18" ht="13.5" customHeight="1" x14ac:dyDescent="0.2">
      <c r="A929" s="449" t="s">
        <v>1593</v>
      </c>
      <c r="B929" s="458" t="s">
        <v>1638</v>
      </c>
      <c r="C929" s="451" t="s">
        <v>1639</v>
      </c>
      <c r="D929" s="454">
        <v>899</v>
      </c>
      <c r="E929" s="454">
        <v>1152</v>
      </c>
      <c r="F929" s="454">
        <v>1425</v>
      </c>
      <c r="G929" s="454">
        <v>1673</v>
      </c>
      <c r="H929" s="454">
        <v>1913</v>
      </c>
      <c r="I929" s="454">
        <v>2051</v>
      </c>
      <c r="J929" s="454">
        <v>2061</v>
      </c>
      <c r="K929" s="454">
        <v>1951</v>
      </c>
      <c r="L929" s="454">
        <v>1616</v>
      </c>
      <c r="M929" s="454">
        <v>1386</v>
      </c>
      <c r="N929" s="454">
        <v>1040</v>
      </c>
      <c r="O929" s="454">
        <v>846</v>
      </c>
      <c r="P929" s="454">
        <v>1501</v>
      </c>
      <c r="Q929" s="454">
        <v>4</v>
      </c>
      <c r="R929" s="455">
        <f t="shared" si="14"/>
        <v>1501.0833333333333</v>
      </c>
    </row>
    <row r="930" spans="1:18" ht="13.5" customHeight="1" x14ac:dyDescent="0.2">
      <c r="A930" s="449" t="s">
        <v>1594</v>
      </c>
      <c r="B930" s="458" t="s">
        <v>1638</v>
      </c>
      <c r="C930" s="451" t="s">
        <v>1639</v>
      </c>
      <c r="D930" s="454">
        <v>891</v>
      </c>
      <c r="E930" s="454">
        <v>1113</v>
      </c>
      <c r="F930" s="454">
        <v>1385</v>
      </c>
      <c r="G930" s="454">
        <v>1636</v>
      </c>
      <c r="H930" s="454">
        <v>1850</v>
      </c>
      <c r="I930" s="454">
        <v>2072</v>
      </c>
      <c r="J930" s="454">
        <v>2110</v>
      </c>
      <c r="K930" s="454">
        <v>1975</v>
      </c>
      <c r="L930" s="454">
        <v>1662</v>
      </c>
      <c r="M930" s="454">
        <v>1397</v>
      </c>
      <c r="N930" s="454">
        <v>1040</v>
      </c>
      <c r="O930" s="454">
        <v>838</v>
      </c>
      <c r="P930" s="454">
        <v>1497</v>
      </c>
      <c r="Q930" s="454">
        <v>4</v>
      </c>
      <c r="R930" s="455">
        <f t="shared" si="14"/>
        <v>1497.4166666666667</v>
      </c>
    </row>
    <row r="931" spans="1:18" ht="13.5" customHeight="1" x14ac:dyDescent="0.2">
      <c r="A931" s="449" t="s">
        <v>1595</v>
      </c>
      <c r="B931" s="458" t="s">
        <v>1638</v>
      </c>
      <c r="C931" s="451" t="s">
        <v>1639</v>
      </c>
      <c r="D931" s="454">
        <v>837</v>
      </c>
      <c r="E931" s="454">
        <v>1089</v>
      </c>
      <c r="F931" s="454">
        <v>1388</v>
      </c>
      <c r="G931" s="454">
        <v>1744</v>
      </c>
      <c r="H931" s="454">
        <v>1860</v>
      </c>
      <c r="I931" s="454">
        <v>2087</v>
      </c>
      <c r="J931" s="454">
        <v>2171</v>
      </c>
      <c r="K931" s="454">
        <v>1981</v>
      </c>
      <c r="L931" s="454">
        <v>1623</v>
      </c>
      <c r="M931" s="454">
        <v>1263</v>
      </c>
      <c r="N931" s="454">
        <v>933</v>
      </c>
      <c r="O931" s="454">
        <v>795</v>
      </c>
      <c r="P931" s="454">
        <v>1481</v>
      </c>
      <c r="Q931" s="454">
        <v>4</v>
      </c>
      <c r="R931" s="455">
        <f t="shared" si="14"/>
        <v>1480.9166666666667</v>
      </c>
    </row>
    <row r="932" spans="1:18" ht="13.5" customHeight="1" x14ac:dyDescent="0.2">
      <c r="A932" s="449" t="s">
        <v>1596</v>
      </c>
      <c r="B932" s="458" t="s">
        <v>1638</v>
      </c>
      <c r="C932" s="451" t="s">
        <v>1639</v>
      </c>
      <c r="D932" s="454">
        <v>1125</v>
      </c>
      <c r="E932" s="454">
        <v>1406</v>
      </c>
      <c r="F932" s="454">
        <v>1856</v>
      </c>
      <c r="G932" s="454">
        <v>2259</v>
      </c>
      <c r="H932" s="454">
        <v>2494</v>
      </c>
      <c r="I932" s="454">
        <v>2537</v>
      </c>
      <c r="J932" s="454">
        <v>2276</v>
      </c>
      <c r="K932" s="454">
        <v>2106</v>
      </c>
      <c r="L932" s="454">
        <v>1895</v>
      </c>
      <c r="M932" s="454">
        <v>1574</v>
      </c>
      <c r="N932" s="454">
        <v>1244</v>
      </c>
      <c r="O932" s="454">
        <v>1048</v>
      </c>
      <c r="P932" s="454">
        <v>1818</v>
      </c>
      <c r="Q932" s="454">
        <v>4</v>
      </c>
      <c r="R932" s="455">
        <f t="shared" si="14"/>
        <v>1818.3333333333333</v>
      </c>
    </row>
    <row r="933" spans="1:18" ht="13.5" customHeight="1" x14ac:dyDescent="0.2">
      <c r="A933" s="449" t="s">
        <v>1597</v>
      </c>
      <c r="B933" s="458" t="s">
        <v>1638</v>
      </c>
      <c r="C933" s="451" t="s">
        <v>1639</v>
      </c>
      <c r="D933" s="454">
        <v>832</v>
      </c>
      <c r="E933" s="454">
        <v>1022</v>
      </c>
      <c r="F933" s="454">
        <v>1333</v>
      </c>
      <c r="G933" s="454">
        <v>1635</v>
      </c>
      <c r="H933" s="454">
        <v>1828</v>
      </c>
      <c r="I933" s="454">
        <v>1915</v>
      </c>
      <c r="J933" s="454">
        <v>1930</v>
      </c>
      <c r="K933" s="454">
        <v>1804</v>
      </c>
      <c r="L933" s="454">
        <v>1567</v>
      </c>
      <c r="M933" s="454">
        <v>1288</v>
      </c>
      <c r="N933" s="454">
        <v>930</v>
      </c>
      <c r="O933" s="454">
        <v>767</v>
      </c>
      <c r="P933" s="454">
        <v>1404</v>
      </c>
      <c r="Q933" s="454">
        <v>4</v>
      </c>
      <c r="R933" s="455">
        <f t="shared" si="14"/>
        <v>1404.25</v>
      </c>
    </row>
    <row r="934" spans="1:18" ht="13.5" customHeight="1" x14ac:dyDescent="0.2">
      <c r="A934" s="449" t="s">
        <v>1598</v>
      </c>
      <c r="B934" s="458" t="s">
        <v>1638</v>
      </c>
      <c r="C934" s="451" t="s">
        <v>1639</v>
      </c>
      <c r="D934" s="454">
        <v>968</v>
      </c>
      <c r="E934" s="454">
        <v>1252</v>
      </c>
      <c r="F934" s="454">
        <v>1627</v>
      </c>
      <c r="G934" s="454">
        <v>2008</v>
      </c>
      <c r="H934" s="454">
        <v>2166</v>
      </c>
      <c r="I934" s="454">
        <v>2352</v>
      </c>
      <c r="J934" s="454">
        <v>2283</v>
      </c>
      <c r="K934" s="454">
        <v>2060</v>
      </c>
      <c r="L934" s="454">
        <v>1728</v>
      </c>
      <c r="M934" s="454">
        <v>1406</v>
      </c>
      <c r="N934" s="454">
        <v>1081</v>
      </c>
      <c r="O934" s="454">
        <v>904</v>
      </c>
      <c r="P934" s="454">
        <v>1653</v>
      </c>
      <c r="Q934" s="454">
        <v>4</v>
      </c>
      <c r="R934" s="455">
        <f t="shared" si="14"/>
        <v>1652.9166666666667</v>
      </c>
    </row>
    <row r="935" spans="1:18" ht="13.5" customHeight="1" x14ac:dyDescent="0.2">
      <c r="A935" s="449" t="s">
        <v>1599</v>
      </c>
      <c r="B935" s="458" t="s">
        <v>1638</v>
      </c>
      <c r="C935" s="451" t="s">
        <v>1639</v>
      </c>
      <c r="D935" s="454">
        <v>796</v>
      </c>
      <c r="E935" s="454">
        <v>1027</v>
      </c>
      <c r="F935" s="454">
        <v>1342</v>
      </c>
      <c r="G935" s="454">
        <v>1686</v>
      </c>
      <c r="H935" s="454">
        <v>1856</v>
      </c>
      <c r="I935" s="454">
        <v>1988</v>
      </c>
      <c r="J935" s="454">
        <v>2043</v>
      </c>
      <c r="K935" s="454">
        <v>1915</v>
      </c>
      <c r="L935" s="454">
        <v>1590</v>
      </c>
      <c r="M935" s="454">
        <v>1275</v>
      </c>
      <c r="N935" s="454">
        <v>913</v>
      </c>
      <c r="O935" s="454">
        <v>747</v>
      </c>
      <c r="P935" s="454">
        <v>1432</v>
      </c>
      <c r="Q935" s="454">
        <v>4</v>
      </c>
      <c r="R935" s="455">
        <f t="shared" si="14"/>
        <v>1431.5</v>
      </c>
    </row>
    <row r="936" spans="1:18" ht="13.5" customHeight="1" x14ac:dyDescent="0.2">
      <c r="A936" s="449" t="s">
        <v>1600</v>
      </c>
      <c r="B936" s="458" t="s">
        <v>1638</v>
      </c>
      <c r="C936" s="451" t="s">
        <v>1639</v>
      </c>
      <c r="D936" s="454">
        <v>1015</v>
      </c>
      <c r="E936" s="454">
        <v>1294</v>
      </c>
      <c r="F936" s="454">
        <v>1695</v>
      </c>
      <c r="G936" s="454">
        <v>2089</v>
      </c>
      <c r="H936" s="454">
        <v>2226</v>
      </c>
      <c r="I936" s="454">
        <v>2365</v>
      </c>
      <c r="J936" s="454">
        <v>2272</v>
      </c>
      <c r="K936" s="454">
        <v>2073</v>
      </c>
      <c r="L936" s="454">
        <v>1776</v>
      </c>
      <c r="M936" s="454">
        <v>1458</v>
      </c>
      <c r="N936" s="454">
        <v>1140</v>
      </c>
      <c r="O936" s="454">
        <v>973</v>
      </c>
      <c r="P936" s="454">
        <v>1698</v>
      </c>
      <c r="Q936" s="454">
        <v>4</v>
      </c>
      <c r="R936" s="455">
        <f t="shared" si="14"/>
        <v>1698</v>
      </c>
    </row>
    <row r="937" spans="1:18" ht="13.5" customHeight="1" x14ac:dyDescent="0.2">
      <c r="A937" s="449" t="s">
        <v>1601</v>
      </c>
      <c r="B937" s="458" t="s">
        <v>1638</v>
      </c>
      <c r="C937" s="451" t="s">
        <v>1639</v>
      </c>
      <c r="D937" s="454">
        <v>824</v>
      </c>
      <c r="E937" s="454">
        <v>1017</v>
      </c>
      <c r="F937" s="454">
        <v>1355</v>
      </c>
      <c r="G937" s="454">
        <v>1646</v>
      </c>
      <c r="H937" s="454">
        <v>1868</v>
      </c>
      <c r="I937" s="454">
        <v>1931</v>
      </c>
      <c r="J937" s="454">
        <v>1918</v>
      </c>
      <c r="K937" s="454">
        <v>1801</v>
      </c>
      <c r="L937" s="454">
        <v>1552</v>
      </c>
      <c r="M937" s="454">
        <v>1300</v>
      </c>
      <c r="N937" s="454">
        <v>955</v>
      </c>
      <c r="O937" s="454">
        <v>773</v>
      </c>
      <c r="P937" s="454">
        <v>1412</v>
      </c>
      <c r="Q937" s="454">
        <v>4</v>
      </c>
      <c r="R937" s="455">
        <f t="shared" si="14"/>
        <v>1411.6666666666667</v>
      </c>
    </row>
    <row r="938" spans="1:18" ht="13.5" customHeight="1" x14ac:dyDescent="0.2">
      <c r="A938" s="449" t="s">
        <v>1602</v>
      </c>
      <c r="B938" s="458" t="s">
        <v>1638</v>
      </c>
      <c r="C938" s="451" t="s">
        <v>1639</v>
      </c>
      <c r="D938" s="454">
        <v>968</v>
      </c>
      <c r="E938" s="454">
        <v>1229</v>
      </c>
      <c r="F938" s="454">
        <v>1591</v>
      </c>
      <c r="G938" s="454">
        <v>1961</v>
      </c>
      <c r="H938" s="454">
        <v>2072</v>
      </c>
      <c r="I938" s="454">
        <v>2236</v>
      </c>
      <c r="J938" s="454">
        <v>2220</v>
      </c>
      <c r="K938" s="454">
        <v>2021</v>
      </c>
      <c r="L938" s="454">
        <v>1711</v>
      </c>
      <c r="M938" s="454">
        <v>1382</v>
      </c>
      <c r="N938" s="454">
        <v>1090</v>
      </c>
      <c r="O938" s="454">
        <v>921</v>
      </c>
      <c r="P938" s="454">
        <v>1617</v>
      </c>
      <c r="Q938" s="454">
        <v>4</v>
      </c>
      <c r="R938" s="455">
        <f t="shared" si="14"/>
        <v>1616.8333333333333</v>
      </c>
    </row>
    <row r="939" spans="1:18" ht="13.5" customHeight="1" x14ac:dyDescent="0.2">
      <c r="A939" s="449" t="s">
        <v>1603</v>
      </c>
      <c r="B939" s="458" t="s">
        <v>1638</v>
      </c>
      <c r="C939" s="451" t="s">
        <v>1639</v>
      </c>
      <c r="D939" s="454">
        <v>893</v>
      </c>
      <c r="E939" s="454">
        <v>1083</v>
      </c>
      <c r="F939" s="454">
        <v>1377</v>
      </c>
      <c r="G939" s="454">
        <v>1682</v>
      </c>
      <c r="H939" s="454">
        <v>1821</v>
      </c>
      <c r="I939" s="454">
        <v>2059</v>
      </c>
      <c r="J939" s="454">
        <v>2081</v>
      </c>
      <c r="K939" s="454">
        <v>1961</v>
      </c>
      <c r="L939" s="454">
        <v>1640</v>
      </c>
      <c r="M939" s="454">
        <v>1323</v>
      </c>
      <c r="N939" s="454">
        <v>985</v>
      </c>
      <c r="O939" s="454">
        <v>825</v>
      </c>
      <c r="P939" s="454">
        <v>1477</v>
      </c>
      <c r="Q939" s="454">
        <v>4</v>
      </c>
      <c r="R939" s="455">
        <f t="shared" si="14"/>
        <v>1477.5</v>
      </c>
    </row>
    <row r="940" spans="1:18" ht="13.5" customHeight="1" x14ac:dyDescent="0.2">
      <c r="A940" s="449" t="s">
        <v>1604</v>
      </c>
      <c r="B940" s="458" t="s">
        <v>1638</v>
      </c>
      <c r="C940" s="451" t="s">
        <v>1639</v>
      </c>
      <c r="D940" s="454">
        <v>849</v>
      </c>
      <c r="E940" s="454">
        <v>1038</v>
      </c>
      <c r="F940" s="454">
        <v>1328</v>
      </c>
      <c r="G940" s="454">
        <v>1597</v>
      </c>
      <c r="H940" s="454">
        <v>1823</v>
      </c>
      <c r="I940" s="460">
        <v>2009</v>
      </c>
      <c r="J940" s="454">
        <v>2029</v>
      </c>
      <c r="K940" s="454">
        <v>1887</v>
      </c>
      <c r="L940" s="454">
        <v>1596</v>
      </c>
      <c r="M940" s="454">
        <v>1328</v>
      </c>
      <c r="N940" s="454">
        <v>989</v>
      </c>
      <c r="O940" s="454">
        <v>801</v>
      </c>
      <c r="P940" s="454">
        <v>1439</v>
      </c>
      <c r="Q940" s="454">
        <v>4</v>
      </c>
      <c r="R940" s="455">
        <f t="shared" si="14"/>
        <v>1439.5</v>
      </c>
    </row>
    <row r="941" spans="1:18" ht="13.5" customHeight="1" x14ac:dyDescent="0.2">
      <c r="A941" s="449" t="s">
        <v>1605</v>
      </c>
      <c r="B941" s="458" t="s">
        <v>1638</v>
      </c>
      <c r="C941" s="451" t="s">
        <v>1639</v>
      </c>
      <c r="D941" s="454">
        <v>864</v>
      </c>
      <c r="E941" s="454">
        <v>1081</v>
      </c>
      <c r="F941" s="454">
        <v>1387</v>
      </c>
      <c r="G941" s="454">
        <v>1732</v>
      </c>
      <c r="H941" s="454">
        <v>1890</v>
      </c>
      <c r="I941" s="460">
        <v>2135</v>
      </c>
      <c r="J941" s="454">
        <v>2198</v>
      </c>
      <c r="K941" s="454">
        <v>2022</v>
      </c>
      <c r="L941" s="454">
        <v>1674</v>
      </c>
      <c r="M941" s="454">
        <v>1302</v>
      </c>
      <c r="N941" s="454">
        <v>958</v>
      </c>
      <c r="O941" s="454">
        <v>823</v>
      </c>
      <c r="P941" s="454">
        <v>1505</v>
      </c>
      <c r="Q941" s="454">
        <v>4</v>
      </c>
      <c r="R941" s="455">
        <f t="shared" si="14"/>
        <v>1505.5</v>
      </c>
    </row>
    <row r="942" spans="1:18" ht="13.5" customHeight="1" x14ac:dyDescent="0.2">
      <c r="A942" s="449" t="s">
        <v>1606</v>
      </c>
      <c r="B942" s="458" t="s">
        <v>1638</v>
      </c>
      <c r="C942" s="451" t="s">
        <v>1639</v>
      </c>
      <c r="D942" s="454">
        <v>818</v>
      </c>
      <c r="E942" s="454">
        <v>1072</v>
      </c>
      <c r="F942" s="454">
        <v>1548</v>
      </c>
      <c r="G942" s="454">
        <v>1969</v>
      </c>
      <c r="H942" s="454">
        <v>2299</v>
      </c>
      <c r="I942" s="460">
        <v>2534</v>
      </c>
      <c r="J942" s="454">
        <v>2285</v>
      </c>
      <c r="K942" s="454">
        <v>2082</v>
      </c>
      <c r="L942" s="454">
        <v>1827</v>
      </c>
      <c r="M942" s="454">
        <v>1355</v>
      </c>
      <c r="N942" s="454">
        <v>944</v>
      </c>
      <c r="O942" s="454">
        <v>741</v>
      </c>
      <c r="P942" s="454">
        <v>1623</v>
      </c>
      <c r="Q942" s="454">
        <v>4</v>
      </c>
      <c r="R942" s="455">
        <f t="shared" si="14"/>
        <v>1622.8333333333333</v>
      </c>
    </row>
    <row r="943" spans="1:18" ht="13.5" customHeight="1" x14ac:dyDescent="0.2">
      <c r="A943" s="449" t="s">
        <v>1607</v>
      </c>
      <c r="B943" s="458" t="s">
        <v>1638</v>
      </c>
      <c r="C943" s="451" t="s">
        <v>1639</v>
      </c>
      <c r="D943" s="454">
        <v>596</v>
      </c>
      <c r="E943" s="454">
        <v>877</v>
      </c>
      <c r="F943" s="454">
        <v>1348</v>
      </c>
      <c r="G943" s="454">
        <v>1685</v>
      </c>
      <c r="H943" s="454">
        <v>2071</v>
      </c>
      <c r="I943" s="460">
        <v>2336</v>
      </c>
      <c r="J943" s="454">
        <v>2338</v>
      </c>
      <c r="K943" s="454">
        <v>2052</v>
      </c>
      <c r="L943" s="454">
        <v>1689</v>
      </c>
      <c r="M943" s="454">
        <v>1144</v>
      </c>
      <c r="N943" s="454">
        <v>700</v>
      </c>
      <c r="O943" s="454">
        <v>469</v>
      </c>
      <c r="P943" s="454">
        <v>1442</v>
      </c>
      <c r="Q943" s="454">
        <v>4</v>
      </c>
      <c r="R943" s="455">
        <f t="shared" si="14"/>
        <v>1442.0833333333333</v>
      </c>
    </row>
    <row r="944" spans="1:18" ht="13.5" customHeight="1" x14ac:dyDescent="0.2">
      <c r="A944" s="449" t="s">
        <v>1608</v>
      </c>
      <c r="B944" s="458" t="s">
        <v>1638</v>
      </c>
      <c r="C944" s="451" t="s">
        <v>1639</v>
      </c>
      <c r="D944" s="454">
        <v>474</v>
      </c>
      <c r="E944" s="454">
        <v>733</v>
      </c>
      <c r="F944" s="454">
        <v>1046</v>
      </c>
      <c r="G944" s="454">
        <v>1449</v>
      </c>
      <c r="H944" s="454">
        <v>1720</v>
      </c>
      <c r="I944" s="460">
        <v>1874</v>
      </c>
      <c r="J944" s="454">
        <v>1835</v>
      </c>
      <c r="K944" s="454">
        <v>1642</v>
      </c>
      <c r="L944" s="454">
        <v>1239</v>
      </c>
      <c r="M944" s="454">
        <v>770</v>
      </c>
      <c r="N944" s="454">
        <v>464</v>
      </c>
      <c r="O944" s="454">
        <v>377</v>
      </c>
      <c r="P944" s="454">
        <v>1135</v>
      </c>
      <c r="Q944" s="454">
        <v>4</v>
      </c>
      <c r="R944" s="455">
        <f t="shared" si="14"/>
        <v>1135.25</v>
      </c>
    </row>
    <row r="945" spans="1:18" ht="13.5" customHeight="1" x14ac:dyDescent="0.2">
      <c r="A945" s="449" t="s">
        <v>1609</v>
      </c>
      <c r="B945" s="458" t="s">
        <v>1638</v>
      </c>
      <c r="C945" s="451" t="s">
        <v>1639</v>
      </c>
      <c r="D945" s="454">
        <v>653</v>
      </c>
      <c r="E945" s="454">
        <v>939</v>
      </c>
      <c r="F945" s="454">
        <v>1233</v>
      </c>
      <c r="G945" s="454">
        <v>1567</v>
      </c>
      <c r="H945" s="454">
        <v>1771</v>
      </c>
      <c r="I945" s="460">
        <v>1900</v>
      </c>
      <c r="J945" s="454">
        <v>1862</v>
      </c>
      <c r="K945" s="454">
        <v>1684</v>
      </c>
      <c r="L945" s="454">
        <v>1376</v>
      </c>
      <c r="M945" s="454">
        <v>1062</v>
      </c>
      <c r="N945" s="454">
        <v>711</v>
      </c>
      <c r="O945" s="454">
        <v>590</v>
      </c>
      <c r="P945" s="454">
        <v>1279</v>
      </c>
      <c r="Q945" s="454">
        <v>4</v>
      </c>
      <c r="R945" s="455">
        <f t="shared" si="14"/>
        <v>1279</v>
      </c>
    </row>
    <row r="946" spans="1:18" ht="13.5" customHeight="1" x14ac:dyDescent="0.2">
      <c r="A946" s="449" t="s">
        <v>1610</v>
      </c>
      <c r="B946" s="458" t="s">
        <v>1638</v>
      </c>
      <c r="C946" s="451" t="s">
        <v>1639</v>
      </c>
      <c r="D946" s="454">
        <v>653</v>
      </c>
      <c r="E946" s="454">
        <v>934</v>
      </c>
      <c r="F946" s="459">
        <v>1246</v>
      </c>
      <c r="G946" s="454">
        <v>1578</v>
      </c>
      <c r="H946" s="454">
        <v>1767</v>
      </c>
      <c r="I946" s="460">
        <v>1903</v>
      </c>
      <c r="J946" s="454">
        <v>1864</v>
      </c>
      <c r="K946" s="454">
        <v>1712</v>
      </c>
      <c r="L946" s="454">
        <v>1371</v>
      </c>
      <c r="M946" s="454">
        <v>1045</v>
      </c>
      <c r="N946" s="454">
        <v>718</v>
      </c>
      <c r="O946" s="454">
        <v>587</v>
      </c>
      <c r="P946" s="454">
        <v>1282</v>
      </c>
      <c r="Q946" s="454">
        <v>4</v>
      </c>
      <c r="R946" s="455">
        <f t="shared" si="14"/>
        <v>1281.5</v>
      </c>
    </row>
    <row r="947" spans="1:18" ht="13.5" customHeight="1" x14ac:dyDescent="0.2">
      <c r="A947" s="449" t="s">
        <v>1611</v>
      </c>
      <c r="B947" s="458" t="s">
        <v>1638</v>
      </c>
      <c r="C947" s="451" t="s">
        <v>1639</v>
      </c>
      <c r="D947" s="454">
        <v>740</v>
      </c>
      <c r="E947" s="454">
        <v>1006</v>
      </c>
      <c r="F947" s="459">
        <v>1334</v>
      </c>
      <c r="G947" s="454">
        <v>1655</v>
      </c>
      <c r="H947" s="454">
        <v>1855</v>
      </c>
      <c r="I947" s="460">
        <v>2001</v>
      </c>
      <c r="J947" s="454">
        <v>1913</v>
      </c>
      <c r="K947" s="454">
        <v>1758</v>
      </c>
      <c r="L947" s="454">
        <v>1439</v>
      </c>
      <c r="M947" s="454">
        <v>1128</v>
      </c>
      <c r="N947" s="454">
        <v>807</v>
      </c>
      <c r="O947" s="454">
        <v>662</v>
      </c>
      <c r="P947" s="454">
        <v>1358</v>
      </c>
      <c r="Q947" s="454">
        <v>4</v>
      </c>
      <c r="R947" s="455">
        <f t="shared" si="14"/>
        <v>1358.1666666666667</v>
      </c>
    </row>
    <row r="948" spans="1:18" ht="13.5" customHeight="1" x14ac:dyDescent="0.2">
      <c r="A948" s="449" t="s">
        <v>1612</v>
      </c>
      <c r="B948" s="458" t="s">
        <v>1638</v>
      </c>
      <c r="C948" s="451" t="s">
        <v>1639</v>
      </c>
      <c r="D948" s="454">
        <v>723</v>
      </c>
      <c r="E948" s="454">
        <v>962</v>
      </c>
      <c r="F948" s="459">
        <v>1312</v>
      </c>
      <c r="G948" s="454">
        <v>1674</v>
      </c>
      <c r="H948" s="454">
        <v>1872</v>
      </c>
      <c r="I948" s="460">
        <v>1989</v>
      </c>
      <c r="J948" s="454">
        <v>1940</v>
      </c>
      <c r="K948" s="454">
        <v>1743</v>
      </c>
      <c r="L948" s="454">
        <v>1406</v>
      </c>
      <c r="M948" s="454">
        <v>1101</v>
      </c>
      <c r="N948" s="454">
        <v>807</v>
      </c>
      <c r="O948" s="454">
        <v>655</v>
      </c>
      <c r="P948" s="454">
        <v>1349</v>
      </c>
      <c r="Q948" s="454">
        <v>4</v>
      </c>
      <c r="R948" s="455">
        <f t="shared" si="14"/>
        <v>1348.6666666666667</v>
      </c>
    </row>
    <row r="949" spans="1:18" ht="13.5" customHeight="1" x14ac:dyDescent="0.2">
      <c r="A949" s="449" t="s">
        <v>1613</v>
      </c>
      <c r="B949" s="458" t="s">
        <v>1638</v>
      </c>
      <c r="C949" s="451" t="s">
        <v>1639</v>
      </c>
      <c r="D949" s="454">
        <v>723</v>
      </c>
      <c r="E949" s="454">
        <v>993</v>
      </c>
      <c r="F949" s="459">
        <v>1305</v>
      </c>
      <c r="G949" s="454">
        <v>1650</v>
      </c>
      <c r="H949" s="454">
        <v>1856</v>
      </c>
      <c r="I949" s="460">
        <v>1986</v>
      </c>
      <c r="J949" s="454">
        <v>1890</v>
      </c>
      <c r="K949" s="454">
        <v>1735</v>
      </c>
      <c r="L949" s="454">
        <v>1415</v>
      </c>
      <c r="M949" s="454">
        <v>1099</v>
      </c>
      <c r="N949" s="454">
        <v>798</v>
      </c>
      <c r="O949" s="454">
        <v>649</v>
      </c>
      <c r="P949" s="454">
        <v>1341</v>
      </c>
      <c r="Q949" s="454">
        <v>4</v>
      </c>
      <c r="R949" s="455">
        <f t="shared" si="14"/>
        <v>1341.5833333333333</v>
      </c>
    </row>
    <row r="950" spans="1:18" ht="13.5" customHeight="1" x14ac:dyDescent="0.2">
      <c r="A950" s="449" t="s">
        <v>1614</v>
      </c>
      <c r="B950" s="458" t="s">
        <v>1638</v>
      </c>
      <c r="C950" s="451" t="s">
        <v>1639</v>
      </c>
      <c r="D950" s="454">
        <v>729</v>
      </c>
      <c r="E950" s="454">
        <v>986</v>
      </c>
      <c r="F950" s="459">
        <v>1293</v>
      </c>
      <c r="G950" s="454">
        <v>1611</v>
      </c>
      <c r="H950" s="454">
        <v>1795</v>
      </c>
      <c r="I950" s="460">
        <v>1892</v>
      </c>
      <c r="J950" s="454">
        <v>1860</v>
      </c>
      <c r="K950" s="454">
        <v>1699</v>
      </c>
      <c r="L950" s="454">
        <v>1395</v>
      </c>
      <c r="M950" s="454">
        <v>1104</v>
      </c>
      <c r="N950" s="454">
        <v>781</v>
      </c>
      <c r="O950" s="454">
        <v>646</v>
      </c>
      <c r="P950" s="454">
        <v>1316</v>
      </c>
      <c r="Q950" s="454">
        <v>4</v>
      </c>
      <c r="R950" s="455">
        <f t="shared" si="14"/>
        <v>1315.9166666666667</v>
      </c>
    </row>
    <row r="951" spans="1:18" ht="13.5" customHeight="1" x14ac:dyDescent="0.2">
      <c r="A951" s="449" t="s">
        <v>1615</v>
      </c>
      <c r="B951" s="458" t="s">
        <v>1638</v>
      </c>
      <c r="C951" s="451" t="s">
        <v>1639</v>
      </c>
      <c r="D951" s="454">
        <v>319</v>
      </c>
      <c r="E951" s="454">
        <v>562</v>
      </c>
      <c r="F951" s="460">
        <v>866</v>
      </c>
      <c r="G951" s="454">
        <v>1257</v>
      </c>
      <c r="H951" s="454">
        <v>1574</v>
      </c>
      <c r="I951" s="460">
        <v>1721</v>
      </c>
      <c r="J951" s="454">
        <v>1876</v>
      </c>
      <c r="K951" s="454">
        <v>1624</v>
      </c>
      <c r="L951" s="454">
        <v>1257</v>
      </c>
      <c r="M951" s="454">
        <v>676</v>
      </c>
      <c r="N951" s="454">
        <v>352</v>
      </c>
      <c r="O951" s="454">
        <v>264</v>
      </c>
      <c r="P951" s="454">
        <v>1029</v>
      </c>
      <c r="Q951" s="454">
        <v>4</v>
      </c>
      <c r="R951" s="455">
        <f t="shared" si="14"/>
        <v>1029</v>
      </c>
    </row>
    <row r="952" spans="1:18" ht="13.5" customHeight="1" x14ac:dyDescent="0.2">
      <c r="A952" s="449" t="s">
        <v>1616</v>
      </c>
      <c r="B952" s="458" t="s">
        <v>1638</v>
      </c>
      <c r="C952" s="451" t="s">
        <v>1639</v>
      </c>
      <c r="D952" s="454">
        <v>304</v>
      </c>
      <c r="E952" s="454">
        <v>556</v>
      </c>
      <c r="F952" s="460">
        <v>831</v>
      </c>
      <c r="G952" s="454">
        <v>1225</v>
      </c>
      <c r="H952" s="454">
        <v>1520</v>
      </c>
      <c r="I952" s="460">
        <v>1600</v>
      </c>
      <c r="J952" s="454">
        <v>1681</v>
      </c>
      <c r="K952" s="454">
        <v>1469</v>
      </c>
      <c r="L952" s="454">
        <v>1170</v>
      </c>
      <c r="M952" s="454">
        <v>653</v>
      </c>
      <c r="N952" s="454">
        <v>351</v>
      </c>
      <c r="O952" s="454">
        <v>257</v>
      </c>
      <c r="P952" s="454">
        <v>968</v>
      </c>
      <c r="Q952" s="454">
        <v>4</v>
      </c>
      <c r="R952" s="455">
        <f t="shared" si="14"/>
        <v>968.08333333333337</v>
      </c>
    </row>
    <row r="953" spans="1:18" ht="13.5" customHeight="1" x14ac:dyDescent="0.2">
      <c r="A953" s="449" t="s">
        <v>1617</v>
      </c>
      <c r="B953" s="458" t="s">
        <v>1638</v>
      </c>
      <c r="C953" s="451" t="s">
        <v>1639</v>
      </c>
      <c r="D953" s="454">
        <v>316</v>
      </c>
      <c r="E953" s="454">
        <v>595</v>
      </c>
      <c r="F953" s="460">
        <v>882</v>
      </c>
      <c r="G953" s="454">
        <v>1329</v>
      </c>
      <c r="H953" s="461">
        <v>1678</v>
      </c>
      <c r="I953" s="454">
        <v>1842</v>
      </c>
      <c r="J953" s="454">
        <v>1951</v>
      </c>
      <c r="K953" s="454">
        <v>1679</v>
      </c>
      <c r="L953" s="454">
        <v>1235</v>
      </c>
      <c r="M953" s="454">
        <v>671</v>
      </c>
      <c r="N953" s="454">
        <v>356</v>
      </c>
      <c r="O953" s="454">
        <v>267</v>
      </c>
      <c r="P953" s="454">
        <v>1067</v>
      </c>
      <c r="Q953" s="454">
        <v>4</v>
      </c>
      <c r="R953" s="455">
        <f t="shared" si="14"/>
        <v>1066.75</v>
      </c>
    </row>
    <row r="954" spans="1:18" ht="13.5" customHeight="1" x14ac:dyDescent="0.2">
      <c r="A954" s="449" t="s">
        <v>1618</v>
      </c>
      <c r="B954" s="458" t="s">
        <v>1638</v>
      </c>
      <c r="C954" s="451" t="s">
        <v>1639</v>
      </c>
      <c r="D954" s="454">
        <v>345</v>
      </c>
      <c r="E954" s="454">
        <v>650</v>
      </c>
      <c r="F954" s="459">
        <v>1060</v>
      </c>
      <c r="G954" s="454">
        <v>1497</v>
      </c>
      <c r="H954" s="461">
        <v>1893</v>
      </c>
      <c r="I954" s="454">
        <v>2071</v>
      </c>
      <c r="J954" s="454">
        <v>2274</v>
      </c>
      <c r="K954" s="454">
        <v>1947</v>
      </c>
      <c r="L954" s="454">
        <v>1430</v>
      </c>
      <c r="M954" s="454">
        <v>841</v>
      </c>
      <c r="N954" s="454">
        <v>401</v>
      </c>
      <c r="O954" s="454">
        <v>283</v>
      </c>
      <c r="P954" s="454">
        <v>1224</v>
      </c>
      <c r="Q954" s="454">
        <v>4</v>
      </c>
      <c r="R954" s="455">
        <f t="shared" si="14"/>
        <v>1224.3333333333333</v>
      </c>
    </row>
    <row r="955" spans="1:18" ht="13.5" customHeight="1" x14ac:dyDescent="0.2">
      <c r="A955" s="449" t="s">
        <v>1619</v>
      </c>
      <c r="B955" s="458" t="s">
        <v>1638</v>
      </c>
      <c r="C955" s="451" t="s">
        <v>1639</v>
      </c>
      <c r="D955" s="454">
        <v>345</v>
      </c>
      <c r="E955" s="454">
        <v>595</v>
      </c>
      <c r="F955" s="460">
        <v>857</v>
      </c>
      <c r="G955" s="454">
        <v>1281</v>
      </c>
      <c r="H955" s="461">
        <v>1599</v>
      </c>
      <c r="I955" s="454">
        <v>1703</v>
      </c>
      <c r="J955" s="454">
        <v>1946</v>
      </c>
      <c r="K955" s="454">
        <v>1676</v>
      </c>
      <c r="L955" s="454">
        <v>1218</v>
      </c>
      <c r="M955" s="454">
        <v>678</v>
      </c>
      <c r="N955" s="454">
        <v>366</v>
      </c>
      <c r="O955" s="454">
        <v>286</v>
      </c>
      <c r="P955" s="454">
        <v>1046</v>
      </c>
      <c r="Q955" s="454">
        <v>4</v>
      </c>
      <c r="R955" s="455">
        <f t="shared" si="14"/>
        <v>1045.8333333333333</v>
      </c>
    </row>
    <row r="956" spans="1:18" ht="13.5" customHeight="1" x14ac:dyDescent="0.2">
      <c r="A956" s="449" t="s">
        <v>1620</v>
      </c>
      <c r="B956" s="458" t="s">
        <v>1638</v>
      </c>
      <c r="C956" s="451" t="s">
        <v>1639</v>
      </c>
      <c r="D956" s="454">
        <v>399</v>
      </c>
      <c r="E956" s="454">
        <v>740</v>
      </c>
      <c r="F956" s="459">
        <v>1187</v>
      </c>
      <c r="G956" s="454">
        <v>1639</v>
      </c>
      <c r="H956" s="461">
        <v>1987</v>
      </c>
      <c r="I956" s="454">
        <v>2252</v>
      </c>
      <c r="J956" s="454">
        <v>2374</v>
      </c>
      <c r="K956" s="454">
        <v>2033</v>
      </c>
      <c r="L956" s="454">
        <v>1537</v>
      </c>
      <c r="M956" s="454">
        <v>937</v>
      </c>
      <c r="N956" s="454">
        <v>483</v>
      </c>
      <c r="O956" s="454">
        <v>315</v>
      </c>
      <c r="P956" s="454">
        <v>1324</v>
      </c>
      <c r="Q956" s="454">
        <v>4</v>
      </c>
      <c r="R956" s="455">
        <f t="shared" si="14"/>
        <v>1323.5833333333333</v>
      </c>
    </row>
    <row r="957" spans="1:18" ht="13.5" customHeight="1" x14ac:dyDescent="0.2">
      <c r="A957" s="449" t="s">
        <v>1621</v>
      </c>
      <c r="B957" s="458" t="s">
        <v>1638</v>
      </c>
      <c r="C957" s="451" t="s">
        <v>1639</v>
      </c>
      <c r="D957" s="454">
        <v>632</v>
      </c>
      <c r="E957" s="454">
        <v>847</v>
      </c>
      <c r="F957" s="459">
        <v>1144</v>
      </c>
      <c r="G957" s="454">
        <v>1499</v>
      </c>
      <c r="H957" s="461">
        <v>1680</v>
      </c>
      <c r="I957" s="454">
        <v>1797</v>
      </c>
      <c r="J957" s="454">
        <v>1752</v>
      </c>
      <c r="K957" s="454">
        <v>1643</v>
      </c>
      <c r="L957" s="454">
        <v>1346</v>
      </c>
      <c r="M957" s="454">
        <v>1018</v>
      </c>
      <c r="N957" s="454">
        <v>691</v>
      </c>
      <c r="O957" s="454">
        <v>538</v>
      </c>
      <c r="P957" s="454">
        <v>1216</v>
      </c>
      <c r="Q957" s="454">
        <v>4</v>
      </c>
      <c r="R957" s="455">
        <f t="shared" si="14"/>
        <v>1215.5833333333333</v>
      </c>
    </row>
    <row r="958" spans="1:18" ht="13.5" customHeight="1" x14ac:dyDescent="0.2">
      <c r="A958" s="449" t="s">
        <v>1622</v>
      </c>
      <c r="B958" s="458" t="s">
        <v>1638</v>
      </c>
      <c r="C958" s="451" t="s">
        <v>1639</v>
      </c>
      <c r="D958" s="454">
        <v>579</v>
      </c>
      <c r="E958" s="454">
        <v>814</v>
      </c>
      <c r="F958" s="459">
        <v>1126</v>
      </c>
      <c r="G958" s="454">
        <v>1524</v>
      </c>
      <c r="H958" s="461">
        <v>1737</v>
      </c>
      <c r="I958" s="454">
        <v>1916</v>
      </c>
      <c r="J958" s="454">
        <v>1843</v>
      </c>
      <c r="K958" s="454">
        <v>1721</v>
      </c>
      <c r="L958" s="454">
        <v>1378</v>
      </c>
      <c r="M958" s="454">
        <v>1024</v>
      </c>
      <c r="N958" s="454">
        <v>667</v>
      </c>
      <c r="O958" s="454">
        <v>512</v>
      </c>
      <c r="P958" s="454">
        <v>1237</v>
      </c>
      <c r="Q958" s="454">
        <v>4</v>
      </c>
      <c r="R958" s="455">
        <f t="shared" si="14"/>
        <v>1236.75</v>
      </c>
    </row>
    <row r="959" spans="1:18" ht="13.5" customHeight="1" x14ac:dyDescent="0.2">
      <c r="A959" s="449" t="s">
        <v>1623</v>
      </c>
      <c r="B959" s="458" t="s">
        <v>1638</v>
      </c>
      <c r="C959" s="451" t="s">
        <v>1639</v>
      </c>
      <c r="D959" s="454">
        <v>574</v>
      </c>
      <c r="E959" s="454">
        <v>794</v>
      </c>
      <c r="F959" s="454">
        <v>1113</v>
      </c>
      <c r="G959" s="454">
        <v>1461</v>
      </c>
      <c r="H959" s="454">
        <v>1619</v>
      </c>
      <c r="I959" s="454">
        <v>1793</v>
      </c>
      <c r="J959" s="454">
        <v>1738</v>
      </c>
      <c r="K959" s="454">
        <v>1611</v>
      </c>
      <c r="L959" s="454">
        <v>1293</v>
      </c>
      <c r="M959" s="454">
        <v>972</v>
      </c>
      <c r="N959" s="454">
        <v>618</v>
      </c>
      <c r="O959" s="454">
        <v>498</v>
      </c>
      <c r="P959" s="454">
        <v>1173</v>
      </c>
      <c r="Q959" s="454">
        <v>4</v>
      </c>
      <c r="R959" s="455">
        <f t="shared" si="14"/>
        <v>1173.6666666666667</v>
      </c>
    </row>
    <row r="960" spans="1:18" ht="13.5" customHeight="1" x14ac:dyDescent="0.2">
      <c r="A960" s="449" t="s">
        <v>1624</v>
      </c>
      <c r="B960" s="458" t="s">
        <v>1638</v>
      </c>
      <c r="C960" s="451" t="s">
        <v>1639</v>
      </c>
      <c r="D960" s="454">
        <v>570</v>
      </c>
      <c r="E960" s="454">
        <v>828</v>
      </c>
      <c r="F960" s="454">
        <v>1163</v>
      </c>
      <c r="G960" s="454">
        <v>1545</v>
      </c>
      <c r="H960" s="454">
        <v>1751</v>
      </c>
      <c r="I960" s="454">
        <v>1915</v>
      </c>
      <c r="J960" s="454">
        <v>1856</v>
      </c>
      <c r="K960" s="454">
        <v>1725</v>
      </c>
      <c r="L960" s="454">
        <v>1404</v>
      </c>
      <c r="M960" s="454">
        <v>1045</v>
      </c>
      <c r="N960" s="454">
        <v>676</v>
      </c>
      <c r="O960" s="454">
        <v>519</v>
      </c>
      <c r="P960" s="454">
        <v>1250</v>
      </c>
      <c r="Q960" s="454">
        <v>4</v>
      </c>
      <c r="R960" s="455">
        <f t="shared" si="14"/>
        <v>1249.75</v>
      </c>
    </row>
    <row r="961" spans="1:18" ht="13.5" customHeight="1" x14ac:dyDescent="0.2">
      <c r="A961" s="449" t="s">
        <v>1625</v>
      </c>
      <c r="B961" s="458" t="s">
        <v>1638</v>
      </c>
      <c r="C961" s="451" t="s">
        <v>1639</v>
      </c>
      <c r="D961" s="454">
        <v>485</v>
      </c>
      <c r="E961" s="454">
        <v>734</v>
      </c>
      <c r="F961" s="454">
        <v>1116</v>
      </c>
      <c r="G961" s="454">
        <v>1485</v>
      </c>
      <c r="H961" s="454">
        <v>1716</v>
      </c>
      <c r="I961" s="454">
        <v>1866</v>
      </c>
      <c r="J961" s="454">
        <v>1895</v>
      </c>
      <c r="K961" s="454">
        <v>1616</v>
      </c>
      <c r="L961" s="454">
        <v>1234</v>
      </c>
      <c r="M961" s="454">
        <v>802</v>
      </c>
      <c r="N961" s="454">
        <v>484</v>
      </c>
      <c r="O961" s="454">
        <v>377</v>
      </c>
      <c r="P961" s="454">
        <v>1151</v>
      </c>
      <c r="Q961" s="454">
        <v>4</v>
      </c>
      <c r="R961" s="455">
        <f t="shared" si="14"/>
        <v>1150.8333333333333</v>
      </c>
    </row>
    <row r="962" spans="1:18" ht="13.5" customHeight="1" x14ac:dyDescent="0.2">
      <c r="A962" s="449" t="s">
        <v>1626</v>
      </c>
      <c r="B962" s="458" t="s">
        <v>1638</v>
      </c>
      <c r="C962" s="451" t="s">
        <v>1639</v>
      </c>
      <c r="D962" s="454">
        <v>426</v>
      </c>
      <c r="E962" s="454">
        <v>678</v>
      </c>
      <c r="F962" s="454">
        <v>1103</v>
      </c>
      <c r="G962" s="454">
        <v>1501</v>
      </c>
      <c r="H962" s="454">
        <v>1748</v>
      </c>
      <c r="I962" s="454">
        <v>1923</v>
      </c>
      <c r="J962" s="454">
        <v>1900</v>
      </c>
      <c r="K962" s="454">
        <v>1624</v>
      </c>
      <c r="L962" s="454">
        <v>1274</v>
      </c>
      <c r="M962" s="454">
        <v>820</v>
      </c>
      <c r="N962" s="454">
        <v>504</v>
      </c>
      <c r="O962" s="454">
        <v>373</v>
      </c>
      <c r="P962" s="454">
        <v>1156</v>
      </c>
      <c r="Q962" s="454">
        <v>4</v>
      </c>
      <c r="R962" s="455">
        <f t="shared" si="14"/>
        <v>1156.1666666666667</v>
      </c>
    </row>
    <row r="963" spans="1:18" ht="13.5" customHeight="1" x14ac:dyDescent="0.2">
      <c r="A963" s="449" t="s">
        <v>1627</v>
      </c>
      <c r="B963" s="458" t="s">
        <v>1638</v>
      </c>
      <c r="C963" s="451" t="s">
        <v>1639</v>
      </c>
      <c r="D963" s="454">
        <v>507</v>
      </c>
      <c r="E963" s="454">
        <v>767</v>
      </c>
      <c r="F963" s="454">
        <v>1131</v>
      </c>
      <c r="G963" s="454">
        <v>1445</v>
      </c>
      <c r="H963" s="454">
        <v>1723</v>
      </c>
      <c r="I963" s="454">
        <v>1887</v>
      </c>
      <c r="J963" s="454">
        <v>1895</v>
      </c>
      <c r="K963" s="454">
        <v>1615</v>
      </c>
      <c r="L963" s="454">
        <v>1260</v>
      </c>
      <c r="M963" s="454">
        <v>829</v>
      </c>
      <c r="N963" s="454">
        <v>512</v>
      </c>
      <c r="O963" s="454">
        <v>397</v>
      </c>
      <c r="P963" s="454">
        <v>1164</v>
      </c>
      <c r="Q963" s="454">
        <v>4</v>
      </c>
      <c r="R963" s="455">
        <f t="shared" si="14"/>
        <v>1164</v>
      </c>
    </row>
    <row r="964" spans="1:18" ht="13.5" customHeight="1" x14ac:dyDescent="0.2">
      <c r="A964" s="449" t="s">
        <v>1628</v>
      </c>
      <c r="B964" s="458" t="s">
        <v>1638</v>
      </c>
      <c r="C964" s="451" t="s">
        <v>1639</v>
      </c>
      <c r="D964" s="454">
        <v>441</v>
      </c>
      <c r="E964" s="454">
        <v>718</v>
      </c>
      <c r="F964" s="454">
        <v>1122</v>
      </c>
      <c r="G964" s="454">
        <v>1478</v>
      </c>
      <c r="H964" s="454">
        <v>1735</v>
      </c>
      <c r="I964" s="454">
        <v>1931</v>
      </c>
      <c r="J964" s="454">
        <v>1911</v>
      </c>
      <c r="K964" s="454">
        <v>1634</v>
      </c>
      <c r="L964" s="454">
        <v>1324</v>
      </c>
      <c r="M964" s="454">
        <v>871</v>
      </c>
      <c r="N964" s="454">
        <v>541</v>
      </c>
      <c r="O964" s="454">
        <v>422</v>
      </c>
      <c r="P964" s="454">
        <v>1177</v>
      </c>
      <c r="Q964" s="454">
        <v>4</v>
      </c>
      <c r="R964" s="455">
        <f t="shared" ref="R964:R970" si="15">AVERAGE(D964:O964)</f>
        <v>1177.3333333333333</v>
      </c>
    </row>
    <row r="965" spans="1:18" ht="13.5" customHeight="1" x14ac:dyDescent="0.2">
      <c r="A965" s="449" t="s">
        <v>1629</v>
      </c>
      <c r="B965" s="458" t="s">
        <v>1638</v>
      </c>
      <c r="C965" s="451" t="s">
        <v>1639</v>
      </c>
      <c r="D965" s="454">
        <v>477</v>
      </c>
      <c r="E965" s="454">
        <v>755</v>
      </c>
      <c r="F965" s="454">
        <v>1096</v>
      </c>
      <c r="G965" s="454">
        <v>1444</v>
      </c>
      <c r="H965" s="454">
        <v>1729</v>
      </c>
      <c r="I965" s="454">
        <v>1926</v>
      </c>
      <c r="J965" s="454">
        <v>1894</v>
      </c>
      <c r="K965" s="454">
        <v>1612</v>
      </c>
      <c r="L965" s="454">
        <v>1322</v>
      </c>
      <c r="M965" s="454">
        <v>873</v>
      </c>
      <c r="N965" s="454">
        <v>536</v>
      </c>
      <c r="O965" s="454">
        <v>411</v>
      </c>
      <c r="P965" s="454">
        <v>1173</v>
      </c>
      <c r="Q965" s="454">
        <v>4</v>
      </c>
      <c r="R965" s="455">
        <f t="shared" si="15"/>
        <v>1172.9166666666667</v>
      </c>
    </row>
    <row r="966" spans="1:18" ht="13.5" customHeight="1" x14ac:dyDescent="0.2">
      <c r="A966" s="449" t="s">
        <v>1630</v>
      </c>
      <c r="B966" s="458" t="s">
        <v>1638</v>
      </c>
      <c r="C966" s="451" t="s">
        <v>1639</v>
      </c>
      <c r="D966" s="454">
        <v>601</v>
      </c>
      <c r="E966" s="454">
        <v>877</v>
      </c>
      <c r="F966" s="454">
        <v>1259</v>
      </c>
      <c r="G966" s="454">
        <v>1631</v>
      </c>
      <c r="H966" s="454">
        <v>1980</v>
      </c>
      <c r="I966" s="454">
        <v>2243</v>
      </c>
      <c r="J966" s="454">
        <v>2292</v>
      </c>
      <c r="K966" s="454">
        <v>1988</v>
      </c>
      <c r="L966" s="454">
        <v>1552</v>
      </c>
      <c r="M966" s="454">
        <v>1046</v>
      </c>
      <c r="N966" s="454">
        <v>650</v>
      </c>
      <c r="O966" s="454">
        <v>505</v>
      </c>
      <c r="P966" s="454">
        <v>1385</v>
      </c>
      <c r="Q966" s="454">
        <v>4</v>
      </c>
      <c r="R966" s="455">
        <f t="shared" si="15"/>
        <v>1385.3333333333333</v>
      </c>
    </row>
    <row r="967" spans="1:18" ht="13.5" customHeight="1" x14ac:dyDescent="0.2">
      <c r="A967" s="449" t="s">
        <v>1631</v>
      </c>
      <c r="B967" s="458" t="s">
        <v>1638</v>
      </c>
      <c r="C967" s="451" t="s">
        <v>1639</v>
      </c>
      <c r="D967" s="454">
        <v>712</v>
      </c>
      <c r="E967" s="454">
        <v>975</v>
      </c>
      <c r="F967" s="454">
        <v>1360</v>
      </c>
      <c r="G967" s="454">
        <v>1668</v>
      </c>
      <c r="H967" s="454">
        <v>1919</v>
      </c>
      <c r="I967" s="454">
        <v>2196</v>
      </c>
      <c r="J967" s="454">
        <v>2163</v>
      </c>
      <c r="K967" s="454">
        <v>1883</v>
      </c>
      <c r="L967" s="454">
        <v>1588</v>
      </c>
      <c r="M967" s="454">
        <v>1131</v>
      </c>
      <c r="N967" s="454">
        <v>761</v>
      </c>
      <c r="O967" s="454">
        <v>609</v>
      </c>
      <c r="P967" s="454">
        <v>1414</v>
      </c>
      <c r="Q967" s="454">
        <v>4</v>
      </c>
      <c r="R967" s="455">
        <f t="shared" si="15"/>
        <v>1413.75</v>
      </c>
    </row>
    <row r="968" spans="1:18" ht="13.5" customHeight="1" x14ac:dyDescent="0.2">
      <c r="A968" s="449" t="s">
        <v>1632</v>
      </c>
      <c r="B968" s="458" t="s">
        <v>1638</v>
      </c>
      <c r="C968" s="451" t="s">
        <v>1639</v>
      </c>
      <c r="D968" s="454">
        <v>640</v>
      </c>
      <c r="E968" s="454">
        <v>920</v>
      </c>
      <c r="F968" s="454">
        <v>1320</v>
      </c>
      <c r="G968" s="454">
        <v>1658</v>
      </c>
      <c r="H968" s="454">
        <v>2026</v>
      </c>
      <c r="I968" s="454">
        <v>2242</v>
      </c>
      <c r="J968" s="454">
        <v>2256</v>
      </c>
      <c r="K968" s="454">
        <v>1966</v>
      </c>
      <c r="L968" s="454">
        <v>1564</v>
      </c>
      <c r="M968" s="454">
        <v>1086</v>
      </c>
      <c r="N968" s="454">
        <v>696</v>
      </c>
      <c r="O968" s="454">
        <v>551</v>
      </c>
      <c r="P968" s="454">
        <v>1411</v>
      </c>
      <c r="Q968" s="454">
        <v>4</v>
      </c>
      <c r="R968" s="455">
        <f t="shared" si="15"/>
        <v>1410.4166666666667</v>
      </c>
    </row>
    <row r="969" spans="1:18" ht="13.5" customHeight="1" x14ac:dyDescent="0.2">
      <c r="A969" s="449" t="s">
        <v>1633</v>
      </c>
      <c r="B969" s="458" t="s">
        <v>1638</v>
      </c>
      <c r="C969" s="451" t="s">
        <v>1639</v>
      </c>
      <c r="D969" s="454">
        <v>654</v>
      </c>
      <c r="E969" s="454">
        <v>928</v>
      </c>
      <c r="F969" s="454">
        <v>1342</v>
      </c>
      <c r="G969" s="454">
        <v>1738</v>
      </c>
      <c r="H969" s="454">
        <v>2044</v>
      </c>
      <c r="I969" s="454">
        <v>2307</v>
      </c>
      <c r="J969" s="454">
        <v>2301</v>
      </c>
      <c r="K969" s="454">
        <v>2019</v>
      </c>
      <c r="L969" s="454">
        <v>1673</v>
      </c>
      <c r="M969" s="454">
        <v>1186</v>
      </c>
      <c r="N969" s="454">
        <v>716</v>
      </c>
      <c r="O969" s="454">
        <v>564</v>
      </c>
      <c r="P969" s="454">
        <v>1456</v>
      </c>
      <c r="Q969" s="454">
        <v>4</v>
      </c>
      <c r="R969" s="455">
        <f t="shared" si="15"/>
        <v>1456</v>
      </c>
    </row>
    <row r="970" spans="1:18" ht="13.5" customHeight="1" x14ac:dyDescent="0.2">
      <c r="A970" s="449" t="s">
        <v>1634</v>
      </c>
      <c r="B970" s="458" t="s">
        <v>1638</v>
      </c>
      <c r="C970" s="451" t="s">
        <v>1639</v>
      </c>
      <c r="D970" s="454">
        <v>482</v>
      </c>
      <c r="E970" s="454">
        <v>767</v>
      </c>
      <c r="F970" s="454">
        <v>1145</v>
      </c>
      <c r="G970" s="454">
        <v>1509</v>
      </c>
      <c r="H970" s="454">
        <v>1850</v>
      </c>
      <c r="I970" s="454">
        <v>2030</v>
      </c>
      <c r="J970" s="454">
        <v>2152</v>
      </c>
      <c r="K970" s="454">
        <v>1860</v>
      </c>
      <c r="L970" s="454">
        <v>1419</v>
      </c>
      <c r="M970" s="454">
        <v>909</v>
      </c>
      <c r="N970" s="454">
        <v>569</v>
      </c>
      <c r="O970" s="454">
        <v>429</v>
      </c>
      <c r="P970" s="454">
        <v>1260</v>
      </c>
      <c r="Q970" s="454">
        <v>4</v>
      </c>
      <c r="R970" s="455">
        <f t="shared" si="15"/>
        <v>1260.0833333333333</v>
      </c>
    </row>
    <row r="971" spans="1:18" ht="13.5" customHeight="1" x14ac:dyDescent="0.15">
      <c r="A971" s="449" t="s">
        <v>1391</v>
      </c>
      <c r="B971" s="450" t="s">
        <v>1640</v>
      </c>
      <c r="C971" s="451" t="s">
        <v>1641</v>
      </c>
      <c r="D971" s="462"/>
      <c r="E971" s="462"/>
      <c r="F971" s="462"/>
      <c r="G971" s="462"/>
      <c r="H971" s="462"/>
      <c r="I971" s="462"/>
      <c r="J971" s="462"/>
      <c r="K971" s="462"/>
      <c r="L971" s="462"/>
      <c r="M971" s="462"/>
      <c r="N971" s="462"/>
      <c r="O971" s="462"/>
      <c r="P971" s="463">
        <v>14.37</v>
      </c>
      <c r="Q971" s="454">
        <v>5</v>
      </c>
      <c r="R971" s="455"/>
    </row>
    <row r="972" spans="1:18" ht="13.5" customHeight="1" x14ac:dyDescent="0.15">
      <c r="A972" s="449" t="s">
        <v>1394</v>
      </c>
      <c r="B972" s="450" t="s">
        <v>1640</v>
      </c>
      <c r="C972" s="451" t="s">
        <v>1641</v>
      </c>
      <c r="D972" s="462"/>
      <c r="E972" s="462"/>
      <c r="F972" s="462"/>
      <c r="G972" s="462"/>
      <c r="H972" s="462"/>
      <c r="I972" s="462"/>
      <c r="J972" s="462"/>
      <c r="K972" s="462"/>
      <c r="L972" s="462"/>
      <c r="M972" s="462"/>
      <c r="N972" s="462"/>
      <c r="O972" s="462"/>
      <c r="P972" s="463">
        <v>14.36</v>
      </c>
      <c r="Q972" s="454">
        <v>5</v>
      </c>
      <c r="R972" s="455"/>
    </row>
    <row r="973" spans="1:18" ht="13.5" customHeight="1" x14ac:dyDescent="0.15">
      <c r="A973" s="449" t="s">
        <v>1395</v>
      </c>
      <c r="B973" s="450" t="s">
        <v>1640</v>
      </c>
      <c r="C973" s="451" t="s">
        <v>1641</v>
      </c>
      <c r="D973" s="462"/>
      <c r="E973" s="462"/>
      <c r="F973" s="462"/>
      <c r="G973" s="462"/>
      <c r="H973" s="462"/>
      <c r="I973" s="462"/>
      <c r="J973" s="462"/>
      <c r="K973" s="462"/>
      <c r="L973" s="462"/>
      <c r="M973" s="462"/>
      <c r="N973" s="462"/>
      <c r="O973" s="462"/>
      <c r="P973" s="463">
        <v>14.58</v>
      </c>
      <c r="Q973" s="454">
        <v>5</v>
      </c>
      <c r="R973" s="455"/>
    </row>
    <row r="974" spans="1:18" ht="13.5" customHeight="1" x14ac:dyDescent="0.15">
      <c r="A974" s="449" t="s">
        <v>1396</v>
      </c>
      <c r="B974" s="450" t="s">
        <v>1640</v>
      </c>
      <c r="C974" s="451" t="s">
        <v>1641</v>
      </c>
      <c r="D974" s="462"/>
      <c r="E974" s="462"/>
      <c r="F974" s="462"/>
      <c r="G974" s="462"/>
      <c r="H974" s="462"/>
      <c r="I974" s="462"/>
      <c r="J974" s="462"/>
      <c r="K974" s="462"/>
      <c r="L974" s="462"/>
      <c r="M974" s="462"/>
      <c r="N974" s="462"/>
      <c r="O974" s="462"/>
      <c r="P974" s="463">
        <v>14.59</v>
      </c>
      <c r="Q974" s="454">
        <v>5</v>
      </c>
      <c r="R974" s="455"/>
    </row>
    <row r="975" spans="1:18" ht="13.5" customHeight="1" x14ac:dyDescent="0.15">
      <c r="A975" s="449" t="s">
        <v>1397</v>
      </c>
      <c r="B975" s="450" t="s">
        <v>1640</v>
      </c>
      <c r="C975" s="451" t="s">
        <v>1641</v>
      </c>
      <c r="D975" s="462"/>
      <c r="E975" s="462"/>
      <c r="F975" s="462"/>
      <c r="G975" s="462"/>
      <c r="H975" s="462"/>
      <c r="I975" s="462"/>
      <c r="J975" s="462"/>
      <c r="K975" s="462"/>
      <c r="L975" s="462"/>
      <c r="M975" s="462"/>
      <c r="N975" s="462"/>
      <c r="O975" s="462"/>
      <c r="P975" s="463">
        <v>14.11</v>
      </c>
      <c r="Q975" s="454">
        <v>5</v>
      </c>
      <c r="R975" s="455"/>
    </row>
    <row r="976" spans="1:18" ht="13.5" customHeight="1" x14ac:dyDescent="0.15">
      <c r="A976" s="449" t="s">
        <v>1398</v>
      </c>
      <c r="B976" s="450" t="s">
        <v>1640</v>
      </c>
      <c r="C976" s="451" t="s">
        <v>1641</v>
      </c>
      <c r="D976" s="462"/>
      <c r="E976" s="462"/>
      <c r="F976" s="462"/>
      <c r="G976" s="462"/>
      <c r="H976" s="462"/>
      <c r="I976" s="462"/>
      <c r="J976" s="462"/>
      <c r="K976" s="462"/>
      <c r="L976" s="462"/>
      <c r="M976" s="462"/>
      <c r="N976" s="462"/>
      <c r="O976" s="462"/>
      <c r="P976" s="463">
        <v>12.24</v>
      </c>
      <c r="Q976" s="454">
        <v>5</v>
      </c>
      <c r="R976" s="455"/>
    </row>
    <row r="977" spans="1:18" ht="13.5" customHeight="1" x14ac:dyDescent="0.15">
      <c r="A977" s="449" t="s">
        <v>1399</v>
      </c>
      <c r="B977" s="450" t="s">
        <v>1640</v>
      </c>
      <c r="C977" s="451" t="s">
        <v>1641</v>
      </c>
      <c r="D977" s="462"/>
      <c r="E977" s="462"/>
      <c r="F977" s="462"/>
      <c r="G977" s="462"/>
      <c r="H977" s="462"/>
      <c r="I977" s="462"/>
      <c r="J977" s="462"/>
      <c r="K977" s="462"/>
      <c r="L977" s="462"/>
      <c r="M977" s="462"/>
      <c r="N977" s="462"/>
      <c r="O977" s="462"/>
      <c r="P977" s="463">
        <v>13.4</v>
      </c>
      <c r="Q977" s="454">
        <v>5</v>
      </c>
      <c r="R977" s="455"/>
    </row>
    <row r="978" spans="1:18" ht="13.5" customHeight="1" x14ac:dyDescent="0.15">
      <c r="A978" s="449" t="s">
        <v>1400</v>
      </c>
      <c r="B978" s="450" t="s">
        <v>1640</v>
      </c>
      <c r="C978" s="451" t="s">
        <v>1641</v>
      </c>
      <c r="D978" s="462"/>
      <c r="E978" s="462"/>
      <c r="F978" s="462"/>
      <c r="G978" s="462"/>
      <c r="H978" s="462"/>
      <c r="I978" s="462"/>
      <c r="J978" s="462"/>
      <c r="K978" s="462"/>
      <c r="L978" s="462"/>
      <c r="M978" s="462"/>
      <c r="N978" s="462"/>
      <c r="O978" s="462"/>
      <c r="P978" s="463">
        <v>14.46</v>
      </c>
      <c r="Q978" s="454">
        <v>5</v>
      </c>
      <c r="R978" s="455"/>
    </row>
    <row r="979" spans="1:18" ht="13.5" customHeight="1" x14ac:dyDescent="0.15">
      <c r="A979" s="449" t="s">
        <v>1401</v>
      </c>
      <c r="B979" s="450" t="s">
        <v>1640</v>
      </c>
      <c r="C979" s="451" t="s">
        <v>1641</v>
      </c>
      <c r="D979" s="462"/>
      <c r="E979" s="462"/>
      <c r="F979" s="462"/>
      <c r="G979" s="462"/>
      <c r="H979" s="462"/>
      <c r="I979" s="462"/>
      <c r="J979" s="462"/>
      <c r="K979" s="462"/>
      <c r="L979" s="462"/>
      <c r="M979" s="462"/>
      <c r="N979" s="462"/>
      <c r="O979" s="462"/>
      <c r="P979" s="463">
        <v>14.56</v>
      </c>
      <c r="Q979" s="454">
        <v>5</v>
      </c>
      <c r="R979" s="455"/>
    </row>
    <row r="980" spans="1:18" ht="13.5" customHeight="1" x14ac:dyDescent="0.15">
      <c r="A980" s="449" t="s">
        <v>1402</v>
      </c>
      <c r="B980" s="450" t="s">
        <v>1640</v>
      </c>
      <c r="C980" s="451" t="s">
        <v>1641</v>
      </c>
      <c r="D980" s="462"/>
      <c r="E980" s="462"/>
      <c r="F980" s="462"/>
      <c r="G980" s="462"/>
      <c r="H980" s="462"/>
      <c r="I980" s="462"/>
      <c r="J980" s="462"/>
      <c r="K980" s="462"/>
      <c r="L980" s="462"/>
      <c r="M980" s="462"/>
      <c r="N980" s="462"/>
      <c r="O980" s="462"/>
      <c r="P980" s="463">
        <v>14.59</v>
      </c>
      <c r="Q980" s="454">
        <v>5</v>
      </c>
      <c r="R980" s="455"/>
    </row>
    <row r="981" spans="1:18" ht="13.5" customHeight="1" x14ac:dyDescent="0.15">
      <c r="A981" s="449" t="s">
        <v>1403</v>
      </c>
      <c r="B981" s="450" t="s">
        <v>1640</v>
      </c>
      <c r="C981" s="451" t="s">
        <v>1641</v>
      </c>
      <c r="D981" s="462"/>
      <c r="E981" s="462"/>
      <c r="F981" s="462"/>
      <c r="G981" s="462"/>
      <c r="H981" s="462"/>
      <c r="I981" s="462"/>
      <c r="J981" s="462"/>
      <c r="K981" s="462"/>
      <c r="L981" s="462"/>
      <c r="M981" s="462"/>
      <c r="N981" s="462"/>
      <c r="O981" s="462"/>
      <c r="P981" s="463">
        <v>14.43</v>
      </c>
      <c r="Q981" s="454">
        <v>5</v>
      </c>
      <c r="R981" s="455"/>
    </row>
    <row r="982" spans="1:18" ht="13.5" customHeight="1" x14ac:dyDescent="0.15">
      <c r="A982" s="449" t="s">
        <v>1404</v>
      </c>
      <c r="B982" s="450" t="s">
        <v>1640</v>
      </c>
      <c r="C982" s="451" t="s">
        <v>1641</v>
      </c>
      <c r="D982" s="462"/>
      <c r="E982" s="462"/>
      <c r="F982" s="462"/>
      <c r="G982" s="462"/>
      <c r="H982" s="462"/>
      <c r="I982" s="462"/>
      <c r="J982" s="462"/>
      <c r="K982" s="462"/>
      <c r="L982" s="462"/>
      <c r="M982" s="462"/>
      <c r="N982" s="462"/>
      <c r="O982" s="462"/>
      <c r="P982" s="463">
        <v>12.68</v>
      </c>
      <c r="Q982" s="454">
        <v>5</v>
      </c>
      <c r="R982" s="455"/>
    </row>
    <row r="983" spans="1:18" ht="13.5" customHeight="1" x14ac:dyDescent="0.15">
      <c r="A983" s="449" t="s">
        <v>1405</v>
      </c>
      <c r="B983" s="450" t="s">
        <v>1640</v>
      </c>
      <c r="C983" s="451" t="s">
        <v>1641</v>
      </c>
      <c r="D983" s="462"/>
      <c r="E983" s="462"/>
      <c r="F983" s="462"/>
      <c r="G983" s="462"/>
      <c r="H983" s="462"/>
      <c r="I983" s="462"/>
      <c r="J983" s="462"/>
      <c r="K983" s="462"/>
      <c r="L983" s="462"/>
      <c r="M983" s="462"/>
      <c r="N983" s="462"/>
      <c r="O983" s="462"/>
      <c r="P983" s="463">
        <v>13.71</v>
      </c>
      <c r="Q983" s="454">
        <v>5</v>
      </c>
      <c r="R983" s="455"/>
    </row>
    <row r="984" spans="1:18" ht="13.5" customHeight="1" x14ac:dyDescent="0.15">
      <c r="A984" s="449" t="s">
        <v>1406</v>
      </c>
      <c r="B984" s="450" t="s">
        <v>1640</v>
      </c>
      <c r="C984" s="451" t="s">
        <v>1641</v>
      </c>
      <c r="D984" s="462"/>
      <c r="E984" s="462"/>
      <c r="F984" s="462"/>
      <c r="G984" s="462"/>
      <c r="H984" s="462"/>
      <c r="I984" s="462"/>
      <c r="J984" s="462"/>
      <c r="K984" s="462"/>
      <c r="L984" s="462"/>
      <c r="M984" s="462"/>
      <c r="N984" s="462"/>
      <c r="O984" s="462"/>
      <c r="P984" s="463">
        <v>14.52</v>
      </c>
      <c r="Q984" s="454">
        <v>5</v>
      </c>
      <c r="R984" s="455"/>
    </row>
    <row r="985" spans="1:18" ht="13.5" customHeight="1" x14ac:dyDescent="0.15">
      <c r="A985" s="449" t="s">
        <v>1407</v>
      </c>
      <c r="B985" s="450" t="s">
        <v>1640</v>
      </c>
      <c r="C985" s="451" t="s">
        <v>1641</v>
      </c>
      <c r="D985" s="462"/>
      <c r="E985" s="462"/>
      <c r="F985" s="462"/>
      <c r="G985" s="462"/>
      <c r="H985" s="462"/>
      <c r="I985" s="462"/>
      <c r="J985" s="462"/>
      <c r="K985" s="462"/>
      <c r="L985" s="462"/>
      <c r="M985" s="462"/>
      <c r="N985" s="462"/>
      <c r="O985" s="462"/>
      <c r="P985" s="463">
        <v>14.68</v>
      </c>
      <c r="Q985" s="454">
        <v>5</v>
      </c>
      <c r="R985" s="455"/>
    </row>
    <row r="986" spans="1:18" ht="13.5" customHeight="1" x14ac:dyDescent="0.15">
      <c r="A986" s="449" t="s">
        <v>1408</v>
      </c>
      <c r="B986" s="450" t="s">
        <v>1640</v>
      </c>
      <c r="C986" s="451" t="s">
        <v>1641</v>
      </c>
      <c r="D986" s="462"/>
      <c r="E986" s="462"/>
      <c r="F986" s="462"/>
      <c r="G986" s="462"/>
      <c r="H986" s="462"/>
      <c r="I986" s="462"/>
      <c r="J986" s="462"/>
      <c r="K986" s="462"/>
      <c r="L986" s="462"/>
      <c r="M986" s="462"/>
      <c r="N986" s="462"/>
      <c r="O986" s="462"/>
      <c r="P986" s="463">
        <v>14.63</v>
      </c>
      <c r="Q986" s="454">
        <v>5</v>
      </c>
      <c r="R986" s="455"/>
    </row>
    <row r="987" spans="1:18" ht="13.5" customHeight="1" x14ac:dyDescent="0.15">
      <c r="A987" s="449" t="s">
        <v>1409</v>
      </c>
      <c r="B987" s="450" t="s">
        <v>1640</v>
      </c>
      <c r="C987" s="451" t="s">
        <v>1641</v>
      </c>
      <c r="D987" s="462"/>
      <c r="E987" s="462"/>
      <c r="F987" s="462"/>
      <c r="G987" s="462"/>
      <c r="H987" s="462"/>
      <c r="I987" s="462"/>
      <c r="J987" s="462"/>
      <c r="K987" s="462"/>
      <c r="L987" s="462"/>
      <c r="M987" s="462"/>
      <c r="N987" s="462"/>
      <c r="O987" s="462"/>
      <c r="P987" s="463">
        <v>14.43</v>
      </c>
      <c r="Q987" s="454">
        <v>5</v>
      </c>
      <c r="R987" s="455"/>
    </row>
    <row r="988" spans="1:18" ht="13.5" customHeight="1" x14ac:dyDescent="0.15">
      <c r="A988" s="449" t="s">
        <v>1410</v>
      </c>
      <c r="B988" s="450" t="s">
        <v>1640</v>
      </c>
      <c r="C988" s="451" t="s">
        <v>1641</v>
      </c>
      <c r="D988" s="462"/>
      <c r="E988" s="462"/>
      <c r="F988" s="462"/>
      <c r="G988" s="462"/>
      <c r="H988" s="462"/>
      <c r="I988" s="462"/>
      <c r="J988" s="462"/>
      <c r="K988" s="462"/>
      <c r="L988" s="462"/>
      <c r="M988" s="462"/>
      <c r="N988" s="462"/>
      <c r="O988" s="462"/>
      <c r="P988" s="463">
        <v>14.68</v>
      </c>
      <c r="Q988" s="454">
        <v>5</v>
      </c>
      <c r="R988" s="455"/>
    </row>
    <row r="989" spans="1:18" ht="13.5" customHeight="1" x14ac:dyDescent="0.15">
      <c r="A989" s="449" t="s">
        <v>1411</v>
      </c>
      <c r="B989" s="450" t="s">
        <v>1640</v>
      </c>
      <c r="C989" s="451" t="s">
        <v>1641</v>
      </c>
      <c r="D989" s="462"/>
      <c r="E989" s="462"/>
      <c r="F989" s="462"/>
      <c r="G989" s="462"/>
      <c r="H989" s="462"/>
      <c r="I989" s="462"/>
      <c r="J989" s="462"/>
      <c r="K989" s="462"/>
      <c r="L989" s="462"/>
      <c r="M989" s="462"/>
      <c r="N989" s="462"/>
      <c r="O989" s="462"/>
      <c r="P989" s="463">
        <v>14.69</v>
      </c>
      <c r="Q989" s="454">
        <v>5</v>
      </c>
      <c r="R989" s="455"/>
    </row>
    <row r="990" spans="1:18" ht="13.5" customHeight="1" x14ac:dyDescent="0.15">
      <c r="A990" s="449" t="s">
        <v>1412</v>
      </c>
      <c r="B990" s="450" t="s">
        <v>1640</v>
      </c>
      <c r="C990" s="451" t="s">
        <v>1641</v>
      </c>
      <c r="D990" s="462"/>
      <c r="E990" s="462"/>
      <c r="F990" s="462"/>
      <c r="G990" s="462"/>
      <c r="H990" s="462"/>
      <c r="I990" s="462"/>
      <c r="J990" s="462"/>
      <c r="K990" s="462"/>
      <c r="L990" s="462"/>
      <c r="M990" s="462"/>
      <c r="N990" s="462"/>
      <c r="O990" s="462"/>
      <c r="P990" s="463">
        <v>14.69</v>
      </c>
      <c r="Q990" s="454">
        <v>5</v>
      </c>
      <c r="R990" s="455"/>
    </row>
    <row r="991" spans="1:18" ht="13.5" customHeight="1" x14ac:dyDescent="0.15">
      <c r="A991" s="449" t="s">
        <v>1413</v>
      </c>
      <c r="B991" s="450" t="s">
        <v>1640</v>
      </c>
      <c r="C991" s="451" t="s">
        <v>1641</v>
      </c>
      <c r="D991" s="462"/>
      <c r="E991" s="462"/>
      <c r="F991" s="462"/>
      <c r="G991" s="462"/>
      <c r="H991" s="462"/>
      <c r="I991" s="462"/>
      <c r="J991" s="462"/>
      <c r="K991" s="462"/>
      <c r="L991" s="462"/>
      <c r="M991" s="462"/>
      <c r="N991" s="462"/>
      <c r="O991" s="462"/>
      <c r="P991" s="463">
        <v>14.69</v>
      </c>
      <c r="Q991" s="454">
        <v>5</v>
      </c>
      <c r="R991" s="455"/>
    </row>
    <row r="992" spans="1:18" ht="13.5" customHeight="1" x14ac:dyDescent="0.15">
      <c r="A992" s="449" t="s">
        <v>1414</v>
      </c>
      <c r="B992" s="450" t="s">
        <v>1640</v>
      </c>
      <c r="C992" s="451" t="s">
        <v>1641</v>
      </c>
      <c r="D992" s="462"/>
      <c r="E992" s="462"/>
      <c r="F992" s="462"/>
      <c r="G992" s="462"/>
      <c r="H992" s="462"/>
      <c r="I992" s="462"/>
      <c r="J992" s="462"/>
      <c r="K992" s="462"/>
      <c r="L992" s="462"/>
      <c r="M992" s="462"/>
      <c r="N992" s="462"/>
      <c r="O992" s="462"/>
      <c r="P992" s="463">
        <v>14.56</v>
      </c>
      <c r="Q992" s="454">
        <v>5</v>
      </c>
      <c r="R992" s="455"/>
    </row>
    <row r="993" spans="1:18" ht="13.5" customHeight="1" x14ac:dyDescent="0.15">
      <c r="A993" s="449" t="s">
        <v>1415</v>
      </c>
      <c r="B993" s="450" t="s">
        <v>1640</v>
      </c>
      <c r="C993" s="451" t="s">
        <v>1641</v>
      </c>
      <c r="D993" s="462"/>
      <c r="E993" s="462"/>
      <c r="F993" s="462"/>
      <c r="G993" s="462"/>
      <c r="H993" s="462"/>
      <c r="I993" s="462"/>
      <c r="J993" s="462"/>
      <c r="K993" s="462"/>
      <c r="L993" s="462"/>
      <c r="M993" s="462"/>
      <c r="N993" s="462"/>
      <c r="O993" s="462"/>
      <c r="P993" s="463">
        <v>14.68</v>
      </c>
      <c r="Q993" s="454">
        <v>5</v>
      </c>
      <c r="R993" s="455"/>
    </row>
    <row r="994" spans="1:18" ht="13.5" customHeight="1" x14ac:dyDescent="0.15">
      <c r="A994" s="449" t="s">
        <v>1416</v>
      </c>
      <c r="B994" s="450" t="s">
        <v>1640</v>
      </c>
      <c r="C994" s="451" t="s">
        <v>1641</v>
      </c>
      <c r="D994" s="462"/>
      <c r="E994" s="462"/>
      <c r="F994" s="462"/>
      <c r="G994" s="462"/>
      <c r="H994" s="462"/>
      <c r="I994" s="462"/>
      <c r="J994" s="462"/>
      <c r="K994" s="462"/>
      <c r="L994" s="462"/>
      <c r="M994" s="462"/>
      <c r="N994" s="462"/>
      <c r="O994" s="462"/>
      <c r="P994" s="463">
        <v>11.2</v>
      </c>
      <c r="Q994" s="454">
        <v>5</v>
      </c>
      <c r="R994" s="455"/>
    </row>
    <row r="995" spans="1:18" ht="13.5" customHeight="1" x14ac:dyDescent="0.15">
      <c r="A995" s="449" t="s">
        <v>1417</v>
      </c>
      <c r="B995" s="450" t="s">
        <v>1640</v>
      </c>
      <c r="C995" s="451" t="s">
        <v>1641</v>
      </c>
      <c r="D995" s="462"/>
      <c r="E995" s="462"/>
      <c r="F995" s="462"/>
      <c r="G995" s="462"/>
      <c r="H995" s="462"/>
      <c r="I995" s="462"/>
      <c r="J995" s="462"/>
      <c r="K995" s="462"/>
      <c r="L995" s="462"/>
      <c r="M995" s="462"/>
      <c r="N995" s="462"/>
      <c r="O995" s="462"/>
      <c r="P995" s="463">
        <v>11.78</v>
      </c>
      <c r="Q995" s="454">
        <v>5</v>
      </c>
      <c r="R995" s="455"/>
    </row>
    <row r="996" spans="1:18" ht="13.5" customHeight="1" x14ac:dyDescent="0.15">
      <c r="A996" s="449" t="s">
        <v>1418</v>
      </c>
      <c r="B996" s="450" t="s">
        <v>1640</v>
      </c>
      <c r="C996" s="451" t="s">
        <v>1641</v>
      </c>
      <c r="D996" s="462"/>
      <c r="E996" s="462"/>
      <c r="F996" s="462"/>
      <c r="G996" s="462"/>
      <c r="H996" s="462"/>
      <c r="I996" s="462"/>
      <c r="J996" s="462"/>
      <c r="K996" s="462"/>
      <c r="L996" s="462"/>
      <c r="M996" s="462"/>
      <c r="N996" s="462"/>
      <c r="O996" s="462"/>
      <c r="P996" s="463">
        <v>12.08</v>
      </c>
      <c r="Q996" s="454">
        <v>5</v>
      </c>
      <c r="R996" s="455"/>
    </row>
    <row r="997" spans="1:18" ht="13.5" customHeight="1" x14ac:dyDescent="0.15">
      <c r="A997" s="449" t="s">
        <v>1419</v>
      </c>
      <c r="B997" s="450" t="s">
        <v>1640</v>
      </c>
      <c r="C997" s="451" t="s">
        <v>1641</v>
      </c>
      <c r="D997" s="462"/>
      <c r="E997" s="462"/>
      <c r="F997" s="462"/>
      <c r="G997" s="462"/>
      <c r="H997" s="462"/>
      <c r="I997" s="462"/>
      <c r="J997" s="462"/>
      <c r="K997" s="462"/>
      <c r="L997" s="462"/>
      <c r="M997" s="462"/>
      <c r="N997" s="462"/>
      <c r="O997" s="462"/>
      <c r="P997" s="463">
        <v>12.34</v>
      </c>
      <c r="Q997" s="454">
        <v>5</v>
      </c>
      <c r="R997" s="455"/>
    </row>
    <row r="998" spans="1:18" ht="13.5" customHeight="1" x14ac:dyDescent="0.15">
      <c r="A998" s="449" t="s">
        <v>1420</v>
      </c>
      <c r="B998" s="450" t="s">
        <v>1640</v>
      </c>
      <c r="C998" s="451" t="s">
        <v>1641</v>
      </c>
      <c r="D998" s="462"/>
      <c r="E998" s="462"/>
      <c r="F998" s="462"/>
      <c r="G998" s="462"/>
      <c r="H998" s="462"/>
      <c r="I998" s="462"/>
      <c r="J998" s="462"/>
      <c r="K998" s="462"/>
      <c r="L998" s="462"/>
      <c r="M998" s="462"/>
      <c r="N998" s="462"/>
      <c r="O998" s="462"/>
      <c r="P998" s="463">
        <v>12.02</v>
      </c>
      <c r="Q998" s="454">
        <v>5</v>
      </c>
      <c r="R998" s="455"/>
    </row>
    <row r="999" spans="1:18" ht="13.5" customHeight="1" x14ac:dyDescent="0.15">
      <c r="A999" s="449" t="s">
        <v>1421</v>
      </c>
      <c r="B999" s="450" t="s">
        <v>1640</v>
      </c>
      <c r="C999" s="451" t="s">
        <v>1641</v>
      </c>
      <c r="D999" s="462"/>
      <c r="E999" s="462"/>
      <c r="F999" s="462"/>
      <c r="G999" s="462"/>
      <c r="H999" s="462"/>
      <c r="I999" s="462"/>
      <c r="J999" s="462"/>
      <c r="K999" s="462"/>
      <c r="L999" s="462"/>
      <c r="M999" s="462"/>
      <c r="N999" s="462"/>
      <c r="O999" s="462"/>
      <c r="P999" s="463">
        <v>12.4</v>
      </c>
      <c r="Q999" s="454">
        <v>5</v>
      </c>
      <c r="R999" s="455"/>
    </row>
    <row r="1000" spans="1:18" ht="13.5" customHeight="1" x14ac:dyDescent="0.15">
      <c r="A1000" s="449" t="s">
        <v>1422</v>
      </c>
      <c r="B1000" s="450" t="s">
        <v>1640</v>
      </c>
      <c r="C1000" s="451" t="s">
        <v>1641</v>
      </c>
      <c r="D1000" s="462"/>
      <c r="E1000" s="462"/>
      <c r="F1000" s="462"/>
      <c r="G1000" s="462"/>
      <c r="H1000" s="462"/>
      <c r="I1000" s="462"/>
      <c r="J1000" s="462"/>
      <c r="K1000" s="462"/>
      <c r="L1000" s="462"/>
      <c r="M1000" s="462"/>
      <c r="N1000" s="462"/>
      <c r="O1000" s="462"/>
      <c r="P1000" s="463">
        <v>14.69</v>
      </c>
      <c r="Q1000" s="454">
        <v>5</v>
      </c>
      <c r="R1000" s="455"/>
    </row>
    <row r="1001" spans="1:18" ht="13.5" customHeight="1" x14ac:dyDescent="0.15">
      <c r="A1001" s="449" t="s">
        <v>1423</v>
      </c>
      <c r="B1001" s="450" t="s">
        <v>1640</v>
      </c>
      <c r="C1001" s="451" t="s">
        <v>1641</v>
      </c>
      <c r="D1001" s="462"/>
      <c r="E1001" s="462"/>
      <c r="F1001" s="462"/>
      <c r="G1001" s="462"/>
      <c r="H1001" s="462"/>
      <c r="I1001" s="462"/>
      <c r="J1001" s="462"/>
      <c r="K1001" s="462"/>
      <c r="L1001" s="462"/>
      <c r="M1001" s="462"/>
      <c r="N1001" s="462"/>
      <c r="O1001" s="462"/>
      <c r="P1001" s="463">
        <v>14.61</v>
      </c>
      <c r="Q1001" s="454">
        <v>5</v>
      </c>
      <c r="R1001" s="455"/>
    </row>
    <row r="1002" spans="1:18" ht="13.5" customHeight="1" x14ac:dyDescent="0.15">
      <c r="A1002" s="449" t="s">
        <v>1424</v>
      </c>
      <c r="B1002" s="450" t="s">
        <v>1640</v>
      </c>
      <c r="C1002" s="451" t="s">
        <v>1641</v>
      </c>
      <c r="D1002" s="462"/>
      <c r="E1002" s="462"/>
      <c r="F1002" s="462"/>
      <c r="G1002" s="462"/>
      <c r="H1002" s="462"/>
      <c r="I1002" s="462"/>
      <c r="J1002" s="462"/>
      <c r="K1002" s="462"/>
      <c r="L1002" s="462"/>
      <c r="M1002" s="462"/>
      <c r="N1002" s="462"/>
      <c r="O1002" s="462"/>
      <c r="P1002" s="463">
        <v>14.65</v>
      </c>
      <c r="Q1002" s="454">
        <v>5</v>
      </c>
      <c r="R1002" s="455"/>
    </row>
    <row r="1003" spans="1:18" ht="13.5" customHeight="1" x14ac:dyDescent="0.15">
      <c r="A1003" s="449" t="s">
        <v>1425</v>
      </c>
      <c r="B1003" s="450" t="s">
        <v>1640</v>
      </c>
      <c r="C1003" s="451" t="s">
        <v>1641</v>
      </c>
      <c r="D1003" s="462"/>
      <c r="E1003" s="462"/>
      <c r="F1003" s="462"/>
      <c r="G1003" s="462"/>
      <c r="H1003" s="462"/>
      <c r="I1003" s="462"/>
      <c r="J1003" s="462"/>
      <c r="K1003" s="462"/>
      <c r="L1003" s="462"/>
      <c r="M1003" s="462"/>
      <c r="N1003" s="462"/>
      <c r="O1003" s="462"/>
      <c r="P1003" s="463">
        <v>14.68</v>
      </c>
      <c r="Q1003" s="454">
        <v>5</v>
      </c>
      <c r="R1003" s="455"/>
    </row>
    <row r="1004" spans="1:18" ht="13.5" customHeight="1" x14ac:dyDescent="0.15">
      <c r="A1004" s="449" t="s">
        <v>1426</v>
      </c>
      <c r="B1004" s="450" t="s">
        <v>1640</v>
      </c>
      <c r="C1004" s="451" t="s">
        <v>1641</v>
      </c>
      <c r="D1004" s="462"/>
      <c r="E1004" s="462"/>
      <c r="F1004" s="462"/>
      <c r="G1004" s="462"/>
      <c r="H1004" s="462"/>
      <c r="I1004" s="462"/>
      <c r="J1004" s="462"/>
      <c r="K1004" s="462"/>
      <c r="L1004" s="462"/>
      <c r="M1004" s="462"/>
      <c r="N1004" s="462"/>
      <c r="O1004" s="462"/>
      <c r="P1004" s="463">
        <v>14.68</v>
      </c>
      <c r="Q1004" s="454">
        <v>5</v>
      </c>
      <c r="R1004" s="455"/>
    </row>
    <row r="1005" spans="1:18" ht="13.5" customHeight="1" x14ac:dyDescent="0.15">
      <c r="A1005" s="449" t="s">
        <v>1427</v>
      </c>
      <c r="B1005" s="450" t="s">
        <v>1640</v>
      </c>
      <c r="C1005" s="451" t="s">
        <v>1641</v>
      </c>
      <c r="D1005" s="462"/>
      <c r="E1005" s="462"/>
      <c r="F1005" s="462"/>
      <c r="G1005" s="462"/>
      <c r="H1005" s="462"/>
      <c r="I1005" s="462"/>
      <c r="J1005" s="462"/>
      <c r="K1005" s="462"/>
      <c r="L1005" s="462"/>
      <c r="M1005" s="462"/>
      <c r="N1005" s="462"/>
      <c r="O1005" s="462"/>
      <c r="P1005" s="463">
        <v>14.62</v>
      </c>
      <c r="Q1005" s="454">
        <v>5</v>
      </c>
      <c r="R1005" s="455"/>
    </row>
    <row r="1006" spans="1:18" ht="13.5" customHeight="1" x14ac:dyDescent="0.15">
      <c r="A1006" s="449" t="s">
        <v>1428</v>
      </c>
      <c r="B1006" s="450" t="s">
        <v>1640</v>
      </c>
      <c r="C1006" s="451" t="s">
        <v>1641</v>
      </c>
      <c r="D1006" s="462"/>
      <c r="E1006" s="462"/>
      <c r="F1006" s="462"/>
      <c r="G1006" s="462"/>
      <c r="H1006" s="462"/>
      <c r="I1006" s="462"/>
      <c r="J1006" s="462"/>
      <c r="K1006" s="462"/>
      <c r="L1006" s="462"/>
      <c r="M1006" s="462"/>
      <c r="N1006" s="462"/>
      <c r="O1006" s="462"/>
      <c r="P1006" s="463">
        <v>14.68</v>
      </c>
      <c r="Q1006" s="454">
        <v>5</v>
      </c>
      <c r="R1006" s="455"/>
    </row>
    <row r="1007" spans="1:18" ht="13.5" customHeight="1" x14ac:dyDescent="0.15">
      <c r="A1007" s="449" t="s">
        <v>1429</v>
      </c>
      <c r="B1007" s="450" t="s">
        <v>1640</v>
      </c>
      <c r="C1007" s="451" t="s">
        <v>1641</v>
      </c>
      <c r="D1007" s="462"/>
      <c r="E1007" s="462"/>
      <c r="F1007" s="462"/>
      <c r="G1007" s="462"/>
      <c r="H1007" s="462"/>
      <c r="I1007" s="462"/>
      <c r="J1007" s="462"/>
      <c r="K1007" s="462"/>
      <c r="L1007" s="462"/>
      <c r="M1007" s="462"/>
      <c r="N1007" s="462"/>
      <c r="O1007" s="462"/>
      <c r="P1007" s="463">
        <v>14.69</v>
      </c>
      <c r="Q1007" s="454">
        <v>5</v>
      </c>
      <c r="R1007" s="455"/>
    </row>
    <row r="1008" spans="1:18" ht="13.5" customHeight="1" x14ac:dyDescent="0.15">
      <c r="A1008" s="449" t="s">
        <v>1430</v>
      </c>
      <c r="B1008" s="450" t="s">
        <v>1640</v>
      </c>
      <c r="C1008" s="451" t="s">
        <v>1641</v>
      </c>
      <c r="D1008" s="462"/>
      <c r="E1008" s="462"/>
      <c r="F1008" s="462"/>
      <c r="G1008" s="462"/>
      <c r="H1008" s="462"/>
      <c r="I1008" s="462"/>
      <c r="J1008" s="462"/>
      <c r="K1008" s="462"/>
      <c r="L1008" s="462"/>
      <c r="M1008" s="462"/>
      <c r="N1008" s="462"/>
      <c r="O1008" s="462"/>
      <c r="P1008" s="463">
        <v>14.68</v>
      </c>
      <c r="Q1008" s="454">
        <v>5</v>
      </c>
      <c r="R1008" s="455"/>
    </row>
    <row r="1009" spans="1:18" ht="13.5" customHeight="1" x14ac:dyDescent="0.15">
      <c r="A1009" s="449" t="s">
        <v>1431</v>
      </c>
      <c r="B1009" s="450" t="s">
        <v>1640</v>
      </c>
      <c r="C1009" s="451" t="s">
        <v>1641</v>
      </c>
      <c r="D1009" s="462"/>
      <c r="E1009" s="462"/>
      <c r="F1009" s="462"/>
      <c r="G1009" s="462"/>
      <c r="H1009" s="462"/>
      <c r="I1009" s="462"/>
      <c r="J1009" s="462"/>
      <c r="K1009" s="462"/>
      <c r="L1009" s="462"/>
      <c r="M1009" s="462"/>
      <c r="N1009" s="462"/>
      <c r="O1009" s="462"/>
      <c r="P1009" s="463">
        <v>14.65</v>
      </c>
      <c r="Q1009" s="454">
        <v>5</v>
      </c>
      <c r="R1009" s="455"/>
    </row>
    <row r="1010" spans="1:18" ht="13.5" customHeight="1" x14ac:dyDescent="0.15">
      <c r="A1010" s="449" t="s">
        <v>1432</v>
      </c>
      <c r="B1010" s="450" t="s">
        <v>1640</v>
      </c>
      <c r="C1010" s="451" t="s">
        <v>1641</v>
      </c>
      <c r="D1010" s="462"/>
      <c r="E1010" s="462"/>
      <c r="F1010" s="462"/>
      <c r="G1010" s="462"/>
      <c r="H1010" s="462"/>
      <c r="I1010" s="462"/>
      <c r="J1010" s="462"/>
      <c r="K1010" s="462"/>
      <c r="L1010" s="462"/>
      <c r="M1010" s="462"/>
      <c r="N1010" s="462"/>
      <c r="O1010" s="462"/>
      <c r="P1010" s="463">
        <v>14.63</v>
      </c>
      <c r="Q1010" s="454">
        <v>5</v>
      </c>
      <c r="R1010" s="455"/>
    </row>
    <row r="1011" spans="1:18" ht="13.5" customHeight="1" x14ac:dyDescent="0.15">
      <c r="A1011" s="449" t="s">
        <v>1433</v>
      </c>
      <c r="B1011" s="450" t="s">
        <v>1640</v>
      </c>
      <c r="C1011" s="451" t="s">
        <v>1641</v>
      </c>
      <c r="D1011" s="462"/>
      <c r="E1011" s="462"/>
      <c r="F1011" s="462"/>
      <c r="G1011" s="462"/>
      <c r="H1011" s="462"/>
      <c r="I1011" s="462"/>
      <c r="J1011" s="462"/>
      <c r="K1011" s="462"/>
      <c r="L1011" s="462"/>
      <c r="M1011" s="462"/>
      <c r="N1011" s="462"/>
      <c r="O1011" s="462"/>
      <c r="P1011" s="463">
        <v>14.65</v>
      </c>
      <c r="Q1011" s="454">
        <v>5</v>
      </c>
      <c r="R1011" s="455"/>
    </row>
    <row r="1012" spans="1:18" ht="13.5" customHeight="1" x14ac:dyDescent="0.15">
      <c r="A1012" s="449" t="s">
        <v>1434</v>
      </c>
      <c r="B1012" s="450" t="s">
        <v>1640</v>
      </c>
      <c r="C1012" s="451" t="s">
        <v>1641</v>
      </c>
      <c r="D1012" s="462"/>
      <c r="E1012" s="462"/>
      <c r="F1012" s="462"/>
      <c r="G1012" s="462"/>
      <c r="H1012" s="462"/>
      <c r="I1012" s="462"/>
      <c r="J1012" s="462"/>
      <c r="K1012" s="462"/>
      <c r="L1012" s="462"/>
      <c r="M1012" s="462"/>
      <c r="N1012" s="462"/>
      <c r="O1012" s="462"/>
      <c r="P1012" s="463">
        <v>14.68</v>
      </c>
      <c r="Q1012" s="454">
        <v>5</v>
      </c>
      <c r="R1012" s="455"/>
    </row>
    <row r="1013" spans="1:18" ht="13.5" customHeight="1" x14ac:dyDescent="0.15">
      <c r="A1013" s="449" t="s">
        <v>1435</v>
      </c>
      <c r="B1013" s="450" t="s">
        <v>1640</v>
      </c>
      <c r="C1013" s="451" t="s">
        <v>1641</v>
      </c>
      <c r="D1013" s="462"/>
      <c r="E1013" s="462"/>
      <c r="F1013" s="462"/>
      <c r="G1013" s="462"/>
      <c r="H1013" s="462"/>
      <c r="I1013" s="462"/>
      <c r="J1013" s="462"/>
      <c r="K1013" s="462"/>
      <c r="L1013" s="462"/>
      <c r="M1013" s="462"/>
      <c r="N1013" s="462"/>
      <c r="O1013" s="462"/>
      <c r="P1013" s="463">
        <v>14.68</v>
      </c>
      <c r="Q1013" s="454">
        <v>5</v>
      </c>
      <c r="R1013" s="455"/>
    </row>
    <row r="1014" spans="1:18" ht="13.5" customHeight="1" x14ac:dyDescent="0.15">
      <c r="A1014" s="449" t="s">
        <v>1436</v>
      </c>
      <c r="B1014" s="450" t="s">
        <v>1640</v>
      </c>
      <c r="C1014" s="451" t="s">
        <v>1641</v>
      </c>
      <c r="D1014" s="462"/>
      <c r="E1014" s="462"/>
      <c r="F1014" s="462"/>
      <c r="G1014" s="462"/>
      <c r="H1014" s="462"/>
      <c r="I1014" s="462"/>
      <c r="J1014" s="462"/>
      <c r="K1014" s="462"/>
      <c r="L1014" s="462"/>
      <c r="M1014" s="462"/>
      <c r="N1014" s="462"/>
      <c r="O1014" s="462"/>
      <c r="P1014" s="463">
        <v>14.68</v>
      </c>
      <c r="Q1014" s="454">
        <v>5</v>
      </c>
      <c r="R1014" s="455"/>
    </row>
    <row r="1015" spans="1:18" ht="13.5" customHeight="1" x14ac:dyDescent="0.15">
      <c r="A1015" s="449" t="s">
        <v>1437</v>
      </c>
      <c r="B1015" s="450" t="s">
        <v>1640</v>
      </c>
      <c r="C1015" s="451" t="s">
        <v>1641</v>
      </c>
      <c r="D1015" s="462"/>
      <c r="E1015" s="462"/>
      <c r="F1015" s="462"/>
      <c r="G1015" s="462"/>
      <c r="H1015" s="462"/>
      <c r="I1015" s="462"/>
      <c r="J1015" s="462"/>
      <c r="K1015" s="462"/>
      <c r="L1015" s="462"/>
      <c r="M1015" s="462"/>
      <c r="N1015" s="462"/>
      <c r="O1015" s="462"/>
      <c r="P1015" s="463">
        <v>14.27</v>
      </c>
      <c r="Q1015" s="454">
        <v>5</v>
      </c>
      <c r="R1015" s="455"/>
    </row>
    <row r="1016" spans="1:18" ht="13.5" customHeight="1" x14ac:dyDescent="0.15">
      <c r="A1016" s="449" t="s">
        <v>1438</v>
      </c>
      <c r="B1016" s="450" t="s">
        <v>1640</v>
      </c>
      <c r="C1016" s="451" t="s">
        <v>1641</v>
      </c>
      <c r="D1016" s="462"/>
      <c r="E1016" s="462"/>
      <c r="F1016" s="462"/>
      <c r="G1016" s="462"/>
      <c r="H1016" s="462"/>
      <c r="I1016" s="462"/>
      <c r="J1016" s="462"/>
      <c r="K1016" s="462"/>
      <c r="L1016" s="462"/>
      <c r="M1016" s="462"/>
      <c r="N1016" s="462"/>
      <c r="O1016" s="462"/>
      <c r="P1016" s="463">
        <v>14.17</v>
      </c>
      <c r="Q1016" s="454">
        <v>5</v>
      </c>
      <c r="R1016" s="455"/>
    </row>
    <row r="1017" spans="1:18" ht="13.5" customHeight="1" x14ac:dyDescent="0.15">
      <c r="A1017" s="449" t="s">
        <v>1439</v>
      </c>
      <c r="B1017" s="450" t="s">
        <v>1640</v>
      </c>
      <c r="C1017" s="451" t="s">
        <v>1641</v>
      </c>
      <c r="D1017" s="462"/>
      <c r="E1017" s="462"/>
      <c r="F1017" s="462"/>
      <c r="G1017" s="462"/>
      <c r="H1017" s="462"/>
      <c r="I1017" s="462"/>
      <c r="J1017" s="462"/>
      <c r="K1017" s="462"/>
      <c r="L1017" s="462"/>
      <c r="M1017" s="462"/>
      <c r="N1017" s="462"/>
      <c r="O1017" s="462"/>
      <c r="P1017" s="463">
        <v>14.62</v>
      </c>
      <c r="Q1017" s="454">
        <v>5</v>
      </c>
      <c r="R1017" s="455"/>
    </row>
    <row r="1018" spans="1:18" ht="13.5" customHeight="1" x14ac:dyDescent="0.15">
      <c r="A1018" s="449" t="s">
        <v>1440</v>
      </c>
      <c r="B1018" s="450" t="s">
        <v>1640</v>
      </c>
      <c r="C1018" s="451" t="s">
        <v>1641</v>
      </c>
      <c r="D1018" s="462"/>
      <c r="E1018" s="462"/>
      <c r="F1018" s="462"/>
      <c r="G1018" s="462"/>
      <c r="H1018" s="462"/>
      <c r="I1018" s="462"/>
      <c r="J1018" s="462"/>
      <c r="K1018" s="462"/>
      <c r="L1018" s="462"/>
      <c r="M1018" s="462"/>
      <c r="N1018" s="462"/>
      <c r="O1018" s="462"/>
      <c r="P1018" s="463">
        <v>14.49</v>
      </c>
      <c r="Q1018" s="454">
        <v>5</v>
      </c>
      <c r="R1018" s="455"/>
    </row>
    <row r="1019" spans="1:18" ht="13.5" customHeight="1" x14ac:dyDescent="0.15">
      <c r="A1019" s="449" t="s">
        <v>1441</v>
      </c>
      <c r="B1019" s="450" t="s">
        <v>1640</v>
      </c>
      <c r="C1019" s="451" t="s">
        <v>1641</v>
      </c>
      <c r="D1019" s="462"/>
      <c r="E1019" s="462"/>
      <c r="F1019" s="462"/>
      <c r="G1019" s="462"/>
      <c r="H1019" s="462"/>
      <c r="I1019" s="462"/>
      <c r="J1019" s="462"/>
      <c r="K1019" s="462"/>
      <c r="L1019" s="462"/>
      <c r="M1019" s="462"/>
      <c r="N1019" s="462"/>
      <c r="O1019" s="462"/>
      <c r="P1019" s="463">
        <v>14.5</v>
      </c>
      <c r="Q1019" s="454">
        <v>5</v>
      </c>
      <c r="R1019" s="455"/>
    </row>
    <row r="1020" spans="1:18" ht="13.5" customHeight="1" x14ac:dyDescent="0.15">
      <c r="A1020" s="449" t="s">
        <v>1442</v>
      </c>
      <c r="B1020" s="450" t="s">
        <v>1640</v>
      </c>
      <c r="C1020" s="451" t="s">
        <v>1641</v>
      </c>
      <c r="D1020" s="462"/>
      <c r="E1020" s="462"/>
      <c r="F1020" s="462"/>
      <c r="G1020" s="462"/>
      <c r="H1020" s="462"/>
      <c r="I1020" s="462"/>
      <c r="J1020" s="462"/>
      <c r="K1020" s="462"/>
      <c r="L1020" s="462"/>
      <c r="M1020" s="462"/>
      <c r="N1020" s="462"/>
      <c r="O1020" s="462"/>
      <c r="P1020" s="463">
        <v>14.66</v>
      </c>
      <c r="Q1020" s="454">
        <v>5</v>
      </c>
      <c r="R1020" s="455"/>
    </row>
    <row r="1021" spans="1:18" ht="13.5" customHeight="1" x14ac:dyDescent="0.15">
      <c r="A1021" s="449" t="s">
        <v>1443</v>
      </c>
      <c r="B1021" s="450" t="s">
        <v>1640</v>
      </c>
      <c r="C1021" s="451" t="s">
        <v>1641</v>
      </c>
      <c r="D1021" s="462"/>
      <c r="E1021" s="462"/>
      <c r="F1021" s="462"/>
      <c r="G1021" s="462"/>
      <c r="H1021" s="462"/>
      <c r="I1021" s="462"/>
      <c r="J1021" s="462"/>
      <c r="K1021" s="462"/>
      <c r="L1021" s="462"/>
      <c r="M1021" s="462"/>
      <c r="N1021" s="462"/>
      <c r="O1021" s="462"/>
      <c r="P1021" s="463">
        <v>14.68</v>
      </c>
      <c r="Q1021" s="454">
        <v>5</v>
      </c>
      <c r="R1021" s="455"/>
    </row>
    <row r="1022" spans="1:18" ht="13.5" customHeight="1" x14ac:dyDescent="0.15">
      <c r="A1022" s="449" t="s">
        <v>1444</v>
      </c>
      <c r="B1022" s="450" t="s">
        <v>1640</v>
      </c>
      <c r="C1022" s="451" t="s">
        <v>1641</v>
      </c>
      <c r="D1022" s="462"/>
      <c r="E1022" s="462"/>
      <c r="F1022" s="462"/>
      <c r="G1022" s="462"/>
      <c r="H1022" s="462"/>
      <c r="I1022" s="462"/>
      <c r="J1022" s="462"/>
      <c r="K1022" s="462"/>
      <c r="L1022" s="462"/>
      <c r="M1022" s="462"/>
      <c r="N1022" s="462"/>
      <c r="O1022" s="462"/>
      <c r="P1022" s="463">
        <v>14.69</v>
      </c>
      <c r="Q1022" s="454">
        <v>5</v>
      </c>
      <c r="R1022" s="455"/>
    </row>
    <row r="1023" spans="1:18" ht="13.5" customHeight="1" x14ac:dyDescent="0.15">
      <c r="A1023" s="449" t="s">
        <v>1445</v>
      </c>
      <c r="B1023" s="450" t="s">
        <v>1640</v>
      </c>
      <c r="C1023" s="451" t="s">
        <v>1641</v>
      </c>
      <c r="D1023" s="462"/>
      <c r="E1023" s="462"/>
      <c r="F1023" s="462"/>
      <c r="G1023" s="462"/>
      <c r="H1023" s="462"/>
      <c r="I1023" s="462"/>
      <c r="J1023" s="462"/>
      <c r="K1023" s="462"/>
      <c r="L1023" s="462"/>
      <c r="M1023" s="462"/>
      <c r="N1023" s="462"/>
      <c r="O1023" s="462"/>
      <c r="P1023" s="463">
        <v>14.66</v>
      </c>
      <c r="Q1023" s="454">
        <v>5</v>
      </c>
      <c r="R1023" s="455"/>
    </row>
    <row r="1024" spans="1:18" ht="13.5" customHeight="1" x14ac:dyDescent="0.15">
      <c r="A1024" s="449" t="s">
        <v>1446</v>
      </c>
      <c r="B1024" s="450" t="s">
        <v>1640</v>
      </c>
      <c r="C1024" s="451" t="s">
        <v>1641</v>
      </c>
      <c r="D1024" s="462"/>
      <c r="E1024" s="462"/>
      <c r="F1024" s="462"/>
      <c r="G1024" s="462"/>
      <c r="H1024" s="462"/>
      <c r="I1024" s="462"/>
      <c r="J1024" s="462"/>
      <c r="K1024" s="462"/>
      <c r="L1024" s="462"/>
      <c r="M1024" s="462"/>
      <c r="N1024" s="462"/>
      <c r="O1024" s="462"/>
      <c r="P1024" s="463">
        <v>14.63</v>
      </c>
      <c r="Q1024" s="454">
        <v>5</v>
      </c>
      <c r="R1024" s="455"/>
    </row>
    <row r="1025" spans="1:18" ht="13.5" customHeight="1" x14ac:dyDescent="0.15">
      <c r="A1025" s="449" t="s">
        <v>1447</v>
      </c>
      <c r="B1025" s="450" t="s">
        <v>1640</v>
      </c>
      <c r="C1025" s="451" t="s">
        <v>1641</v>
      </c>
      <c r="D1025" s="462"/>
      <c r="E1025" s="462"/>
      <c r="F1025" s="462"/>
      <c r="G1025" s="462"/>
      <c r="H1025" s="462"/>
      <c r="I1025" s="462"/>
      <c r="J1025" s="462"/>
      <c r="K1025" s="462"/>
      <c r="L1025" s="462"/>
      <c r="M1025" s="462"/>
      <c r="N1025" s="462"/>
      <c r="O1025" s="462"/>
      <c r="P1025" s="463">
        <v>13.52</v>
      </c>
      <c r="Q1025" s="454">
        <v>5</v>
      </c>
      <c r="R1025" s="455"/>
    </row>
    <row r="1026" spans="1:18" ht="13.5" customHeight="1" x14ac:dyDescent="0.15">
      <c r="A1026" s="449" t="s">
        <v>1448</v>
      </c>
      <c r="B1026" s="450" t="s">
        <v>1640</v>
      </c>
      <c r="C1026" s="451" t="s">
        <v>1641</v>
      </c>
      <c r="D1026" s="462"/>
      <c r="E1026" s="462"/>
      <c r="F1026" s="462"/>
      <c r="G1026" s="462"/>
      <c r="H1026" s="462"/>
      <c r="I1026" s="462"/>
      <c r="J1026" s="462"/>
      <c r="K1026" s="462"/>
      <c r="L1026" s="462"/>
      <c r="M1026" s="462"/>
      <c r="N1026" s="462"/>
      <c r="O1026" s="462"/>
      <c r="P1026" s="463">
        <v>13.95</v>
      </c>
      <c r="Q1026" s="454">
        <v>5</v>
      </c>
      <c r="R1026" s="455"/>
    </row>
    <row r="1027" spans="1:18" ht="13.5" customHeight="1" x14ac:dyDescent="0.15">
      <c r="A1027" s="449" t="s">
        <v>1449</v>
      </c>
      <c r="B1027" s="450" t="s">
        <v>1640</v>
      </c>
      <c r="C1027" s="451" t="s">
        <v>1641</v>
      </c>
      <c r="D1027" s="462"/>
      <c r="E1027" s="462"/>
      <c r="F1027" s="462"/>
      <c r="G1027" s="462"/>
      <c r="H1027" s="462"/>
      <c r="I1027" s="462"/>
      <c r="J1027" s="462"/>
      <c r="K1027" s="462"/>
      <c r="L1027" s="462"/>
      <c r="M1027" s="462"/>
      <c r="N1027" s="462"/>
      <c r="O1027" s="462"/>
      <c r="P1027" s="463">
        <v>12.52</v>
      </c>
      <c r="Q1027" s="454">
        <v>5</v>
      </c>
      <c r="R1027" s="455"/>
    </row>
    <row r="1028" spans="1:18" ht="13.5" customHeight="1" x14ac:dyDescent="0.15">
      <c r="A1028" s="449" t="s">
        <v>1450</v>
      </c>
      <c r="B1028" s="450" t="s">
        <v>1640</v>
      </c>
      <c r="C1028" s="451" t="s">
        <v>1641</v>
      </c>
      <c r="D1028" s="462"/>
      <c r="E1028" s="462"/>
      <c r="F1028" s="462"/>
      <c r="G1028" s="462"/>
      <c r="H1028" s="462"/>
      <c r="I1028" s="462"/>
      <c r="J1028" s="462"/>
      <c r="K1028" s="462"/>
      <c r="L1028" s="462"/>
      <c r="M1028" s="462"/>
      <c r="N1028" s="462"/>
      <c r="O1028" s="462"/>
      <c r="P1028" s="463">
        <v>14.34</v>
      </c>
      <c r="Q1028" s="454">
        <v>5</v>
      </c>
      <c r="R1028" s="455"/>
    </row>
    <row r="1029" spans="1:18" ht="13.5" customHeight="1" x14ac:dyDescent="0.15">
      <c r="A1029" s="449" t="s">
        <v>1451</v>
      </c>
      <c r="B1029" s="450" t="s">
        <v>1640</v>
      </c>
      <c r="C1029" s="451" t="s">
        <v>1641</v>
      </c>
      <c r="D1029" s="462"/>
      <c r="E1029" s="462"/>
      <c r="F1029" s="462"/>
      <c r="G1029" s="462"/>
      <c r="H1029" s="462"/>
      <c r="I1029" s="462"/>
      <c r="J1029" s="462"/>
      <c r="K1029" s="462"/>
      <c r="L1029" s="462"/>
      <c r="M1029" s="462"/>
      <c r="N1029" s="462"/>
      <c r="O1029" s="462"/>
      <c r="P1029" s="463">
        <v>14.39</v>
      </c>
      <c r="Q1029" s="454">
        <v>5</v>
      </c>
      <c r="R1029" s="455"/>
    </row>
    <row r="1030" spans="1:18" ht="13.5" customHeight="1" x14ac:dyDescent="0.15">
      <c r="A1030" s="449" t="s">
        <v>1452</v>
      </c>
      <c r="B1030" s="450" t="s">
        <v>1640</v>
      </c>
      <c r="C1030" s="451" t="s">
        <v>1641</v>
      </c>
      <c r="D1030" s="462"/>
      <c r="E1030" s="462"/>
      <c r="F1030" s="462"/>
      <c r="G1030" s="462"/>
      <c r="H1030" s="462"/>
      <c r="I1030" s="462"/>
      <c r="J1030" s="462"/>
      <c r="K1030" s="462"/>
      <c r="L1030" s="462"/>
      <c r="M1030" s="462"/>
      <c r="N1030" s="462"/>
      <c r="O1030" s="462"/>
      <c r="P1030" s="463">
        <v>14.34</v>
      </c>
      <c r="Q1030" s="454">
        <v>5</v>
      </c>
      <c r="R1030" s="455"/>
    </row>
    <row r="1031" spans="1:18" ht="13.5" customHeight="1" x14ac:dyDescent="0.15">
      <c r="A1031" s="449" t="s">
        <v>1453</v>
      </c>
      <c r="B1031" s="450" t="s">
        <v>1640</v>
      </c>
      <c r="C1031" s="451" t="s">
        <v>1641</v>
      </c>
      <c r="D1031" s="462"/>
      <c r="E1031" s="462"/>
      <c r="F1031" s="462"/>
      <c r="G1031" s="462"/>
      <c r="H1031" s="462"/>
      <c r="I1031" s="462"/>
      <c r="J1031" s="462"/>
      <c r="K1031" s="462"/>
      <c r="L1031" s="462"/>
      <c r="M1031" s="462"/>
      <c r="N1031" s="462"/>
      <c r="O1031" s="462"/>
      <c r="P1031" s="463">
        <v>14.32</v>
      </c>
      <c r="Q1031" s="454">
        <v>5</v>
      </c>
      <c r="R1031" s="455"/>
    </row>
    <row r="1032" spans="1:18" ht="13.5" customHeight="1" x14ac:dyDescent="0.15">
      <c r="A1032" s="449" t="s">
        <v>1454</v>
      </c>
      <c r="B1032" s="450" t="s">
        <v>1640</v>
      </c>
      <c r="C1032" s="451" t="s">
        <v>1641</v>
      </c>
      <c r="D1032" s="462"/>
      <c r="E1032" s="462"/>
      <c r="F1032" s="462"/>
      <c r="G1032" s="462"/>
      <c r="H1032" s="462"/>
      <c r="I1032" s="462"/>
      <c r="J1032" s="462"/>
      <c r="K1032" s="462"/>
      <c r="L1032" s="462"/>
      <c r="M1032" s="462"/>
      <c r="N1032" s="462"/>
      <c r="O1032" s="462"/>
      <c r="P1032" s="463">
        <v>14.39</v>
      </c>
      <c r="Q1032" s="454">
        <v>5</v>
      </c>
      <c r="R1032" s="455"/>
    </row>
    <row r="1033" spans="1:18" ht="13.5" customHeight="1" x14ac:dyDescent="0.15">
      <c r="A1033" s="449" t="s">
        <v>1455</v>
      </c>
      <c r="B1033" s="450" t="s">
        <v>1640</v>
      </c>
      <c r="C1033" s="451" t="s">
        <v>1641</v>
      </c>
      <c r="D1033" s="462"/>
      <c r="E1033" s="462"/>
      <c r="F1033" s="462"/>
      <c r="G1033" s="462"/>
      <c r="H1033" s="462"/>
      <c r="I1033" s="462"/>
      <c r="J1033" s="462"/>
      <c r="K1033" s="462"/>
      <c r="L1033" s="462"/>
      <c r="M1033" s="462"/>
      <c r="N1033" s="462"/>
      <c r="O1033" s="462"/>
      <c r="P1033" s="463">
        <v>14.49</v>
      </c>
      <c r="Q1033" s="454">
        <v>5</v>
      </c>
      <c r="R1033" s="455"/>
    </row>
    <row r="1034" spans="1:18" ht="13.5" customHeight="1" x14ac:dyDescent="0.15">
      <c r="A1034" s="449" t="s">
        <v>1456</v>
      </c>
      <c r="B1034" s="450" t="s">
        <v>1640</v>
      </c>
      <c r="C1034" s="451" t="s">
        <v>1641</v>
      </c>
      <c r="D1034" s="462"/>
      <c r="E1034" s="462"/>
      <c r="F1034" s="462"/>
      <c r="G1034" s="462"/>
      <c r="H1034" s="462"/>
      <c r="I1034" s="462"/>
      <c r="J1034" s="462"/>
      <c r="K1034" s="462"/>
      <c r="L1034" s="462"/>
      <c r="M1034" s="462"/>
      <c r="N1034" s="462"/>
      <c r="O1034" s="462"/>
      <c r="P1034" s="463">
        <v>14.29</v>
      </c>
      <c r="Q1034" s="454">
        <v>5</v>
      </c>
      <c r="R1034" s="455"/>
    </row>
    <row r="1035" spans="1:18" ht="13.5" customHeight="1" x14ac:dyDescent="0.15">
      <c r="A1035" s="449" t="s">
        <v>1457</v>
      </c>
      <c r="B1035" s="450" t="s">
        <v>1640</v>
      </c>
      <c r="C1035" s="451" t="s">
        <v>1641</v>
      </c>
      <c r="D1035" s="462"/>
      <c r="E1035" s="462"/>
      <c r="F1035" s="462"/>
      <c r="G1035" s="462"/>
      <c r="H1035" s="462"/>
      <c r="I1035" s="462"/>
      <c r="J1035" s="462"/>
      <c r="K1035" s="462"/>
      <c r="L1035" s="462"/>
      <c r="M1035" s="462"/>
      <c r="N1035" s="462"/>
      <c r="O1035" s="462"/>
      <c r="P1035" s="463">
        <v>14.29</v>
      </c>
      <c r="Q1035" s="454">
        <v>5</v>
      </c>
      <c r="R1035" s="455"/>
    </row>
    <row r="1036" spans="1:18" ht="13.5" customHeight="1" x14ac:dyDescent="0.15">
      <c r="A1036" s="449" t="s">
        <v>1458</v>
      </c>
      <c r="B1036" s="450" t="s">
        <v>1640</v>
      </c>
      <c r="C1036" s="451" t="s">
        <v>1641</v>
      </c>
      <c r="D1036" s="462"/>
      <c r="E1036" s="462"/>
      <c r="F1036" s="462"/>
      <c r="G1036" s="462"/>
      <c r="H1036" s="462"/>
      <c r="I1036" s="462"/>
      <c r="J1036" s="462"/>
      <c r="K1036" s="462"/>
      <c r="L1036" s="462"/>
      <c r="M1036" s="462"/>
      <c r="N1036" s="462"/>
      <c r="O1036" s="462"/>
      <c r="P1036" s="463">
        <v>14.29</v>
      </c>
      <c r="Q1036" s="454">
        <v>5</v>
      </c>
      <c r="R1036" s="455"/>
    </row>
    <row r="1037" spans="1:18" ht="13.5" customHeight="1" x14ac:dyDescent="0.15">
      <c r="A1037" s="449" t="s">
        <v>1459</v>
      </c>
      <c r="B1037" s="450" t="s">
        <v>1640</v>
      </c>
      <c r="C1037" s="451" t="s">
        <v>1641</v>
      </c>
      <c r="D1037" s="462"/>
      <c r="E1037" s="462"/>
      <c r="F1037" s="462"/>
      <c r="G1037" s="462"/>
      <c r="H1037" s="462"/>
      <c r="I1037" s="462"/>
      <c r="J1037" s="462"/>
      <c r="K1037" s="462"/>
      <c r="L1037" s="462"/>
      <c r="M1037" s="462"/>
      <c r="N1037" s="462"/>
      <c r="O1037" s="462"/>
      <c r="P1037" s="463">
        <v>14.2</v>
      </c>
      <c r="Q1037" s="454">
        <v>5</v>
      </c>
      <c r="R1037" s="455"/>
    </row>
    <row r="1038" spans="1:18" ht="13.5" customHeight="1" x14ac:dyDescent="0.15">
      <c r="A1038" s="449" t="s">
        <v>1460</v>
      </c>
      <c r="B1038" s="450" t="s">
        <v>1640</v>
      </c>
      <c r="C1038" s="451" t="s">
        <v>1641</v>
      </c>
      <c r="D1038" s="462"/>
      <c r="E1038" s="462"/>
      <c r="F1038" s="462"/>
      <c r="G1038" s="462"/>
      <c r="H1038" s="462"/>
      <c r="I1038" s="462"/>
      <c r="J1038" s="462"/>
      <c r="K1038" s="462"/>
      <c r="L1038" s="462"/>
      <c r="M1038" s="462"/>
      <c r="N1038" s="462"/>
      <c r="O1038" s="462"/>
      <c r="P1038" s="463">
        <v>14.14</v>
      </c>
      <c r="Q1038" s="454">
        <v>5</v>
      </c>
      <c r="R1038" s="455"/>
    </row>
    <row r="1039" spans="1:18" ht="13.5" customHeight="1" x14ac:dyDescent="0.15">
      <c r="A1039" s="449" t="s">
        <v>1461</v>
      </c>
      <c r="B1039" s="450" t="s">
        <v>1640</v>
      </c>
      <c r="C1039" s="451" t="s">
        <v>1641</v>
      </c>
      <c r="D1039" s="462"/>
      <c r="E1039" s="462"/>
      <c r="F1039" s="462"/>
      <c r="G1039" s="462"/>
      <c r="H1039" s="462"/>
      <c r="I1039" s="462"/>
      <c r="J1039" s="462"/>
      <c r="K1039" s="462"/>
      <c r="L1039" s="462"/>
      <c r="M1039" s="462"/>
      <c r="N1039" s="462"/>
      <c r="O1039" s="462"/>
      <c r="P1039" s="463">
        <v>14.07</v>
      </c>
      <c r="Q1039" s="454">
        <v>5</v>
      </c>
      <c r="R1039" s="455"/>
    </row>
    <row r="1040" spans="1:18" ht="13.5" customHeight="1" x14ac:dyDescent="0.15">
      <c r="A1040" s="449" t="s">
        <v>1462</v>
      </c>
      <c r="B1040" s="450" t="s">
        <v>1640</v>
      </c>
      <c r="C1040" s="451" t="s">
        <v>1641</v>
      </c>
      <c r="D1040" s="462"/>
      <c r="E1040" s="462"/>
      <c r="F1040" s="462"/>
      <c r="G1040" s="462"/>
      <c r="H1040" s="462"/>
      <c r="I1040" s="462"/>
      <c r="J1040" s="462"/>
      <c r="K1040" s="462"/>
      <c r="L1040" s="462"/>
      <c r="M1040" s="462"/>
      <c r="N1040" s="462"/>
      <c r="O1040" s="462"/>
      <c r="P1040" s="463">
        <v>14.13</v>
      </c>
      <c r="Q1040" s="454">
        <v>5</v>
      </c>
      <c r="R1040" s="455"/>
    </row>
    <row r="1041" spans="1:18" ht="13.5" customHeight="1" x14ac:dyDescent="0.15">
      <c r="A1041" s="449" t="s">
        <v>1463</v>
      </c>
      <c r="B1041" s="450" t="s">
        <v>1640</v>
      </c>
      <c r="C1041" s="451" t="s">
        <v>1641</v>
      </c>
      <c r="D1041" s="462"/>
      <c r="E1041" s="462"/>
      <c r="F1041" s="462"/>
      <c r="G1041" s="462"/>
      <c r="H1041" s="462"/>
      <c r="I1041" s="462"/>
      <c r="J1041" s="462"/>
      <c r="K1041" s="462"/>
      <c r="L1041" s="462"/>
      <c r="M1041" s="462"/>
      <c r="N1041" s="462"/>
      <c r="O1041" s="462"/>
      <c r="P1041" s="463">
        <v>14.24</v>
      </c>
      <c r="Q1041" s="454">
        <v>5</v>
      </c>
      <c r="R1041" s="455"/>
    </row>
    <row r="1042" spans="1:18" ht="13.5" customHeight="1" x14ac:dyDescent="0.15">
      <c r="A1042" s="449" t="s">
        <v>1464</v>
      </c>
      <c r="B1042" s="450" t="s">
        <v>1640</v>
      </c>
      <c r="C1042" s="451" t="s">
        <v>1641</v>
      </c>
      <c r="D1042" s="462"/>
      <c r="E1042" s="462"/>
      <c r="F1042" s="462"/>
      <c r="G1042" s="462"/>
      <c r="H1042" s="462"/>
      <c r="I1042" s="462"/>
      <c r="J1042" s="462"/>
      <c r="K1042" s="462"/>
      <c r="L1042" s="462"/>
      <c r="M1042" s="462"/>
      <c r="N1042" s="462"/>
      <c r="O1042" s="462"/>
      <c r="P1042" s="463">
        <v>13.94</v>
      </c>
      <c r="Q1042" s="454">
        <v>5</v>
      </c>
      <c r="R1042" s="455"/>
    </row>
    <row r="1043" spans="1:18" ht="13.5" customHeight="1" x14ac:dyDescent="0.15">
      <c r="A1043" s="449" t="s">
        <v>1465</v>
      </c>
      <c r="B1043" s="450" t="s">
        <v>1640</v>
      </c>
      <c r="C1043" s="451" t="s">
        <v>1641</v>
      </c>
      <c r="D1043" s="462"/>
      <c r="E1043" s="462"/>
      <c r="F1043" s="462"/>
      <c r="G1043" s="462"/>
      <c r="H1043" s="462"/>
      <c r="I1043" s="462"/>
      <c r="J1043" s="462"/>
      <c r="K1043" s="462"/>
      <c r="L1043" s="462"/>
      <c r="M1043" s="462"/>
      <c r="N1043" s="462"/>
      <c r="O1043" s="462"/>
      <c r="P1043" s="463">
        <v>13.39</v>
      </c>
      <c r="Q1043" s="454">
        <v>5</v>
      </c>
      <c r="R1043" s="455"/>
    </row>
    <row r="1044" spans="1:18" ht="13.5" customHeight="1" x14ac:dyDescent="0.15">
      <c r="A1044" s="449" t="s">
        <v>1466</v>
      </c>
      <c r="B1044" s="450" t="s">
        <v>1640</v>
      </c>
      <c r="C1044" s="451" t="s">
        <v>1641</v>
      </c>
      <c r="D1044" s="462"/>
      <c r="E1044" s="462"/>
      <c r="F1044" s="462"/>
      <c r="G1044" s="462"/>
      <c r="H1044" s="462"/>
      <c r="I1044" s="462"/>
      <c r="J1044" s="462"/>
      <c r="K1044" s="462"/>
      <c r="L1044" s="462"/>
      <c r="M1044" s="462"/>
      <c r="N1044" s="462"/>
      <c r="O1044" s="462"/>
      <c r="P1044" s="463">
        <v>12.88</v>
      </c>
      <c r="Q1044" s="454">
        <v>5</v>
      </c>
      <c r="R1044" s="455"/>
    </row>
    <row r="1045" spans="1:18" ht="13.5" customHeight="1" x14ac:dyDescent="0.15">
      <c r="A1045" s="449" t="s">
        <v>1467</v>
      </c>
      <c r="B1045" s="450" t="s">
        <v>1640</v>
      </c>
      <c r="C1045" s="451" t="s">
        <v>1641</v>
      </c>
      <c r="D1045" s="462"/>
      <c r="E1045" s="462"/>
      <c r="F1045" s="462"/>
      <c r="G1045" s="462"/>
      <c r="H1045" s="462"/>
      <c r="I1045" s="462"/>
      <c r="J1045" s="462"/>
      <c r="K1045" s="462"/>
      <c r="L1045" s="462"/>
      <c r="M1045" s="462"/>
      <c r="N1045" s="462"/>
      <c r="O1045" s="462"/>
      <c r="P1045" s="463">
        <v>13.74</v>
      </c>
      <c r="Q1045" s="454">
        <v>5</v>
      </c>
      <c r="R1045" s="455"/>
    </row>
    <row r="1046" spans="1:18" ht="13.5" customHeight="1" x14ac:dyDescent="0.15">
      <c r="A1046" s="449" t="s">
        <v>1468</v>
      </c>
      <c r="B1046" s="450" t="s">
        <v>1640</v>
      </c>
      <c r="C1046" s="451" t="s">
        <v>1641</v>
      </c>
      <c r="D1046" s="462"/>
      <c r="E1046" s="462"/>
      <c r="F1046" s="462"/>
      <c r="G1046" s="462"/>
      <c r="H1046" s="462"/>
      <c r="I1046" s="462"/>
      <c r="J1046" s="462"/>
      <c r="K1046" s="462"/>
      <c r="L1046" s="462"/>
      <c r="M1046" s="462"/>
      <c r="N1046" s="462"/>
      <c r="O1046" s="462"/>
      <c r="P1046" s="463">
        <v>14.23</v>
      </c>
      <c r="Q1046" s="454">
        <v>5</v>
      </c>
      <c r="R1046" s="455"/>
    </row>
    <row r="1047" spans="1:18" ht="13.5" customHeight="1" x14ac:dyDescent="0.15">
      <c r="A1047" s="449" t="s">
        <v>1469</v>
      </c>
      <c r="B1047" s="450" t="s">
        <v>1640</v>
      </c>
      <c r="C1047" s="451" t="s">
        <v>1641</v>
      </c>
      <c r="D1047" s="462"/>
      <c r="E1047" s="462"/>
      <c r="F1047" s="462"/>
      <c r="G1047" s="462"/>
      <c r="H1047" s="462"/>
      <c r="I1047" s="462"/>
      <c r="J1047" s="462"/>
      <c r="K1047" s="462"/>
      <c r="L1047" s="462"/>
      <c r="M1047" s="462"/>
      <c r="N1047" s="462"/>
      <c r="O1047" s="462"/>
      <c r="P1047" s="463">
        <v>14.01</v>
      </c>
      <c r="Q1047" s="454">
        <v>5</v>
      </c>
      <c r="R1047" s="455"/>
    </row>
    <row r="1048" spans="1:18" ht="13.5" customHeight="1" x14ac:dyDescent="0.15">
      <c r="A1048" s="449" t="s">
        <v>1470</v>
      </c>
      <c r="B1048" s="450" t="s">
        <v>1640</v>
      </c>
      <c r="C1048" s="451" t="s">
        <v>1641</v>
      </c>
      <c r="D1048" s="462"/>
      <c r="E1048" s="462"/>
      <c r="F1048" s="462"/>
      <c r="G1048" s="462"/>
      <c r="H1048" s="462"/>
      <c r="I1048" s="462"/>
      <c r="J1048" s="462"/>
      <c r="K1048" s="462"/>
      <c r="L1048" s="462"/>
      <c r="M1048" s="462"/>
      <c r="N1048" s="462"/>
      <c r="O1048" s="462"/>
      <c r="P1048" s="463">
        <v>14.24</v>
      </c>
      <c r="Q1048" s="454">
        <v>5</v>
      </c>
      <c r="R1048" s="455"/>
    </row>
    <row r="1049" spans="1:18" ht="13.5" customHeight="1" x14ac:dyDescent="0.15">
      <c r="A1049" s="449" t="s">
        <v>1471</v>
      </c>
      <c r="B1049" s="450" t="s">
        <v>1640</v>
      </c>
      <c r="C1049" s="451" t="s">
        <v>1641</v>
      </c>
      <c r="D1049" s="462"/>
      <c r="E1049" s="462"/>
      <c r="F1049" s="462"/>
      <c r="G1049" s="462"/>
      <c r="H1049" s="462"/>
      <c r="I1049" s="462"/>
      <c r="J1049" s="462"/>
      <c r="K1049" s="462"/>
      <c r="L1049" s="462"/>
      <c r="M1049" s="462"/>
      <c r="N1049" s="462"/>
      <c r="O1049" s="462"/>
      <c r="P1049" s="463">
        <v>13.98</v>
      </c>
      <c r="Q1049" s="454">
        <v>5</v>
      </c>
      <c r="R1049" s="455"/>
    </row>
    <row r="1050" spans="1:18" ht="13.5" customHeight="1" x14ac:dyDescent="0.15">
      <c r="A1050" s="449" t="s">
        <v>1472</v>
      </c>
      <c r="B1050" s="450" t="s">
        <v>1640</v>
      </c>
      <c r="C1050" s="451" t="s">
        <v>1641</v>
      </c>
      <c r="D1050" s="462"/>
      <c r="E1050" s="462"/>
      <c r="F1050" s="462"/>
      <c r="G1050" s="462"/>
      <c r="H1050" s="462"/>
      <c r="I1050" s="462"/>
      <c r="J1050" s="462"/>
      <c r="K1050" s="462"/>
      <c r="L1050" s="462"/>
      <c r="M1050" s="462"/>
      <c r="N1050" s="462"/>
      <c r="O1050" s="462"/>
      <c r="P1050" s="463">
        <v>14.18</v>
      </c>
      <c r="Q1050" s="454">
        <v>5</v>
      </c>
      <c r="R1050" s="455"/>
    </row>
    <row r="1051" spans="1:18" ht="13.5" customHeight="1" x14ac:dyDescent="0.15">
      <c r="A1051" s="449" t="s">
        <v>1473</v>
      </c>
      <c r="B1051" s="450" t="s">
        <v>1640</v>
      </c>
      <c r="C1051" s="451" t="s">
        <v>1641</v>
      </c>
      <c r="D1051" s="462"/>
      <c r="E1051" s="462"/>
      <c r="F1051" s="462"/>
      <c r="G1051" s="462"/>
      <c r="H1051" s="462"/>
      <c r="I1051" s="462"/>
      <c r="J1051" s="462"/>
      <c r="K1051" s="462"/>
      <c r="L1051" s="462"/>
      <c r="M1051" s="462"/>
      <c r="N1051" s="462"/>
      <c r="O1051" s="462"/>
      <c r="P1051" s="463">
        <v>14.45</v>
      </c>
      <c r="Q1051" s="454">
        <v>5</v>
      </c>
      <c r="R1051" s="455"/>
    </row>
    <row r="1052" spans="1:18" ht="13.5" customHeight="1" x14ac:dyDescent="0.15">
      <c r="A1052" s="449" t="s">
        <v>1474</v>
      </c>
      <c r="B1052" s="450" t="s">
        <v>1640</v>
      </c>
      <c r="C1052" s="451" t="s">
        <v>1641</v>
      </c>
      <c r="D1052" s="462"/>
      <c r="E1052" s="462"/>
      <c r="F1052" s="462"/>
      <c r="G1052" s="462"/>
      <c r="H1052" s="462"/>
      <c r="I1052" s="462"/>
      <c r="J1052" s="462"/>
      <c r="K1052" s="462"/>
      <c r="L1052" s="462"/>
      <c r="M1052" s="462"/>
      <c r="N1052" s="462"/>
      <c r="O1052" s="462"/>
      <c r="P1052" s="463">
        <v>14.47</v>
      </c>
      <c r="Q1052" s="454">
        <v>5</v>
      </c>
      <c r="R1052" s="455"/>
    </row>
    <row r="1053" spans="1:18" ht="13.5" customHeight="1" x14ac:dyDescent="0.15">
      <c r="A1053" s="449" t="s">
        <v>1475</v>
      </c>
      <c r="B1053" s="450" t="s">
        <v>1640</v>
      </c>
      <c r="C1053" s="451" t="s">
        <v>1641</v>
      </c>
      <c r="D1053" s="462"/>
      <c r="E1053" s="462"/>
      <c r="F1053" s="462"/>
      <c r="G1053" s="462"/>
      <c r="H1053" s="462"/>
      <c r="I1053" s="462"/>
      <c r="J1053" s="462"/>
      <c r="K1053" s="462"/>
      <c r="L1053" s="462"/>
      <c r="M1053" s="462"/>
      <c r="N1053" s="462"/>
      <c r="O1053" s="462"/>
      <c r="P1053" s="463">
        <v>14.66</v>
      </c>
      <c r="Q1053" s="454">
        <v>5</v>
      </c>
      <c r="R1053" s="455"/>
    </row>
    <row r="1054" spans="1:18" ht="13.5" customHeight="1" x14ac:dyDescent="0.15">
      <c r="A1054" s="449" t="s">
        <v>1476</v>
      </c>
      <c r="B1054" s="450" t="s">
        <v>1640</v>
      </c>
      <c r="C1054" s="451" t="s">
        <v>1641</v>
      </c>
      <c r="D1054" s="462"/>
      <c r="E1054" s="462"/>
      <c r="F1054" s="462"/>
      <c r="G1054" s="462"/>
      <c r="H1054" s="462"/>
      <c r="I1054" s="462"/>
      <c r="J1054" s="462"/>
      <c r="K1054" s="462"/>
      <c r="L1054" s="462"/>
      <c r="M1054" s="462"/>
      <c r="N1054" s="462"/>
      <c r="O1054" s="462"/>
      <c r="P1054" s="463">
        <v>14.68</v>
      </c>
      <c r="Q1054" s="454">
        <v>5</v>
      </c>
      <c r="R1054" s="455"/>
    </row>
    <row r="1055" spans="1:18" ht="13.5" customHeight="1" x14ac:dyDescent="0.15">
      <c r="A1055" s="449" t="s">
        <v>1477</v>
      </c>
      <c r="B1055" s="450" t="s">
        <v>1640</v>
      </c>
      <c r="C1055" s="451" t="s">
        <v>1641</v>
      </c>
      <c r="D1055" s="462"/>
      <c r="E1055" s="462"/>
      <c r="F1055" s="462"/>
      <c r="G1055" s="462"/>
      <c r="H1055" s="462"/>
      <c r="I1055" s="462"/>
      <c r="J1055" s="462"/>
      <c r="K1055" s="462"/>
      <c r="L1055" s="462"/>
      <c r="M1055" s="462"/>
      <c r="N1055" s="462"/>
      <c r="O1055" s="462"/>
      <c r="P1055" s="463">
        <v>14.69</v>
      </c>
      <c r="Q1055" s="454">
        <v>5</v>
      </c>
      <c r="R1055" s="455"/>
    </row>
    <row r="1056" spans="1:18" ht="13.5" customHeight="1" x14ac:dyDescent="0.15">
      <c r="A1056" s="449" t="s">
        <v>1478</v>
      </c>
      <c r="B1056" s="450" t="s">
        <v>1640</v>
      </c>
      <c r="C1056" s="451" t="s">
        <v>1641</v>
      </c>
      <c r="D1056" s="462"/>
      <c r="E1056" s="462"/>
      <c r="F1056" s="462"/>
      <c r="G1056" s="462"/>
      <c r="H1056" s="462"/>
      <c r="I1056" s="462"/>
      <c r="J1056" s="462"/>
      <c r="K1056" s="462"/>
      <c r="L1056" s="462"/>
      <c r="M1056" s="462"/>
      <c r="N1056" s="462"/>
      <c r="O1056" s="462"/>
      <c r="P1056" s="463">
        <v>14.56</v>
      </c>
      <c r="Q1056" s="454">
        <v>5</v>
      </c>
      <c r="R1056" s="455"/>
    </row>
    <row r="1057" spans="1:18" ht="13.5" customHeight="1" x14ac:dyDescent="0.15">
      <c r="A1057" s="449" t="s">
        <v>1479</v>
      </c>
      <c r="B1057" s="450" t="s">
        <v>1640</v>
      </c>
      <c r="C1057" s="451" t="s">
        <v>1641</v>
      </c>
      <c r="D1057" s="462"/>
      <c r="E1057" s="462"/>
      <c r="F1057" s="462"/>
      <c r="G1057" s="462"/>
      <c r="H1057" s="462"/>
      <c r="I1057" s="462"/>
      <c r="J1057" s="462"/>
      <c r="K1057" s="462"/>
      <c r="L1057" s="462"/>
      <c r="M1057" s="462"/>
      <c r="N1057" s="462"/>
      <c r="O1057" s="462"/>
      <c r="P1057" s="463">
        <v>14.59</v>
      </c>
      <c r="Q1057" s="454">
        <v>5</v>
      </c>
      <c r="R1057" s="455"/>
    </row>
    <row r="1058" spans="1:18" ht="13.5" customHeight="1" x14ac:dyDescent="0.15">
      <c r="A1058" s="449" t="s">
        <v>1480</v>
      </c>
      <c r="B1058" s="450" t="s">
        <v>1640</v>
      </c>
      <c r="C1058" s="451" t="s">
        <v>1641</v>
      </c>
      <c r="D1058" s="462"/>
      <c r="E1058" s="462"/>
      <c r="F1058" s="462"/>
      <c r="G1058" s="462"/>
      <c r="H1058" s="462"/>
      <c r="I1058" s="462"/>
      <c r="J1058" s="462"/>
      <c r="K1058" s="462"/>
      <c r="L1058" s="462"/>
      <c r="M1058" s="462"/>
      <c r="N1058" s="462"/>
      <c r="O1058" s="462"/>
      <c r="P1058" s="463">
        <v>14.36</v>
      </c>
      <c r="Q1058" s="454">
        <v>5</v>
      </c>
      <c r="R1058" s="455"/>
    </row>
    <row r="1059" spans="1:18" ht="13.5" customHeight="1" x14ac:dyDescent="0.15">
      <c r="A1059" s="449" t="s">
        <v>1481</v>
      </c>
      <c r="B1059" s="450" t="s">
        <v>1640</v>
      </c>
      <c r="C1059" s="451" t="s">
        <v>1641</v>
      </c>
      <c r="D1059" s="462"/>
      <c r="E1059" s="462"/>
      <c r="F1059" s="462"/>
      <c r="G1059" s="462"/>
      <c r="H1059" s="462"/>
      <c r="I1059" s="462"/>
      <c r="J1059" s="462"/>
      <c r="K1059" s="462"/>
      <c r="L1059" s="462"/>
      <c r="M1059" s="462"/>
      <c r="N1059" s="462"/>
      <c r="O1059" s="462"/>
      <c r="P1059" s="463">
        <v>14.66</v>
      </c>
      <c r="Q1059" s="454">
        <v>5</v>
      </c>
      <c r="R1059" s="455"/>
    </row>
    <row r="1060" spans="1:18" ht="13.5" customHeight="1" x14ac:dyDescent="0.15">
      <c r="A1060" s="449" t="s">
        <v>1482</v>
      </c>
      <c r="B1060" s="450" t="s">
        <v>1640</v>
      </c>
      <c r="C1060" s="451" t="s">
        <v>1641</v>
      </c>
      <c r="D1060" s="462"/>
      <c r="E1060" s="462"/>
      <c r="F1060" s="462"/>
      <c r="G1060" s="462"/>
      <c r="H1060" s="462"/>
      <c r="I1060" s="462"/>
      <c r="J1060" s="462"/>
      <c r="K1060" s="462"/>
      <c r="L1060" s="462"/>
      <c r="M1060" s="462"/>
      <c r="N1060" s="462"/>
      <c r="O1060" s="462"/>
      <c r="P1060" s="463">
        <v>14.62</v>
      </c>
      <c r="Q1060" s="454">
        <v>5</v>
      </c>
      <c r="R1060" s="455"/>
    </row>
    <row r="1061" spans="1:18" ht="13.5" customHeight="1" x14ac:dyDescent="0.15">
      <c r="A1061" s="449" t="s">
        <v>1483</v>
      </c>
      <c r="B1061" s="450" t="s">
        <v>1640</v>
      </c>
      <c r="C1061" s="451" t="s">
        <v>1641</v>
      </c>
      <c r="D1061" s="462"/>
      <c r="E1061" s="462"/>
      <c r="F1061" s="462"/>
      <c r="G1061" s="462"/>
      <c r="H1061" s="462"/>
      <c r="I1061" s="462"/>
      <c r="J1061" s="462"/>
      <c r="K1061" s="462"/>
      <c r="L1061" s="462"/>
      <c r="M1061" s="462"/>
      <c r="N1061" s="462"/>
      <c r="O1061" s="462"/>
      <c r="P1061" s="463">
        <v>14.68</v>
      </c>
      <c r="Q1061" s="454">
        <v>5</v>
      </c>
      <c r="R1061" s="455"/>
    </row>
    <row r="1062" spans="1:18" ht="13.5" customHeight="1" x14ac:dyDescent="0.15">
      <c r="A1062" s="449" t="s">
        <v>1484</v>
      </c>
      <c r="B1062" s="450" t="s">
        <v>1640</v>
      </c>
      <c r="C1062" s="451" t="s">
        <v>1641</v>
      </c>
      <c r="D1062" s="462"/>
      <c r="E1062" s="462"/>
      <c r="F1062" s="462"/>
      <c r="G1062" s="462"/>
      <c r="H1062" s="462"/>
      <c r="I1062" s="462"/>
      <c r="J1062" s="462"/>
      <c r="K1062" s="462"/>
      <c r="L1062" s="462"/>
      <c r="M1062" s="462"/>
      <c r="N1062" s="462"/>
      <c r="O1062" s="462"/>
      <c r="P1062" s="463">
        <v>14.18</v>
      </c>
      <c r="Q1062" s="454">
        <v>5</v>
      </c>
      <c r="R1062" s="455"/>
    </row>
    <row r="1063" spans="1:18" ht="13.5" customHeight="1" x14ac:dyDescent="0.15">
      <c r="A1063" s="449" t="s">
        <v>1485</v>
      </c>
      <c r="B1063" s="450" t="s">
        <v>1640</v>
      </c>
      <c r="C1063" s="451" t="s">
        <v>1641</v>
      </c>
      <c r="D1063" s="462"/>
      <c r="E1063" s="462"/>
      <c r="F1063" s="462"/>
      <c r="G1063" s="462"/>
      <c r="H1063" s="462"/>
      <c r="I1063" s="462"/>
      <c r="J1063" s="462"/>
      <c r="K1063" s="462"/>
      <c r="L1063" s="462"/>
      <c r="M1063" s="462"/>
      <c r="N1063" s="462"/>
      <c r="O1063" s="462"/>
      <c r="P1063" s="463">
        <v>14.33</v>
      </c>
      <c r="Q1063" s="454">
        <v>5</v>
      </c>
      <c r="R1063" s="455"/>
    </row>
    <row r="1064" spans="1:18" ht="13.5" customHeight="1" x14ac:dyDescent="0.15">
      <c r="A1064" s="449" t="s">
        <v>1486</v>
      </c>
      <c r="B1064" s="450" t="s">
        <v>1640</v>
      </c>
      <c r="C1064" s="451" t="s">
        <v>1641</v>
      </c>
      <c r="D1064" s="462"/>
      <c r="E1064" s="462"/>
      <c r="F1064" s="462"/>
      <c r="G1064" s="462"/>
      <c r="H1064" s="462"/>
      <c r="I1064" s="462"/>
      <c r="J1064" s="462"/>
      <c r="K1064" s="462"/>
      <c r="L1064" s="462"/>
      <c r="M1064" s="462"/>
      <c r="N1064" s="462"/>
      <c r="O1064" s="462"/>
      <c r="P1064" s="463">
        <v>14.36</v>
      </c>
      <c r="Q1064" s="454">
        <v>5</v>
      </c>
      <c r="R1064" s="455"/>
    </row>
    <row r="1065" spans="1:18" ht="13.5" customHeight="1" x14ac:dyDescent="0.15">
      <c r="A1065" s="449" t="s">
        <v>1487</v>
      </c>
      <c r="B1065" s="450" t="s">
        <v>1640</v>
      </c>
      <c r="C1065" s="451" t="s">
        <v>1641</v>
      </c>
      <c r="D1065" s="462"/>
      <c r="E1065" s="462"/>
      <c r="F1065" s="462"/>
      <c r="G1065" s="462"/>
      <c r="H1065" s="462"/>
      <c r="I1065" s="462"/>
      <c r="J1065" s="462"/>
      <c r="K1065" s="462"/>
      <c r="L1065" s="462"/>
      <c r="M1065" s="462"/>
      <c r="N1065" s="462"/>
      <c r="O1065" s="462"/>
      <c r="P1065" s="463">
        <v>14.36</v>
      </c>
      <c r="Q1065" s="454">
        <v>5</v>
      </c>
      <c r="R1065" s="455"/>
    </row>
    <row r="1066" spans="1:18" ht="13.5" customHeight="1" x14ac:dyDescent="0.15">
      <c r="A1066" s="449" t="s">
        <v>1488</v>
      </c>
      <c r="B1066" s="450" t="s">
        <v>1640</v>
      </c>
      <c r="C1066" s="451" t="s">
        <v>1641</v>
      </c>
      <c r="D1066" s="462"/>
      <c r="E1066" s="462"/>
      <c r="F1066" s="462"/>
      <c r="G1066" s="462"/>
      <c r="H1066" s="462"/>
      <c r="I1066" s="462"/>
      <c r="J1066" s="462"/>
      <c r="K1066" s="462"/>
      <c r="L1066" s="462"/>
      <c r="M1066" s="462"/>
      <c r="N1066" s="462"/>
      <c r="O1066" s="462"/>
      <c r="P1066" s="463">
        <v>14.29</v>
      </c>
      <c r="Q1066" s="454">
        <v>5</v>
      </c>
      <c r="R1066" s="455"/>
    </row>
    <row r="1067" spans="1:18" ht="13.5" customHeight="1" x14ac:dyDescent="0.15">
      <c r="A1067" s="449" t="s">
        <v>1489</v>
      </c>
      <c r="B1067" s="450" t="s">
        <v>1640</v>
      </c>
      <c r="C1067" s="451" t="s">
        <v>1641</v>
      </c>
      <c r="D1067" s="462"/>
      <c r="E1067" s="462"/>
      <c r="F1067" s="462"/>
      <c r="G1067" s="462"/>
      <c r="H1067" s="462"/>
      <c r="I1067" s="462"/>
      <c r="J1067" s="462"/>
      <c r="K1067" s="462"/>
      <c r="L1067" s="462"/>
      <c r="M1067" s="462"/>
      <c r="N1067" s="462"/>
      <c r="O1067" s="462"/>
      <c r="P1067" s="463">
        <v>14.27</v>
      </c>
      <c r="Q1067" s="454">
        <v>5</v>
      </c>
      <c r="R1067" s="455"/>
    </row>
    <row r="1068" spans="1:18" ht="13.5" customHeight="1" x14ac:dyDescent="0.15">
      <c r="A1068" s="449" t="s">
        <v>1490</v>
      </c>
      <c r="B1068" s="450" t="s">
        <v>1640</v>
      </c>
      <c r="C1068" s="451" t="s">
        <v>1641</v>
      </c>
      <c r="D1068" s="462"/>
      <c r="E1068" s="462"/>
      <c r="F1068" s="462"/>
      <c r="G1068" s="462"/>
      <c r="H1068" s="462"/>
      <c r="I1068" s="462"/>
      <c r="J1068" s="462"/>
      <c r="K1068" s="462"/>
      <c r="L1068" s="462"/>
      <c r="M1068" s="462"/>
      <c r="N1068" s="462"/>
      <c r="O1068" s="462"/>
      <c r="P1068" s="463">
        <v>14.1</v>
      </c>
      <c r="Q1068" s="454">
        <v>5</v>
      </c>
      <c r="R1068" s="455"/>
    </row>
    <row r="1069" spans="1:18" ht="13.5" customHeight="1" x14ac:dyDescent="0.15">
      <c r="A1069" s="449" t="s">
        <v>1491</v>
      </c>
      <c r="B1069" s="450" t="s">
        <v>1640</v>
      </c>
      <c r="C1069" s="451" t="s">
        <v>1641</v>
      </c>
      <c r="D1069" s="462"/>
      <c r="E1069" s="462"/>
      <c r="F1069" s="462"/>
      <c r="G1069" s="462"/>
      <c r="H1069" s="462"/>
      <c r="I1069" s="462"/>
      <c r="J1069" s="462"/>
      <c r="K1069" s="462"/>
      <c r="L1069" s="462"/>
      <c r="M1069" s="462"/>
      <c r="N1069" s="462"/>
      <c r="O1069" s="462"/>
      <c r="P1069" s="463">
        <v>14.26</v>
      </c>
      <c r="Q1069" s="454">
        <v>5</v>
      </c>
      <c r="R1069" s="455"/>
    </row>
    <row r="1070" spans="1:18" ht="13.5" customHeight="1" x14ac:dyDescent="0.15">
      <c r="A1070" s="449" t="s">
        <v>1492</v>
      </c>
      <c r="B1070" s="450" t="s">
        <v>1640</v>
      </c>
      <c r="C1070" s="451" t="s">
        <v>1641</v>
      </c>
      <c r="D1070" s="462"/>
      <c r="E1070" s="462"/>
      <c r="F1070" s="462"/>
      <c r="G1070" s="462"/>
      <c r="H1070" s="462"/>
      <c r="I1070" s="462"/>
      <c r="J1070" s="462"/>
      <c r="K1070" s="462"/>
      <c r="L1070" s="462"/>
      <c r="M1070" s="462"/>
      <c r="N1070" s="462"/>
      <c r="O1070" s="462"/>
      <c r="P1070" s="463">
        <v>14.36</v>
      </c>
      <c r="Q1070" s="454">
        <v>5</v>
      </c>
      <c r="R1070" s="455"/>
    </row>
    <row r="1071" spans="1:18" ht="13.5" customHeight="1" x14ac:dyDescent="0.15">
      <c r="A1071" s="449" t="s">
        <v>1493</v>
      </c>
      <c r="B1071" s="450" t="s">
        <v>1640</v>
      </c>
      <c r="C1071" s="451" t="s">
        <v>1641</v>
      </c>
      <c r="D1071" s="462"/>
      <c r="E1071" s="462"/>
      <c r="F1071" s="462"/>
      <c r="G1071" s="462"/>
      <c r="H1071" s="462"/>
      <c r="I1071" s="462"/>
      <c r="J1071" s="462"/>
      <c r="K1071" s="462"/>
      <c r="L1071" s="462"/>
      <c r="M1071" s="462"/>
      <c r="N1071" s="462"/>
      <c r="O1071" s="462"/>
      <c r="P1071" s="463">
        <v>14.32</v>
      </c>
      <c r="Q1071" s="454">
        <v>5</v>
      </c>
      <c r="R1071" s="455"/>
    </row>
    <row r="1072" spans="1:18" ht="13.5" customHeight="1" x14ac:dyDescent="0.15">
      <c r="A1072" s="449" t="s">
        <v>1494</v>
      </c>
      <c r="B1072" s="450" t="s">
        <v>1640</v>
      </c>
      <c r="C1072" s="451" t="s">
        <v>1641</v>
      </c>
      <c r="D1072" s="462"/>
      <c r="E1072" s="462"/>
      <c r="F1072" s="462"/>
      <c r="G1072" s="462"/>
      <c r="H1072" s="462"/>
      <c r="I1072" s="462"/>
      <c r="J1072" s="462"/>
      <c r="K1072" s="462"/>
      <c r="L1072" s="462"/>
      <c r="M1072" s="462"/>
      <c r="N1072" s="462"/>
      <c r="O1072" s="462"/>
      <c r="P1072" s="463">
        <v>14.37</v>
      </c>
      <c r="Q1072" s="454">
        <v>5</v>
      </c>
      <c r="R1072" s="455"/>
    </row>
    <row r="1073" spans="1:18" ht="13.5" customHeight="1" x14ac:dyDescent="0.15">
      <c r="A1073" s="449" t="s">
        <v>1495</v>
      </c>
      <c r="B1073" s="450" t="s">
        <v>1640</v>
      </c>
      <c r="C1073" s="451" t="s">
        <v>1641</v>
      </c>
      <c r="D1073" s="462"/>
      <c r="E1073" s="462"/>
      <c r="F1073" s="462"/>
      <c r="G1073" s="462"/>
      <c r="H1073" s="462"/>
      <c r="I1073" s="462"/>
      <c r="J1073" s="462"/>
      <c r="K1073" s="462"/>
      <c r="L1073" s="462"/>
      <c r="M1073" s="462"/>
      <c r="N1073" s="462"/>
      <c r="O1073" s="462"/>
      <c r="P1073" s="463">
        <v>13.95</v>
      </c>
      <c r="Q1073" s="454">
        <v>5</v>
      </c>
      <c r="R1073" s="455"/>
    </row>
    <row r="1074" spans="1:18" ht="13.5" customHeight="1" x14ac:dyDescent="0.15">
      <c r="A1074" s="449" t="s">
        <v>1496</v>
      </c>
      <c r="B1074" s="450" t="s">
        <v>1640</v>
      </c>
      <c r="C1074" s="451" t="s">
        <v>1641</v>
      </c>
      <c r="D1074" s="462"/>
      <c r="E1074" s="462"/>
      <c r="F1074" s="462"/>
      <c r="G1074" s="462"/>
      <c r="H1074" s="462"/>
      <c r="I1074" s="462"/>
      <c r="J1074" s="462"/>
      <c r="K1074" s="462"/>
      <c r="L1074" s="462"/>
      <c r="M1074" s="462"/>
      <c r="N1074" s="462"/>
      <c r="O1074" s="462"/>
      <c r="P1074" s="463">
        <v>14.08</v>
      </c>
      <c r="Q1074" s="454">
        <v>5</v>
      </c>
      <c r="R1074" s="455"/>
    </row>
    <row r="1075" spans="1:18" ht="13.5" customHeight="1" x14ac:dyDescent="0.15">
      <c r="A1075" s="449" t="s">
        <v>1497</v>
      </c>
      <c r="B1075" s="450" t="s">
        <v>1640</v>
      </c>
      <c r="C1075" s="451" t="s">
        <v>1641</v>
      </c>
      <c r="D1075" s="462"/>
      <c r="E1075" s="462"/>
      <c r="F1075" s="462"/>
      <c r="G1075" s="462"/>
      <c r="H1075" s="462"/>
      <c r="I1075" s="462"/>
      <c r="J1075" s="462"/>
      <c r="K1075" s="462"/>
      <c r="L1075" s="462"/>
      <c r="M1075" s="462"/>
      <c r="N1075" s="462"/>
      <c r="O1075" s="462"/>
      <c r="P1075" s="463">
        <v>14.26</v>
      </c>
      <c r="Q1075" s="454">
        <v>5</v>
      </c>
      <c r="R1075" s="455"/>
    </row>
    <row r="1076" spans="1:18" ht="13.5" customHeight="1" x14ac:dyDescent="0.15">
      <c r="A1076" s="449" t="s">
        <v>1498</v>
      </c>
      <c r="B1076" s="450" t="s">
        <v>1640</v>
      </c>
      <c r="C1076" s="451" t="s">
        <v>1641</v>
      </c>
      <c r="D1076" s="462"/>
      <c r="E1076" s="462"/>
      <c r="F1076" s="462"/>
      <c r="G1076" s="462"/>
      <c r="H1076" s="462"/>
      <c r="I1076" s="462"/>
      <c r="J1076" s="462"/>
      <c r="K1076" s="462"/>
      <c r="L1076" s="462"/>
      <c r="M1076" s="462"/>
      <c r="N1076" s="462"/>
      <c r="O1076" s="462"/>
      <c r="P1076" s="463">
        <v>14.01</v>
      </c>
      <c r="Q1076" s="454">
        <v>5</v>
      </c>
      <c r="R1076" s="455"/>
    </row>
    <row r="1077" spans="1:18" ht="13.5" customHeight="1" x14ac:dyDescent="0.15">
      <c r="A1077" s="449" t="s">
        <v>1499</v>
      </c>
      <c r="B1077" s="450" t="s">
        <v>1640</v>
      </c>
      <c r="C1077" s="451" t="s">
        <v>1641</v>
      </c>
      <c r="D1077" s="462"/>
      <c r="E1077" s="462"/>
      <c r="F1077" s="462"/>
      <c r="G1077" s="462"/>
      <c r="H1077" s="462"/>
      <c r="I1077" s="462"/>
      <c r="J1077" s="462"/>
      <c r="K1077" s="462"/>
      <c r="L1077" s="462"/>
      <c r="M1077" s="462"/>
      <c r="N1077" s="462"/>
      <c r="O1077" s="462"/>
      <c r="P1077" s="463">
        <v>14.16</v>
      </c>
      <c r="Q1077" s="454">
        <v>5</v>
      </c>
      <c r="R1077" s="455"/>
    </row>
    <row r="1078" spans="1:18" ht="13.5" customHeight="1" x14ac:dyDescent="0.15">
      <c r="A1078" s="449" t="s">
        <v>1500</v>
      </c>
      <c r="B1078" s="450" t="s">
        <v>1640</v>
      </c>
      <c r="C1078" s="451" t="s">
        <v>1641</v>
      </c>
      <c r="D1078" s="462"/>
      <c r="E1078" s="462"/>
      <c r="F1078" s="462"/>
      <c r="G1078" s="462"/>
      <c r="H1078" s="462"/>
      <c r="I1078" s="462"/>
      <c r="J1078" s="462"/>
      <c r="K1078" s="462"/>
      <c r="L1078" s="462"/>
      <c r="M1078" s="462"/>
      <c r="N1078" s="462"/>
      <c r="O1078" s="462"/>
      <c r="P1078" s="463">
        <v>14.53</v>
      </c>
      <c r="Q1078" s="454">
        <v>5</v>
      </c>
      <c r="R1078" s="455"/>
    </row>
    <row r="1079" spans="1:18" ht="13.5" customHeight="1" x14ac:dyDescent="0.15">
      <c r="A1079" s="449" t="s">
        <v>1501</v>
      </c>
      <c r="B1079" s="450" t="s">
        <v>1640</v>
      </c>
      <c r="C1079" s="451" t="s">
        <v>1641</v>
      </c>
      <c r="D1079" s="462"/>
      <c r="E1079" s="462"/>
      <c r="F1079" s="462"/>
      <c r="G1079" s="462"/>
      <c r="H1079" s="462"/>
      <c r="I1079" s="462"/>
      <c r="J1079" s="462"/>
      <c r="K1079" s="462"/>
      <c r="L1079" s="462"/>
      <c r="M1079" s="462"/>
      <c r="N1079" s="462"/>
      <c r="O1079" s="462"/>
      <c r="P1079" s="463">
        <v>14.53</v>
      </c>
      <c r="Q1079" s="454">
        <v>5</v>
      </c>
      <c r="R1079" s="455"/>
    </row>
    <row r="1080" spans="1:18" ht="13.5" customHeight="1" x14ac:dyDescent="0.15">
      <c r="A1080" s="449" t="s">
        <v>1502</v>
      </c>
      <c r="B1080" s="450" t="s">
        <v>1640</v>
      </c>
      <c r="C1080" s="451" t="s">
        <v>1641</v>
      </c>
      <c r="D1080" s="462"/>
      <c r="E1080" s="462"/>
      <c r="F1080" s="462"/>
      <c r="G1080" s="462"/>
      <c r="H1080" s="462"/>
      <c r="I1080" s="462"/>
      <c r="J1080" s="462"/>
      <c r="K1080" s="462"/>
      <c r="L1080" s="462"/>
      <c r="M1080" s="462"/>
      <c r="N1080" s="462"/>
      <c r="O1080" s="462"/>
      <c r="P1080" s="463">
        <v>14.5</v>
      </c>
      <c r="Q1080" s="454">
        <v>5</v>
      </c>
      <c r="R1080" s="455"/>
    </row>
    <row r="1081" spans="1:18" ht="13.5" customHeight="1" x14ac:dyDescent="0.15">
      <c r="A1081" s="449" t="s">
        <v>1503</v>
      </c>
      <c r="B1081" s="450" t="s">
        <v>1640</v>
      </c>
      <c r="C1081" s="451" t="s">
        <v>1641</v>
      </c>
      <c r="D1081" s="462"/>
      <c r="E1081" s="462"/>
      <c r="F1081" s="462"/>
      <c r="G1081" s="462"/>
      <c r="H1081" s="462"/>
      <c r="I1081" s="462"/>
      <c r="J1081" s="462"/>
      <c r="K1081" s="462"/>
      <c r="L1081" s="462"/>
      <c r="M1081" s="462"/>
      <c r="N1081" s="462"/>
      <c r="O1081" s="462"/>
      <c r="P1081" s="463">
        <v>14.23</v>
      </c>
      <c r="Q1081" s="454">
        <v>5</v>
      </c>
      <c r="R1081" s="455"/>
    </row>
    <row r="1082" spans="1:18" ht="13.5" customHeight="1" x14ac:dyDescent="0.15">
      <c r="A1082" s="449" t="s">
        <v>1504</v>
      </c>
      <c r="B1082" s="450" t="s">
        <v>1640</v>
      </c>
      <c r="C1082" s="451" t="s">
        <v>1641</v>
      </c>
      <c r="D1082" s="462"/>
      <c r="E1082" s="462"/>
      <c r="F1082" s="462"/>
      <c r="G1082" s="462"/>
      <c r="H1082" s="462"/>
      <c r="I1082" s="462"/>
      <c r="J1082" s="462"/>
      <c r="K1082" s="462"/>
      <c r="L1082" s="462"/>
      <c r="M1082" s="462"/>
      <c r="N1082" s="462"/>
      <c r="O1082" s="462"/>
      <c r="P1082" s="463">
        <v>14.18</v>
      </c>
      <c r="Q1082" s="454">
        <v>5</v>
      </c>
      <c r="R1082" s="455"/>
    </row>
    <row r="1083" spans="1:18" ht="13.5" customHeight="1" x14ac:dyDescent="0.15">
      <c r="A1083" s="449" t="s">
        <v>1505</v>
      </c>
      <c r="B1083" s="450" t="s">
        <v>1640</v>
      </c>
      <c r="C1083" s="451" t="s">
        <v>1641</v>
      </c>
      <c r="D1083" s="462"/>
      <c r="E1083" s="462"/>
      <c r="F1083" s="462"/>
      <c r="G1083" s="462"/>
      <c r="H1083" s="462"/>
      <c r="I1083" s="462"/>
      <c r="J1083" s="462"/>
      <c r="K1083" s="462"/>
      <c r="L1083" s="462"/>
      <c r="M1083" s="462"/>
      <c r="N1083" s="462"/>
      <c r="O1083" s="462"/>
      <c r="P1083" s="463">
        <v>14.04</v>
      </c>
      <c r="Q1083" s="454">
        <v>5</v>
      </c>
      <c r="R1083" s="455"/>
    </row>
    <row r="1084" spans="1:18" ht="13.5" customHeight="1" x14ac:dyDescent="0.15">
      <c r="A1084" s="449" t="s">
        <v>1506</v>
      </c>
      <c r="B1084" s="450" t="s">
        <v>1640</v>
      </c>
      <c r="C1084" s="451" t="s">
        <v>1641</v>
      </c>
      <c r="D1084" s="462"/>
      <c r="E1084" s="462"/>
      <c r="F1084" s="462"/>
      <c r="G1084" s="462"/>
      <c r="H1084" s="462"/>
      <c r="I1084" s="462"/>
      <c r="J1084" s="462"/>
      <c r="K1084" s="462"/>
      <c r="L1084" s="462"/>
      <c r="M1084" s="462"/>
      <c r="N1084" s="462"/>
      <c r="O1084" s="462"/>
      <c r="P1084" s="463">
        <v>14.39</v>
      </c>
      <c r="Q1084" s="454">
        <v>5</v>
      </c>
      <c r="R1084" s="455"/>
    </row>
    <row r="1085" spans="1:18" ht="13.5" customHeight="1" x14ac:dyDescent="0.15">
      <c r="A1085" s="449" t="s">
        <v>1507</v>
      </c>
      <c r="B1085" s="450" t="s">
        <v>1640</v>
      </c>
      <c r="C1085" s="451" t="s">
        <v>1641</v>
      </c>
      <c r="D1085" s="462"/>
      <c r="E1085" s="462"/>
      <c r="F1085" s="462"/>
      <c r="G1085" s="462"/>
      <c r="H1085" s="462"/>
      <c r="I1085" s="462"/>
      <c r="J1085" s="462"/>
      <c r="K1085" s="462"/>
      <c r="L1085" s="462"/>
      <c r="M1085" s="462"/>
      <c r="N1085" s="462"/>
      <c r="O1085" s="462"/>
      <c r="P1085" s="463">
        <v>14.45</v>
      </c>
      <c r="Q1085" s="454">
        <v>5</v>
      </c>
      <c r="R1085" s="455"/>
    </row>
    <row r="1086" spans="1:18" ht="13.5" customHeight="1" x14ac:dyDescent="0.15">
      <c r="A1086" s="449" t="s">
        <v>1508</v>
      </c>
      <c r="B1086" s="450" t="s">
        <v>1640</v>
      </c>
      <c r="C1086" s="451" t="s">
        <v>1641</v>
      </c>
      <c r="D1086" s="462"/>
      <c r="E1086" s="462"/>
      <c r="F1086" s="462"/>
      <c r="G1086" s="462"/>
      <c r="H1086" s="462"/>
      <c r="I1086" s="462"/>
      <c r="J1086" s="462"/>
      <c r="K1086" s="462"/>
      <c r="L1086" s="462"/>
      <c r="M1086" s="462"/>
      <c r="N1086" s="462"/>
      <c r="O1086" s="462"/>
      <c r="P1086" s="463">
        <v>12.92</v>
      </c>
      <c r="Q1086" s="454">
        <v>5</v>
      </c>
      <c r="R1086" s="455"/>
    </row>
    <row r="1087" spans="1:18" ht="13.5" customHeight="1" x14ac:dyDescent="0.15">
      <c r="A1087" s="449" t="s">
        <v>1509</v>
      </c>
      <c r="B1087" s="450" t="s">
        <v>1640</v>
      </c>
      <c r="C1087" s="451" t="s">
        <v>1641</v>
      </c>
      <c r="D1087" s="462"/>
      <c r="E1087" s="462"/>
      <c r="F1087" s="462"/>
      <c r="G1087" s="462"/>
      <c r="H1087" s="462"/>
      <c r="I1087" s="462"/>
      <c r="J1087" s="462"/>
      <c r="K1087" s="462"/>
      <c r="L1087" s="462"/>
      <c r="M1087" s="462"/>
      <c r="N1087" s="462"/>
      <c r="O1087" s="462"/>
      <c r="P1087" s="463">
        <v>13.53</v>
      </c>
      <c r="Q1087" s="454">
        <v>5</v>
      </c>
      <c r="R1087" s="455"/>
    </row>
    <row r="1088" spans="1:18" ht="13.5" customHeight="1" x14ac:dyDescent="0.15">
      <c r="A1088" s="449" t="s">
        <v>1510</v>
      </c>
      <c r="B1088" s="450" t="s">
        <v>1640</v>
      </c>
      <c r="C1088" s="451" t="s">
        <v>1641</v>
      </c>
      <c r="D1088" s="462"/>
      <c r="E1088" s="462"/>
      <c r="F1088" s="462"/>
      <c r="G1088" s="462"/>
      <c r="H1088" s="462"/>
      <c r="I1088" s="462"/>
      <c r="J1088" s="462"/>
      <c r="K1088" s="462"/>
      <c r="L1088" s="462"/>
      <c r="M1088" s="462"/>
      <c r="N1088" s="462"/>
      <c r="O1088" s="462"/>
      <c r="P1088" s="463">
        <v>12.88</v>
      </c>
      <c r="Q1088" s="454">
        <v>5</v>
      </c>
      <c r="R1088" s="455"/>
    </row>
    <row r="1089" spans="1:18" ht="13.5" customHeight="1" x14ac:dyDescent="0.15">
      <c r="A1089" s="449" t="s">
        <v>1511</v>
      </c>
      <c r="B1089" s="450" t="s">
        <v>1640</v>
      </c>
      <c r="C1089" s="451" t="s">
        <v>1641</v>
      </c>
      <c r="D1089" s="462"/>
      <c r="E1089" s="462"/>
      <c r="F1089" s="462"/>
      <c r="G1089" s="462"/>
      <c r="H1089" s="462"/>
      <c r="I1089" s="462"/>
      <c r="J1089" s="462"/>
      <c r="K1089" s="462"/>
      <c r="L1089" s="462"/>
      <c r="M1089" s="462"/>
      <c r="N1089" s="462"/>
      <c r="O1089" s="462"/>
      <c r="P1089" s="463">
        <v>13.39</v>
      </c>
      <c r="Q1089" s="454">
        <v>5</v>
      </c>
      <c r="R1089" s="455"/>
    </row>
    <row r="1090" spans="1:18" ht="13.5" customHeight="1" x14ac:dyDescent="0.15">
      <c r="A1090" s="449" t="s">
        <v>1512</v>
      </c>
      <c r="B1090" s="450" t="s">
        <v>1640</v>
      </c>
      <c r="C1090" s="451" t="s">
        <v>1641</v>
      </c>
      <c r="D1090" s="462"/>
      <c r="E1090" s="462"/>
      <c r="F1090" s="462"/>
      <c r="G1090" s="462"/>
      <c r="H1090" s="462"/>
      <c r="I1090" s="462"/>
      <c r="J1090" s="462"/>
      <c r="K1090" s="462"/>
      <c r="L1090" s="462"/>
      <c r="M1090" s="462"/>
      <c r="N1090" s="462"/>
      <c r="O1090" s="462"/>
      <c r="P1090" s="463">
        <v>12.79</v>
      </c>
      <c r="Q1090" s="454">
        <v>5</v>
      </c>
      <c r="R1090" s="455"/>
    </row>
    <row r="1091" spans="1:18" ht="13.5" customHeight="1" x14ac:dyDescent="0.15">
      <c r="A1091" s="449" t="s">
        <v>1513</v>
      </c>
      <c r="B1091" s="450" t="s">
        <v>1640</v>
      </c>
      <c r="C1091" s="451" t="s">
        <v>1641</v>
      </c>
      <c r="D1091" s="462"/>
      <c r="E1091" s="462"/>
      <c r="F1091" s="462"/>
      <c r="G1091" s="462"/>
      <c r="H1091" s="462"/>
      <c r="I1091" s="462"/>
      <c r="J1091" s="462"/>
      <c r="K1091" s="462"/>
      <c r="L1091" s="462"/>
      <c r="M1091" s="462"/>
      <c r="N1091" s="462"/>
      <c r="O1091" s="462"/>
      <c r="P1091" s="463">
        <v>13.2</v>
      </c>
      <c r="Q1091" s="454">
        <v>5</v>
      </c>
      <c r="R1091" s="455"/>
    </row>
    <row r="1092" spans="1:18" ht="13.5" customHeight="1" x14ac:dyDescent="0.15">
      <c r="A1092" s="449" t="s">
        <v>1514</v>
      </c>
      <c r="B1092" s="450" t="s">
        <v>1640</v>
      </c>
      <c r="C1092" s="451" t="s">
        <v>1641</v>
      </c>
      <c r="D1092" s="462"/>
      <c r="E1092" s="462"/>
      <c r="F1092" s="462"/>
      <c r="G1092" s="462"/>
      <c r="H1092" s="462"/>
      <c r="I1092" s="462"/>
      <c r="J1092" s="462"/>
      <c r="K1092" s="462"/>
      <c r="L1092" s="462"/>
      <c r="M1092" s="462"/>
      <c r="N1092" s="462"/>
      <c r="O1092" s="462"/>
      <c r="P1092" s="463">
        <v>13.1</v>
      </c>
      <c r="Q1092" s="454">
        <v>5</v>
      </c>
      <c r="R1092" s="455"/>
    </row>
    <row r="1093" spans="1:18" ht="13.5" customHeight="1" x14ac:dyDescent="0.15">
      <c r="A1093" s="449" t="s">
        <v>1515</v>
      </c>
      <c r="B1093" s="450" t="s">
        <v>1640</v>
      </c>
      <c r="C1093" s="451" t="s">
        <v>1641</v>
      </c>
      <c r="D1093" s="462"/>
      <c r="E1093" s="462"/>
      <c r="F1093" s="462"/>
      <c r="G1093" s="462"/>
      <c r="H1093" s="462"/>
      <c r="I1093" s="462"/>
      <c r="J1093" s="462"/>
      <c r="K1093" s="462"/>
      <c r="L1093" s="462"/>
      <c r="M1093" s="462"/>
      <c r="N1093" s="462"/>
      <c r="O1093" s="462"/>
      <c r="P1093" s="463">
        <v>13.75</v>
      </c>
      <c r="Q1093" s="454">
        <v>5</v>
      </c>
      <c r="R1093" s="455"/>
    </row>
    <row r="1094" spans="1:18" ht="13.5" customHeight="1" x14ac:dyDescent="0.15">
      <c r="A1094" s="449" t="s">
        <v>1516</v>
      </c>
      <c r="B1094" s="450" t="s">
        <v>1640</v>
      </c>
      <c r="C1094" s="451" t="s">
        <v>1641</v>
      </c>
      <c r="D1094" s="462"/>
      <c r="E1094" s="462"/>
      <c r="F1094" s="462"/>
      <c r="G1094" s="462"/>
      <c r="H1094" s="462"/>
      <c r="I1094" s="462"/>
      <c r="J1094" s="462"/>
      <c r="K1094" s="462"/>
      <c r="L1094" s="462"/>
      <c r="M1094" s="462"/>
      <c r="N1094" s="462"/>
      <c r="O1094" s="462"/>
      <c r="P1094" s="463">
        <v>14.08</v>
      </c>
      <c r="Q1094" s="454">
        <v>5</v>
      </c>
      <c r="R1094" s="455"/>
    </row>
    <row r="1095" spans="1:18" ht="13.5" customHeight="1" x14ac:dyDescent="0.15">
      <c r="A1095" s="449" t="s">
        <v>1517</v>
      </c>
      <c r="B1095" s="450" t="s">
        <v>1640</v>
      </c>
      <c r="C1095" s="451" t="s">
        <v>1641</v>
      </c>
      <c r="D1095" s="462"/>
      <c r="E1095" s="462"/>
      <c r="F1095" s="462"/>
      <c r="G1095" s="462"/>
      <c r="H1095" s="462"/>
      <c r="I1095" s="462"/>
      <c r="J1095" s="462"/>
      <c r="K1095" s="462"/>
      <c r="L1095" s="462"/>
      <c r="M1095" s="462"/>
      <c r="N1095" s="462"/>
      <c r="O1095" s="462"/>
      <c r="P1095" s="463">
        <v>13.89</v>
      </c>
      <c r="Q1095" s="454">
        <v>5</v>
      </c>
      <c r="R1095" s="455"/>
    </row>
    <row r="1096" spans="1:18" ht="13.5" customHeight="1" x14ac:dyDescent="0.15">
      <c r="A1096" s="449" t="s">
        <v>1518</v>
      </c>
      <c r="B1096" s="450" t="s">
        <v>1640</v>
      </c>
      <c r="C1096" s="451" t="s">
        <v>1641</v>
      </c>
      <c r="D1096" s="462"/>
      <c r="E1096" s="462"/>
      <c r="F1096" s="462"/>
      <c r="G1096" s="462"/>
      <c r="H1096" s="462"/>
      <c r="I1096" s="462"/>
      <c r="J1096" s="462"/>
      <c r="K1096" s="462"/>
      <c r="L1096" s="462"/>
      <c r="M1096" s="462"/>
      <c r="N1096" s="462"/>
      <c r="O1096" s="462"/>
      <c r="P1096" s="463">
        <v>13.29</v>
      </c>
      <c r="Q1096" s="454">
        <v>5</v>
      </c>
      <c r="R1096" s="455"/>
    </row>
    <row r="1097" spans="1:18" ht="13.5" customHeight="1" x14ac:dyDescent="0.15">
      <c r="A1097" s="449" t="s">
        <v>1519</v>
      </c>
      <c r="B1097" s="450" t="s">
        <v>1640</v>
      </c>
      <c r="C1097" s="451" t="s">
        <v>1641</v>
      </c>
      <c r="D1097" s="462"/>
      <c r="E1097" s="462"/>
      <c r="F1097" s="462"/>
      <c r="G1097" s="462"/>
      <c r="H1097" s="462"/>
      <c r="I1097" s="462"/>
      <c r="J1097" s="462"/>
      <c r="K1097" s="462"/>
      <c r="L1097" s="462"/>
      <c r="M1097" s="462"/>
      <c r="N1097" s="462"/>
      <c r="O1097" s="462"/>
      <c r="P1097" s="463">
        <v>14.18</v>
      </c>
      <c r="Q1097" s="454">
        <v>5</v>
      </c>
      <c r="R1097" s="455"/>
    </row>
    <row r="1098" spans="1:18" ht="13.5" customHeight="1" x14ac:dyDescent="0.15">
      <c r="A1098" s="449" t="s">
        <v>1520</v>
      </c>
      <c r="B1098" s="450" t="s">
        <v>1640</v>
      </c>
      <c r="C1098" s="451" t="s">
        <v>1641</v>
      </c>
      <c r="D1098" s="462"/>
      <c r="E1098" s="462"/>
      <c r="F1098" s="462"/>
      <c r="G1098" s="462"/>
      <c r="H1098" s="462"/>
      <c r="I1098" s="462"/>
      <c r="J1098" s="462"/>
      <c r="K1098" s="462"/>
      <c r="L1098" s="462"/>
      <c r="M1098" s="462"/>
      <c r="N1098" s="462"/>
      <c r="O1098" s="462"/>
      <c r="P1098" s="463">
        <v>12.75</v>
      </c>
      <c r="Q1098" s="454">
        <v>5</v>
      </c>
      <c r="R1098" s="455"/>
    </row>
    <row r="1099" spans="1:18" ht="13.5" customHeight="1" x14ac:dyDescent="0.15">
      <c r="A1099" s="449" t="s">
        <v>1521</v>
      </c>
      <c r="B1099" s="450" t="s">
        <v>1640</v>
      </c>
      <c r="C1099" s="451" t="s">
        <v>1641</v>
      </c>
      <c r="D1099" s="462"/>
      <c r="E1099" s="462"/>
      <c r="F1099" s="462"/>
      <c r="G1099" s="462"/>
      <c r="H1099" s="462"/>
      <c r="I1099" s="462"/>
      <c r="J1099" s="462"/>
      <c r="K1099" s="462"/>
      <c r="L1099" s="462"/>
      <c r="M1099" s="462"/>
      <c r="N1099" s="462"/>
      <c r="O1099" s="462"/>
      <c r="P1099" s="463">
        <v>13.39</v>
      </c>
      <c r="Q1099" s="454">
        <v>5</v>
      </c>
      <c r="R1099" s="455"/>
    </row>
    <row r="1100" spans="1:18" ht="13.5" customHeight="1" x14ac:dyDescent="0.15">
      <c r="A1100" s="449" t="s">
        <v>1522</v>
      </c>
      <c r="B1100" s="450" t="s">
        <v>1640</v>
      </c>
      <c r="C1100" s="451" t="s">
        <v>1641</v>
      </c>
      <c r="D1100" s="462"/>
      <c r="E1100" s="462"/>
      <c r="F1100" s="462"/>
      <c r="G1100" s="462"/>
      <c r="H1100" s="462"/>
      <c r="I1100" s="462"/>
      <c r="J1100" s="462"/>
      <c r="K1100" s="462"/>
      <c r="L1100" s="462"/>
      <c r="M1100" s="462"/>
      <c r="N1100" s="462"/>
      <c r="O1100" s="462"/>
      <c r="P1100" s="463">
        <v>11.72</v>
      </c>
      <c r="Q1100" s="454">
        <v>5</v>
      </c>
      <c r="R1100" s="455"/>
    </row>
    <row r="1101" spans="1:18" ht="13.5" customHeight="1" x14ac:dyDescent="0.15">
      <c r="A1101" s="449" t="s">
        <v>1523</v>
      </c>
      <c r="B1101" s="450" t="s">
        <v>1640</v>
      </c>
      <c r="C1101" s="451" t="s">
        <v>1641</v>
      </c>
      <c r="D1101" s="462"/>
      <c r="E1101" s="462"/>
      <c r="F1101" s="462"/>
      <c r="G1101" s="462"/>
      <c r="H1101" s="462"/>
      <c r="I1101" s="462"/>
      <c r="J1101" s="462"/>
      <c r="K1101" s="462"/>
      <c r="L1101" s="462"/>
      <c r="M1101" s="462"/>
      <c r="N1101" s="462"/>
      <c r="O1101" s="462"/>
      <c r="P1101" s="463">
        <v>13.6</v>
      </c>
      <c r="Q1101" s="454">
        <v>5</v>
      </c>
      <c r="R1101" s="455"/>
    </row>
    <row r="1102" spans="1:18" ht="13.5" customHeight="1" x14ac:dyDescent="0.15">
      <c r="A1102" s="449" t="s">
        <v>1524</v>
      </c>
      <c r="B1102" s="450" t="s">
        <v>1640</v>
      </c>
      <c r="C1102" s="451" t="s">
        <v>1641</v>
      </c>
      <c r="D1102" s="462"/>
      <c r="E1102" s="462"/>
      <c r="F1102" s="462"/>
      <c r="G1102" s="462"/>
      <c r="H1102" s="462"/>
      <c r="I1102" s="462"/>
      <c r="J1102" s="462"/>
      <c r="K1102" s="462"/>
      <c r="L1102" s="462"/>
      <c r="M1102" s="462"/>
      <c r="N1102" s="462"/>
      <c r="O1102" s="462"/>
      <c r="P1102" s="463">
        <v>12.76</v>
      </c>
      <c r="Q1102" s="454">
        <v>5</v>
      </c>
      <c r="R1102" s="455"/>
    </row>
    <row r="1103" spans="1:18" ht="13.5" customHeight="1" x14ac:dyDescent="0.15">
      <c r="A1103" s="449" t="s">
        <v>1525</v>
      </c>
      <c r="B1103" s="450" t="s">
        <v>1640</v>
      </c>
      <c r="C1103" s="451" t="s">
        <v>1641</v>
      </c>
      <c r="D1103" s="462"/>
      <c r="E1103" s="462"/>
      <c r="F1103" s="462"/>
      <c r="G1103" s="462"/>
      <c r="H1103" s="462"/>
      <c r="I1103" s="462"/>
      <c r="J1103" s="462"/>
      <c r="K1103" s="462"/>
      <c r="L1103" s="462"/>
      <c r="M1103" s="462"/>
      <c r="N1103" s="462"/>
      <c r="O1103" s="462"/>
      <c r="P1103" s="463">
        <v>13.16</v>
      </c>
      <c r="Q1103" s="454">
        <v>5</v>
      </c>
      <c r="R1103" s="455"/>
    </row>
    <row r="1104" spans="1:18" ht="13.5" customHeight="1" x14ac:dyDescent="0.15">
      <c r="A1104" s="449" t="s">
        <v>1526</v>
      </c>
      <c r="B1104" s="450" t="s">
        <v>1640</v>
      </c>
      <c r="C1104" s="451" t="s">
        <v>1641</v>
      </c>
      <c r="D1104" s="462"/>
      <c r="E1104" s="462"/>
      <c r="F1104" s="462"/>
      <c r="G1104" s="462"/>
      <c r="H1104" s="462"/>
      <c r="I1104" s="462"/>
      <c r="J1104" s="462"/>
      <c r="K1104" s="462"/>
      <c r="L1104" s="462"/>
      <c r="M1104" s="462"/>
      <c r="N1104" s="462"/>
      <c r="O1104" s="462"/>
      <c r="P1104" s="463">
        <v>12.53</v>
      </c>
      <c r="Q1104" s="454">
        <v>5</v>
      </c>
      <c r="R1104" s="455"/>
    </row>
    <row r="1105" spans="1:18" ht="13.5" customHeight="1" x14ac:dyDescent="0.15">
      <c r="A1105" s="449" t="s">
        <v>1527</v>
      </c>
      <c r="B1105" s="450" t="s">
        <v>1640</v>
      </c>
      <c r="C1105" s="451" t="s">
        <v>1641</v>
      </c>
      <c r="D1105" s="462"/>
      <c r="E1105" s="462"/>
      <c r="F1105" s="462"/>
      <c r="G1105" s="462"/>
      <c r="H1105" s="462"/>
      <c r="I1105" s="462"/>
      <c r="J1105" s="462"/>
      <c r="K1105" s="462"/>
      <c r="L1105" s="462"/>
      <c r="M1105" s="462"/>
      <c r="N1105" s="462"/>
      <c r="O1105" s="462"/>
      <c r="P1105" s="463">
        <v>12.08</v>
      </c>
      <c r="Q1105" s="454">
        <v>5</v>
      </c>
      <c r="R1105" s="455"/>
    </row>
    <row r="1106" spans="1:18" ht="13.5" customHeight="1" x14ac:dyDescent="0.15">
      <c r="A1106" s="449" t="s">
        <v>1528</v>
      </c>
      <c r="B1106" s="450" t="s">
        <v>1640</v>
      </c>
      <c r="C1106" s="451" t="s">
        <v>1641</v>
      </c>
      <c r="D1106" s="462"/>
      <c r="E1106" s="462"/>
      <c r="F1106" s="462"/>
      <c r="G1106" s="462"/>
      <c r="H1106" s="462"/>
      <c r="I1106" s="462"/>
      <c r="J1106" s="462"/>
      <c r="K1106" s="462"/>
      <c r="L1106" s="462"/>
      <c r="M1106" s="462"/>
      <c r="N1106" s="462"/>
      <c r="O1106" s="462"/>
      <c r="P1106" s="463">
        <v>12.57</v>
      </c>
      <c r="Q1106" s="454">
        <v>5</v>
      </c>
      <c r="R1106" s="455"/>
    </row>
    <row r="1107" spans="1:18" ht="13.5" customHeight="1" x14ac:dyDescent="0.15">
      <c r="A1107" s="449" t="s">
        <v>1529</v>
      </c>
      <c r="B1107" s="450" t="s">
        <v>1640</v>
      </c>
      <c r="C1107" s="451" t="s">
        <v>1641</v>
      </c>
      <c r="D1107" s="462"/>
      <c r="E1107" s="462"/>
      <c r="F1107" s="462"/>
      <c r="G1107" s="462"/>
      <c r="H1107" s="462"/>
      <c r="I1107" s="462"/>
      <c r="J1107" s="462"/>
      <c r="K1107" s="462"/>
      <c r="L1107" s="462"/>
      <c r="M1107" s="462"/>
      <c r="N1107" s="462"/>
      <c r="O1107" s="462"/>
      <c r="P1107" s="463">
        <v>14.5</v>
      </c>
      <c r="Q1107" s="454">
        <v>5</v>
      </c>
      <c r="R1107" s="455"/>
    </row>
    <row r="1108" spans="1:18" ht="13.5" customHeight="1" x14ac:dyDescent="0.15">
      <c r="A1108" s="449" t="s">
        <v>1530</v>
      </c>
      <c r="B1108" s="450" t="s">
        <v>1640</v>
      </c>
      <c r="C1108" s="451" t="s">
        <v>1641</v>
      </c>
      <c r="D1108" s="462"/>
      <c r="E1108" s="462"/>
      <c r="F1108" s="462"/>
      <c r="G1108" s="462"/>
      <c r="H1108" s="462"/>
      <c r="I1108" s="462"/>
      <c r="J1108" s="462"/>
      <c r="K1108" s="462"/>
      <c r="L1108" s="462"/>
      <c r="M1108" s="462"/>
      <c r="N1108" s="462"/>
      <c r="O1108" s="462"/>
      <c r="P1108" s="463">
        <v>14.66</v>
      </c>
      <c r="Q1108" s="454">
        <v>5</v>
      </c>
      <c r="R1108" s="455"/>
    </row>
    <row r="1109" spans="1:18" ht="13.5" customHeight="1" x14ac:dyDescent="0.15">
      <c r="A1109" s="449" t="s">
        <v>1531</v>
      </c>
      <c r="B1109" s="450" t="s">
        <v>1640</v>
      </c>
      <c r="C1109" s="451" t="s">
        <v>1641</v>
      </c>
      <c r="D1109" s="462"/>
      <c r="E1109" s="462"/>
      <c r="F1109" s="462"/>
      <c r="G1109" s="462"/>
      <c r="H1109" s="462"/>
      <c r="I1109" s="462"/>
      <c r="J1109" s="462"/>
      <c r="K1109" s="462"/>
      <c r="L1109" s="462"/>
      <c r="M1109" s="462"/>
      <c r="N1109" s="462"/>
      <c r="O1109" s="462"/>
      <c r="P1109" s="463">
        <v>14.69</v>
      </c>
      <c r="Q1109" s="454">
        <v>5</v>
      </c>
      <c r="R1109" s="455"/>
    </row>
    <row r="1110" spans="1:18" ht="13.5" customHeight="1" x14ac:dyDescent="0.15">
      <c r="A1110" s="449" t="s">
        <v>1532</v>
      </c>
      <c r="B1110" s="450" t="s">
        <v>1640</v>
      </c>
      <c r="C1110" s="451" t="s">
        <v>1641</v>
      </c>
      <c r="D1110" s="462"/>
      <c r="E1110" s="462"/>
      <c r="F1110" s="462"/>
      <c r="G1110" s="462"/>
      <c r="H1110" s="462"/>
      <c r="I1110" s="462"/>
      <c r="J1110" s="462"/>
      <c r="K1110" s="462"/>
      <c r="L1110" s="462"/>
      <c r="M1110" s="462"/>
      <c r="N1110" s="462"/>
      <c r="O1110" s="462"/>
      <c r="P1110" s="463">
        <v>12.13</v>
      </c>
      <c r="Q1110" s="454">
        <v>5</v>
      </c>
      <c r="R1110" s="455"/>
    </row>
    <row r="1111" spans="1:18" ht="13.5" customHeight="1" x14ac:dyDescent="0.15">
      <c r="A1111" s="449" t="s">
        <v>1533</v>
      </c>
      <c r="B1111" s="450" t="s">
        <v>1640</v>
      </c>
      <c r="C1111" s="451" t="s">
        <v>1641</v>
      </c>
      <c r="D1111" s="462"/>
      <c r="E1111" s="462"/>
      <c r="F1111" s="462"/>
      <c r="G1111" s="462"/>
      <c r="H1111" s="462"/>
      <c r="I1111" s="462"/>
      <c r="J1111" s="462"/>
      <c r="K1111" s="462"/>
      <c r="L1111" s="462"/>
      <c r="M1111" s="462"/>
      <c r="N1111" s="462"/>
      <c r="O1111" s="462"/>
      <c r="P1111" s="463">
        <v>11.63</v>
      </c>
      <c r="Q1111" s="454">
        <v>5</v>
      </c>
      <c r="R1111" s="455"/>
    </row>
    <row r="1112" spans="1:18" ht="13.5" customHeight="1" x14ac:dyDescent="0.15">
      <c r="A1112" s="449" t="s">
        <v>1534</v>
      </c>
      <c r="B1112" s="450" t="s">
        <v>1640</v>
      </c>
      <c r="C1112" s="451" t="s">
        <v>1641</v>
      </c>
      <c r="D1112" s="462"/>
      <c r="E1112" s="462"/>
      <c r="F1112" s="462"/>
      <c r="G1112" s="462"/>
      <c r="H1112" s="462"/>
      <c r="I1112" s="462"/>
      <c r="J1112" s="462"/>
      <c r="K1112" s="462"/>
      <c r="L1112" s="462"/>
      <c r="M1112" s="462"/>
      <c r="N1112" s="462"/>
      <c r="O1112" s="462"/>
      <c r="P1112" s="463">
        <v>12.88</v>
      </c>
      <c r="Q1112" s="454">
        <v>5</v>
      </c>
      <c r="R1112" s="455"/>
    </row>
    <row r="1113" spans="1:18" ht="13.5" customHeight="1" x14ac:dyDescent="0.15">
      <c r="A1113" s="449" t="s">
        <v>1535</v>
      </c>
      <c r="B1113" s="450" t="s">
        <v>1640</v>
      </c>
      <c r="C1113" s="451" t="s">
        <v>1641</v>
      </c>
      <c r="D1113" s="462"/>
      <c r="E1113" s="462"/>
      <c r="F1113" s="462"/>
      <c r="G1113" s="462"/>
      <c r="H1113" s="462"/>
      <c r="I1113" s="462"/>
      <c r="J1113" s="462"/>
      <c r="K1113" s="462"/>
      <c r="L1113" s="462"/>
      <c r="M1113" s="462"/>
      <c r="N1113" s="462"/>
      <c r="O1113" s="462"/>
      <c r="P1113" s="463">
        <v>14.55</v>
      </c>
      <c r="Q1113" s="454">
        <v>5</v>
      </c>
      <c r="R1113" s="455"/>
    </row>
    <row r="1114" spans="1:18" ht="13.5" customHeight="1" x14ac:dyDescent="0.15">
      <c r="A1114" s="449" t="s">
        <v>1536</v>
      </c>
      <c r="B1114" s="450" t="s">
        <v>1640</v>
      </c>
      <c r="C1114" s="451" t="s">
        <v>1641</v>
      </c>
      <c r="D1114" s="462"/>
      <c r="E1114" s="462"/>
      <c r="F1114" s="462"/>
      <c r="G1114" s="462"/>
      <c r="H1114" s="462"/>
      <c r="I1114" s="462"/>
      <c r="J1114" s="462"/>
      <c r="K1114" s="462"/>
      <c r="L1114" s="462"/>
      <c r="M1114" s="462"/>
      <c r="N1114" s="462"/>
      <c r="O1114" s="462"/>
      <c r="P1114" s="463">
        <v>13.87</v>
      </c>
      <c r="Q1114" s="454">
        <v>5</v>
      </c>
      <c r="R1114" s="455"/>
    </row>
    <row r="1115" spans="1:18" ht="13.5" customHeight="1" x14ac:dyDescent="0.15">
      <c r="A1115" s="449" t="s">
        <v>1537</v>
      </c>
      <c r="B1115" s="450" t="s">
        <v>1640</v>
      </c>
      <c r="C1115" s="451" t="s">
        <v>1641</v>
      </c>
      <c r="D1115" s="462"/>
      <c r="E1115" s="462"/>
      <c r="F1115" s="462"/>
      <c r="G1115" s="462"/>
      <c r="H1115" s="462"/>
      <c r="I1115" s="462"/>
      <c r="J1115" s="462"/>
      <c r="K1115" s="462"/>
      <c r="L1115" s="462"/>
      <c r="M1115" s="462"/>
      <c r="N1115" s="462"/>
      <c r="O1115" s="462"/>
      <c r="P1115" s="463">
        <v>14.33</v>
      </c>
      <c r="Q1115" s="454">
        <v>5</v>
      </c>
      <c r="R1115" s="455"/>
    </row>
    <row r="1116" spans="1:18" ht="13.5" customHeight="1" x14ac:dyDescent="0.15">
      <c r="A1116" s="449" t="s">
        <v>1538</v>
      </c>
      <c r="B1116" s="450" t="s">
        <v>1640</v>
      </c>
      <c r="C1116" s="451" t="s">
        <v>1641</v>
      </c>
      <c r="D1116" s="462"/>
      <c r="E1116" s="462"/>
      <c r="F1116" s="462"/>
      <c r="G1116" s="462"/>
      <c r="H1116" s="462"/>
      <c r="I1116" s="462"/>
      <c r="J1116" s="462"/>
      <c r="K1116" s="462"/>
      <c r="L1116" s="462"/>
      <c r="M1116" s="462"/>
      <c r="N1116" s="462"/>
      <c r="O1116" s="462"/>
      <c r="P1116" s="463">
        <v>14.65</v>
      </c>
      <c r="Q1116" s="454">
        <v>5</v>
      </c>
      <c r="R1116" s="455"/>
    </row>
    <row r="1117" spans="1:18" ht="13.5" customHeight="1" x14ac:dyDescent="0.15">
      <c r="A1117" s="449" t="s">
        <v>1539</v>
      </c>
      <c r="B1117" s="450" t="s">
        <v>1640</v>
      </c>
      <c r="C1117" s="451" t="s">
        <v>1641</v>
      </c>
      <c r="D1117" s="462"/>
      <c r="E1117" s="462"/>
      <c r="F1117" s="462"/>
      <c r="G1117" s="462"/>
      <c r="H1117" s="462"/>
      <c r="I1117" s="462"/>
      <c r="J1117" s="462"/>
      <c r="K1117" s="462"/>
      <c r="L1117" s="462"/>
      <c r="M1117" s="462"/>
      <c r="N1117" s="462"/>
      <c r="O1117" s="462"/>
      <c r="P1117" s="463">
        <v>14.58</v>
      </c>
      <c r="Q1117" s="454">
        <v>5</v>
      </c>
      <c r="R1117" s="455"/>
    </row>
    <row r="1118" spans="1:18" ht="13.5" customHeight="1" x14ac:dyDescent="0.15">
      <c r="A1118" s="449" t="s">
        <v>1540</v>
      </c>
      <c r="B1118" s="450" t="s">
        <v>1640</v>
      </c>
      <c r="C1118" s="451" t="s">
        <v>1641</v>
      </c>
      <c r="D1118" s="462"/>
      <c r="E1118" s="462"/>
      <c r="F1118" s="462"/>
      <c r="G1118" s="462"/>
      <c r="H1118" s="462"/>
      <c r="I1118" s="462"/>
      <c r="J1118" s="462"/>
      <c r="K1118" s="462"/>
      <c r="L1118" s="462"/>
      <c r="M1118" s="462"/>
      <c r="N1118" s="462"/>
      <c r="O1118" s="462"/>
      <c r="P1118" s="463">
        <v>14.69</v>
      </c>
      <c r="Q1118" s="454">
        <v>5</v>
      </c>
      <c r="R1118" s="455"/>
    </row>
    <row r="1119" spans="1:18" ht="13.5" customHeight="1" x14ac:dyDescent="0.15">
      <c r="A1119" s="449" t="s">
        <v>1541</v>
      </c>
      <c r="B1119" s="450" t="s">
        <v>1640</v>
      </c>
      <c r="C1119" s="451" t="s">
        <v>1641</v>
      </c>
      <c r="D1119" s="462"/>
      <c r="E1119" s="462"/>
      <c r="F1119" s="462"/>
      <c r="G1119" s="462"/>
      <c r="H1119" s="462"/>
      <c r="I1119" s="462"/>
      <c r="J1119" s="462"/>
      <c r="K1119" s="462"/>
      <c r="L1119" s="462"/>
      <c r="M1119" s="462"/>
      <c r="N1119" s="462"/>
      <c r="O1119" s="462"/>
      <c r="P1119" s="463">
        <v>14.68</v>
      </c>
      <c r="Q1119" s="454">
        <v>5</v>
      </c>
      <c r="R1119" s="455"/>
    </row>
    <row r="1120" spans="1:18" ht="13.5" customHeight="1" x14ac:dyDescent="0.15">
      <c r="A1120" s="449" t="s">
        <v>1542</v>
      </c>
      <c r="B1120" s="450" t="s">
        <v>1640</v>
      </c>
      <c r="C1120" s="451" t="s">
        <v>1641</v>
      </c>
      <c r="D1120" s="462"/>
      <c r="E1120" s="462"/>
      <c r="F1120" s="462"/>
      <c r="G1120" s="462"/>
      <c r="H1120" s="462"/>
      <c r="I1120" s="462"/>
      <c r="J1120" s="462"/>
      <c r="K1120" s="462"/>
      <c r="L1120" s="462"/>
      <c r="M1120" s="462"/>
      <c r="N1120" s="462"/>
      <c r="O1120" s="462"/>
      <c r="P1120" s="463">
        <v>14.37</v>
      </c>
      <c r="Q1120" s="454">
        <v>5</v>
      </c>
      <c r="R1120" s="455"/>
    </row>
    <row r="1121" spans="1:18" ht="13.5" customHeight="1" x14ac:dyDescent="0.15">
      <c r="A1121" s="449" t="s">
        <v>1543</v>
      </c>
      <c r="B1121" s="450" t="s">
        <v>1640</v>
      </c>
      <c r="C1121" s="451" t="s">
        <v>1641</v>
      </c>
      <c r="D1121" s="462"/>
      <c r="E1121" s="462"/>
      <c r="F1121" s="462"/>
      <c r="G1121" s="462"/>
      <c r="H1121" s="462"/>
      <c r="I1121" s="462"/>
      <c r="J1121" s="462"/>
      <c r="K1121" s="462"/>
      <c r="L1121" s="462"/>
      <c r="M1121" s="462"/>
      <c r="N1121" s="462"/>
      <c r="O1121" s="462"/>
      <c r="P1121" s="463">
        <v>14.47</v>
      </c>
      <c r="Q1121" s="454">
        <v>5</v>
      </c>
      <c r="R1121" s="455"/>
    </row>
    <row r="1122" spans="1:18" ht="13.5" customHeight="1" x14ac:dyDescent="0.15">
      <c r="A1122" s="449" t="s">
        <v>1544</v>
      </c>
      <c r="B1122" s="450" t="s">
        <v>1640</v>
      </c>
      <c r="C1122" s="451" t="s">
        <v>1641</v>
      </c>
      <c r="D1122" s="462"/>
      <c r="E1122" s="462"/>
      <c r="F1122" s="462"/>
      <c r="G1122" s="462"/>
      <c r="H1122" s="462"/>
      <c r="I1122" s="462"/>
      <c r="J1122" s="462"/>
      <c r="K1122" s="462"/>
      <c r="L1122" s="462"/>
      <c r="M1122" s="462"/>
      <c r="N1122" s="462"/>
      <c r="O1122" s="462"/>
      <c r="P1122" s="463">
        <v>13.6</v>
      </c>
      <c r="Q1122" s="454">
        <v>5</v>
      </c>
      <c r="R1122" s="455"/>
    </row>
    <row r="1123" spans="1:18" ht="13.5" customHeight="1" x14ac:dyDescent="0.15">
      <c r="A1123" s="449" t="s">
        <v>1545</v>
      </c>
      <c r="B1123" s="450" t="s">
        <v>1640</v>
      </c>
      <c r="C1123" s="451" t="s">
        <v>1641</v>
      </c>
      <c r="D1123" s="462"/>
      <c r="E1123" s="462"/>
      <c r="F1123" s="462"/>
      <c r="G1123" s="462"/>
      <c r="H1123" s="462"/>
      <c r="I1123" s="462"/>
      <c r="J1123" s="462"/>
      <c r="K1123" s="462"/>
      <c r="L1123" s="462"/>
      <c r="M1123" s="462"/>
      <c r="N1123" s="462"/>
      <c r="O1123" s="462"/>
      <c r="P1123" s="463">
        <v>14.32</v>
      </c>
      <c r="Q1123" s="454">
        <v>5</v>
      </c>
      <c r="R1123" s="455"/>
    </row>
    <row r="1124" spans="1:18" ht="13.5" customHeight="1" x14ac:dyDescent="0.15">
      <c r="A1124" s="449" t="s">
        <v>1546</v>
      </c>
      <c r="B1124" s="450" t="s">
        <v>1640</v>
      </c>
      <c r="C1124" s="451" t="s">
        <v>1641</v>
      </c>
      <c r="D1124" s="462"/>
      <c r="E1124" s="462"/>
      <c r="F1124" s="462"/>
      <c r="G1124" s="462"/>
      <c r="H1124" s="462"/>
      <c r="I1124" s="462"/>
      <c r="J1124" s="462"/>
      <c r="K1124" s="462"/>
      <c r="L1124" s="462"/>
      <c r="M1124" s="462"/>
      <c r="N1124" s="462"/>
      <c r="O1124" s="462"/>
      <c r="P1124" s="463">
        <v>14.47</v>
      </c>
      <c r="Q1124" s="454">
        <v>5</v>
      </c>
      <c r="R1124" s="455"/>
    </row>
    <row r="1125" spans="1:18" ht="13.5" customHeight="1" x14ac:dyDescent="0.15">
      <c r="A1125" s="449" t="s">
        <v>1547</v>
      </c>
      <c r="B1125" s="450" t="s">
        <v>1640</v>
      </c>
      <c r="C1125" s="451" t="s">
        <v>1641</v>
      </c>
      <c r="D1125" s="462"/>
      <c r="E1125" s="462"/>
      <c r="F1125" s="462"/>
      <c r="G1125" s="462"/>
      <c r="H1125" s="462"/>
      <c r="I1125" s="462"/>
      <c r="J1125" s="462"/>
      <c r="K1125" s="462"/>
      <c r="L1125" s="462"/>
      <c r="M1125" s="462"/>
      <c r="N1125" s="462"/>
      <c r="O1125" s="462"/>
      <c r="P1125" s="463">
        <v>14.23</v>
      </c>
      <c r="Q1125" s="454">
        <v>5</v>
      </c>
      <c r="R1125" s="455"/>
    </row>
    <row r="1126" spans="1:18" ht="13.5" customHeight="1" x14ac:dyDescent="0.15">
      <c r="A1126" s="449" t="s">
        <v>1548</v>
      </c>
      <c r="B1126" s="450" t="s">
        <v>1640</v>
      </c>
      <c r="C1126" s="451" t="s">
        <v>1641</v>
      </c>
      <c r="D1126" s="462"/>
      <c r="E1126" s="462"/>
      <c r="F1126" s="462"/>
      <c r="G1126" s="462"/>
      <c r="H1126" s="462"/>
      <c r="I1126" s="462"/>
      <c r="J1126" s="462"/>
      <c r="K1126" s="462"/>
      <c r="L1126" s="462"/>
      <c r="M1126" s="462"/>
      <c r="N1126" s="462"/>
      <c r="O1126" s="462"/>
      <c r="P1126" s="463">
        <v>14.68</v>
      </c>
      <c r="Q1126" s="454">
        <v>5</v>
      </c>
      <c r="R1126" s="455"/>
    </row>
    <row r="1127" spans="1:18" ht="13.5" customHeight="1" x14ac:dyDescent="0.15">
      <c r="A1127" s="449" t="s">
        <v>1549</v>
      </c>
      <c r="B1127" s="450" t="s">
        <v>1640</v>
      </c>
      <c r="C1127" s="451" t="s">
        <v>1641</v>
      </c>
      <c r="D1127" s="462"/>
      <c r="E1127" s="462"/>
      <c r="F1127" s="462"/>
      <c r="G1127" s="462"/>
      <c r="H1127" s="462"/>
      <c r="I1127" s="462"/>
      <c r="J1127" s="462"/>
      <c r="K1127" s="462"/>
      <c r="L1127" s="462"/>
      <c r="M1127" s="462"/>
      <c r="N1127" s="462"/>
      <c r="O1127" s="462"/>
      <c r="P1127" s="463">
        <v>13.85</v>
      </c>
      <c r="Q1127" s="454">
        <v>5</v>
      </c>
      <c r="R1127" s="455"/>
    </row>
    <row r="1128" spans="1:18" ht="13.5" customHeight="1" x14ac:dyDescent="0.15">
      <c r="A1128" s="449" t="s">
        <v>1550</v>
      </c>
      <c r="B1128" s="450" t="s">
        <v>1640</v>
      </c>
      <c r="C1128" s="451" t="s">
        <v>1641</v>
      </c>
      <c r="D1128" s="462"/>
      <c r="E1128" s="462"/>
      <c r="F1128" s="462"/>
      <c r="G1128" s="462"/>
      <c r="H1128" s="462"/>
      <c r="I1128" s="462"/>
      <c r="J1128" s="462"/>
      <c r="K1128" s="462"/>
      <c r="L1128" s="462"/>
      <c r="M1128" s="462"/>
      <c r="N1128" s="462"/>
      <c r="O1128" s="462"/>
      <c r="P1128" s="463">
        <v>14.23</v>
      </c>
      <c r="Q1128" s="454">
        <v>5</v>
      </c>
      <c r="R1128" s="455"/>
    </row>
    <row r="1129" spans="1:18" ht="13.5" customHeight="1" x14ac:dyDescent="0.15">
      <c r="A1129" s="449" t="s">
        <v>1551</v>
      </c>
      <c r="B1129" s="450" t="s">
        <v>1640</v>
      </c>
      <c r="C1129" s="451" t="s">
        <v>1641</v>
      </c>
      <c r="D1129" s="462"/>
      <c r="E1129" s="462"/>
      <c r="F1129" s="462"/>
      <c r="G1129" s="462"/>
      <c r="H1129" s="462"/>
      <c r="I1129" s="462"/>
      <c r="J1129" s="462"/>
      <c r="K1129" s="462"/>
      <c r="L1129" s="462"/>
      <c r="M1129" s="462"/>
      <c r="N1129" s="462"/>
      <c r="O1129" s="462"/>
      <c r="P1129" s="463">
        <v>13.81</v>
      </c>
      <c r="Q1129" s="454">
        <v>5</v>
      </c>
      <c r="R1129" s="455"/>
    </row>
    <row r="1130" spans="1:18" ht="13.5" customHeight="1" x14ac:dyDescent="0.15">
      <c r="A1130" s="449" t="s">
        <v>1552</v>
      </c>
      <c r="B1130" s="450" t="s">
        <v>1640</v>
      </c>
      <c r="C1130" s="451" t="s">
        <v>1641</v>
      </c>
      <c r="D1130" s="462"/>
      <c r="E1130" s="462"/>
      <c r="F1130" s="462"/>
      <c r="G1130" s="462"/>
      <c r="H1130" s="462"/>
      <c r="I1130" s="462"/>
      <c r="J1130" s="462"/>
      <c r="K1130" s="462"/>
      <c r="L1130" s="462"/>
      <c r="M1130" s="462"/>
      <c r="N1130" s="462"/>
      <c r="O1130" s="462"/>
      <c r="P1130" s="463">
        <v>13.72</v>
      </c>
      <c r="Q1130" s="454">
        <v>5</v>
      </c>
      <c r="R1130" s="455"/>
    </row>
    <row r="1131" spans="1:18" ht="13.5" customHeight="1" x14ac:dyDescent="0.15">
      <c r="A1131" s="449" t="s">
        <v>1553</v>
      </c>
      <c r="B1131" s="450" t="s">
        <v>1640</v>
      </c>
      <c r="C1131" s="451" t="s">
        <v>1641</v>
      </c>
      <c r="D1131" s="462"/>
      <c r="E1131" s="462"/>
      <c r="F1131" s="462"/>
      <c r="G1131" s="462"/>
      <c r="H1131" s="462"/>
      <c r="I1131" s="462"/>
      <c r="J1131" s="462"/>
      <c r="K1131" s="462"/>
      <c r="L1131" s="462"/>
      <c r="M1131" s="462"/>
      <c r="N1131" s="462"/>
      <c r="O1131" s="462"/>
      <c r="P1131" s="463">
        <v>14.07</v>
      </c>
      <c r="Q1131" s="454">
        <v>5</v>
      </c>
      <c r="R1131" s="455"/>
    </row>
    <row r="1132" spans="1:18" ht="13.5" customHeight="1" x14ac:dyDescent="0.15">
      <c r="A1132" s="449" t="s">
        <v>1554</v>
      </c>
      <c r="B1132" s="450" t="s">
        <v>1640</v>
      </c>
      <c r="C1132" s="451" t="s">
        <v>1641</v>
      </c>
      <c r="D1132" s="462"/>
      <c r="E1132" s="462"/>
      <c r="F1132" s="462"/>
      <c r="G1132" s="462"/>
      <c r="H1132" s="462"/>
      <c r="I1132" s="462"/>
      <c r="J1132" s="462"/>
      <c r="K1132" s="462"/>
      <c r="L1132" s="462"/>
      <c r="M1132" s="462"/>
      <c r="N1132" s="462"/>
      <c r="O1132" s="462"/>
      <c r="P1132" s="463">
        <v>14.29</v>
      </c>
      <c r="Q1132" s="454">
        <v>5</v>
      </c>
      <c r="R1132" s="455"/>
    </row>
    <row r="1133" spans="1:18" ht="13.5" customHeight="1" x14ac:dyDescent="0.15">
      <c r="A1133" s="449" t="s">
        <v>1555</v>
      </c>
      <c r="B1133" s="450" t="s">
        <v>1640</v>
      </c>
      <c r="C1133" s="451" t="s">
        <v>1641</v>
      </c>
      <c r="D1133" s="462"/>
      <c r="E1133" s="462"/>
      <c r="F1133" s="462"/>
      <c r="G1133" s="462"/>
      <c r="H1133" s="462"/>
      <c r="I1133" s="462"/>
      <c r="J1133" s="462"/>
      <c r="K1133" s="462"/>
      <c r="L1133" s="462"/>
      <c r="M1133" s="462"/>
      <c r="N1133" s="462"/>
      <c r="O1133" s="462"/>
      <c r="P1133" s="463">
        <v>14.27</v>
      </c>
      <c r="Q1133" s="454">
        <v>5</v>
      </c>
      <c r="R1133" s="455"/>
    </row>
    <row r="1134" spans="1:18" ht="13.5" customHeight="1" x14ac:dyDescent="0.15">
      <c r="A1134" s="449" t="s">
        <v>1556</v>
      </c>
      <c r="B1134" s="450" t="s">
        <v>1640</v>
      </c>
      <c r="C1134" s="451" t="s">
        <v>1641</v>
      </c>
      <c r="D1134" s="462"/>
      <c r="E1134" s="462"/>
      <c r="F1134" s="462"/>
      <c r="G1134" s="462"/>
      <c r="H1134" s="462"/>
      <c r="I1134" s="462"/>
      <c r="J1134" s="462"/>
      <c r="K1134" s="462"/>
      <c r="L1134" s="462"/>
      <c r="M1134" s="462"/>
      <c r="N1134" s="462"/>
      <c r="O1134" s="462"/>
      <c r="P1134" s="463">
        <v>14.17</v>
      </c>
      <c r="Q1134" s="454">
        <v>5</v>
      </c>
      <c r="R1134" s="455"/>
    </row>
    <row r="1135" spans="1:18" ht="13.5" customHeight="1" x14ac:dyDescent="0.15">
      <c r="A1135" s="449" t="s">
        <v>1557</v>
      </c>
      <c r="B1135" s="450" t="s">
        <v>1640</v>
      </c>
      <c r="C1135" s="451" t="s">
        <v>1641</v>
      </c>
      <c r="D1135" s="462"/>
      <c r="E1135" s="462"/>
      <c r="F1135" s="462"/>
      <c r="G1135" s="462"/>
      <c r="H1135" s="462"/>
      <c r="I1135" s="462"/>
      <c r="J1135" s="462"/>
      <c r="K1135" s="462"/>
      <c r="L1135" s="462"/>
      <c r="M1135" s="462"/>
      <c r="N1135" s="462"/>
      <c r="O1135" s="462"/>
      <c r="P1135" s="463">
        <v>14.03</v>
      </c>
      <c r="Q1135" s="454">
        <v>5</v>
      </c>
      <c r="R1135" s="455"/>
    </row>
    <row r="1136" spans="1:18" ht="13.5" customHeight="1" x14ac:dyDescent="0.15">
      <c r="A1136" s="449" t="s">
        <v>1558</v>
      </c>
      <c r="B1136" s="450" t="s">
        <v>1640</v>
      </c>
      <c r="C1136" s="451" t="s">
        <v>1641</v>
      </c>
      <c r="D1136" s="462"/>
      <c r="E1136" s="462"/>
      <c r="F1136" s="462"/>
      <c r="G1136" s="462"/>
      <c r="H1136" s="462"/>
      <c r="I1136" s="462"/>
      <c r="J1136" s="462"/>
      <c r="K1136" s="462"/>
      <c r="L1136" s="462"/>
      <c r="M1136" s="462"/>
      <c r="N1136" s="462"/>
      <c r="O1136" s="462"/>
      <c r="P1136" s="463">
        <v>14.34</v>
      </c>
      <c r="Q1136" s="454">
        <v>5</v>
      </c>
      <c r="R1136" s="455"/>
    </row>
    <row r="1137" spans="1:18" ht="13.5" customHeight="1" x14ac:dyDescent="0.15">
      <c r="A1137" s="449" t="s">
        <v>1559</v>
      </c>
      <c r="B1137" s="450" t="s">
        <v>1640</v>
      </c>
      <c r="C1137" s="451" t="s">
        <v>1641</v>
      </c>
      <c r="D1137" s="462"/>
      <c r="E1137" s="462"/>
      <c r="F1137" s="462"/>
      <c r="G1137" s="462"/>
      <c r="H1137" s="462"/>
      <c r="I1137" s="462"/>
      <c r="J1137" s="462"/>
      <c r="K1137" s="462"/>
      <c r="L1137" s="462"/>
      <c r="M1137" s="462"/>
      <c r="N1137" s="462"/>
      <c r="O1137" s="462"/>
      <c r="P1137" s="463">
        <v>14.08</v>
      </c>
      <c r="Q1137" s="454">
        <v>5</v>
      </c>
      <c r="R1137" s="455"/>
    </row>
    <row r="1138" spans="1:18" ht="13.5" customHeight="1" x14ac:dyDescent="0.15">
      <c r="A1138" s="449" t="s">
        <v>1560</v>
      </c>
      <c r="B1138" s="450" t="s">
        <v>1640</v>
      </c>
      <c r="C1138" s="451" t="s">
        <v>1641</v>
      </c>
      <c r="D1138" s="462"/>
      <c r="E1138" s="462"/>
      <c r="F1138" s="462"/>
      <c r="G1138" s="462"/>
      <c r="H1138" s="462"/>
      <c r="I1138" s="462"/>
      <c r="J1138" s="462"/>
      <c r="K1138" s="462"/>
      <c r="L1138" s="462"/>
      <c r="M1138" s="462"/>
      <c r="N1138" s="462"/>
      <c r="O1138" s="462"/>
      <c r="P1138" s="463">
        <v>14.01</v>
      </c>
      <c r="Q1138" s="454">
        <v>5</v>
      </c>
      <c r="R1138" s="455"/>
    </row>
    <row r="1139" spans="1:18" ht="13.5" customHeight="1" x14ac:dyDescent="0.15">
      <c r="A1139" s="449" t="s">
        <v>1561</v>
      </c>
      <c r="B1139" s="450" t="s">
        <v>1640</v>
      </c>
      <c r="C1139" s="451" t="s">
        <v>1641</v>
      </c>
      <c r="D1139" s="462"/>
      <c r="E1139" s="462"/>
      <c r="F1139" s="462"/>
      <c r="G1139" s="462"/>
      <c r="H1139" s="462"/>
      <c r="I1139" s="462"/>
      <c r="J1139" s="462"/>
      <c r="K1139" s="462"/>
      <c r="L1139" s="462"/>
      <c r="M1139" s="462"/>
      <c r="N1139" s="462"/>
      <c r="O1139" s="462"/>
      <c r="P1139" s="463">
        <v>14.36</v>
      </c>
      <c r="Q1139" s="454">
        <v>5</v>
      </c>
      <c r="R1139" s="455"/>
    </row>
    <row r="1140" spans="1:18" ht="13.5" customHeight="1" x14ac:dyDescent="0.15">
      <c r="A1140" s="449" t="s">
        <v>1562</v>
      </c>
      <c r="B1140" s="450" t="s">
        <v>1640</v>
      </c>
      <c r="C1140" s="451" t="s">
        <v>1641</v>
      </c>
      <c r="D1140" s="462"/>
      <c r="E1140" s="462"/>
      <c r="F1140" s="462"/>
      <c r="G1140" s="462"/>
      <c r="H1140" s="462"/>
      <c r="I1140" s="462"/>
      <c r="J1140" s="462"/>
      <c r="K1140" s="462"/>
      <c r="L1140" s="462"/>
      <c r="M1140" s="462"/>
      <c r="N1140" s="462"/>
      <c r="O1140" s="462"/>
      <c r="P1140" s="463">
        <v>14.69</v>
      </c>
      <c r="Q1140" s="454">
        <v>5</v>
      </c>
      <c r="R1140" s="455"/>
    </row>
    <row r="1141" spans="1:18" ht="13.5" customHeight="1" x14ac:dyDescent="0.15">
      <c r="A1141" s="449" t="s">
        <v>1563</v>
      </c>
      <c r="B1141" s="450" t="s">
        <v>1640</v>
      </c>
      <c r="C1141" s="451" t="s">
        <v>1641</v>
      </c>
      <c r="D1141" s="462"/>
      <c r="E1141" s="462"/>
      <c r="F1141" s="462"/>
      <c r="G1141" s="462"/>
      <c r="H1141" s="462"/>
      <c r="I1141" s="462"/>
      <c r="J1141" s="462"/>
      <c r="K1141" s="462"/>
      <c r="L1141" s="462"/>
      <c r="M1141" s="462"/>
      <c r="N1141" s="462"/>
      <c r="O1141" s="462"/>
      <c r="P1141" s="463">
        <v>12.63</v>
      </c>
      <c r="Q1141" s="454">
        <v>5</v>
      </c>
      <c r="R1141" s="455"/>
    </row>
    <row r="1142" spans="1:18" ht="13.5" customHeight="1" x14ac:dyDescent="0.15">
      <c r="A1142" s="449" t="s">
        <v>1564</v>
      </c>
      <c r="B1142" s="450" t="s">
        <v>1640</v>
      </c>
      <c r="C1142" s="451" t="s">
        <v>1641</v>
      </c>
      <c r="D1142" s="462"/>
      <c r="E1142" s="462"/>
      <c r="F1142" s="462"/>
      <c r="G1142" s="462"/>
      <c r="H1142" s="462"/>
      <c r="I1142" s="462"/>
      <c r="J1142" s="462"/>
      <c r="K1142" s="462"/>
      <c r="L1142" s="462"/>
      <c r="M1142" s="462"/>
      <c r="N1142" s="462"/>
      <c r="O1142" s="462"/>
      <c r="P1142" s="463">
        <v>14.5</v>
      </c>
      <c r="Q1142" s="454">
        <v>5</v>
      </c>
      <c r="R1142" s="455"/>
    </row>
    <row r="1143" spans="1:18" ht="13.5" customHeight="1" x14ac:dyDescent="0.15">
      <c r="A1143" s="449" t="s">
        <v>1565</v>
      </c>
      <c r="B1143" s="450" t="s">
        <v>1640</v>
      </c>
      <c r="C1143" s="451" t="s">
        <v>1641</v>
      </c>
      <c r="D1143" s="462"/>
      <c r="E1143" s="462"/>
      <c r="F1143" s="462"/>
      <c r="G1143" s="462"/>
      <c r="H1143" s="462"/>
      <c r="I1143" s="462"/>
      <c r="J1143" s="462"/>
      <c r="K1143" s="462"/>
      <c r="L1143" s="462"/>
      <c r="M1143" s="462"/>
      <c r="N1143" s="462"/>
      <c r="O1143" s="462"/>
      <c r="P1143" s="463">
        <v>13.69</v>
      </c>
      <c r="Q1143" s="454">
        <v>5</v>
      </c>
      <c r="R1143" s="455"/>
    </row>
    <row r="1144" spans="1:18" ht="13.5" customHeight="1" x14ac:dyDescent="0.15">
      <c r="A1144" s="449" t="s">
        <v>1566</v>
      </c>
      <c r="B1144" s="450" t="s">
        <v>1640</v>
      </c>
      <c r="C1144" s="451" t="s">
        <v>1641</v>
      </c>
      <c r="D1144" s="462"/>
      <c r="E1144" s="462"/>
      <c r="F1144" s="462"/>
      <c r="G1144" s="462"/>
      <c r="H1144" s="462"/>
      <c r="I1144" s="462"/>
      <c r="J1144" s="462"/>
      <c r="K1144" s="462"/>
      <c r="L1144" s="462"/>
      <c r="M1144" s="462"/>
      <c r="N1144" s="462"/>
      <c r="O1144" s="462"/>
      <c r="P1144" s="463">
        <v>13.92</v>
      </c>
      <c r="Q1144" s="454">
        <v>5</v>
      </c>
      <c r="R1144" s="455"/>
    </row>
    <row r="1145" spans="1:18" ht="13.5" customHeight="1" x14ac:dyDescent="0.15">
      <c r="A1145" s="449" t="s">
        <v>1567</v>
      </c>
      <c r="B1145" s="450" t="s">
        <v>1640</v>
      </c>
      <c r="C1145" s="451" t="s">
        <v>1641</v>
      </c>
      <c r="D1145" s="462"/>
      <c r="E1145" s="462"/>
      <c r="F1145" s="462"/>
      <c r="G1145" s="462"/>
      <c r="H1145" s="462"/>
      <c r="I1145" s="462"/>
      <c r="J1145" s="462"/>
      <c r="K1145" s="462"/>
      <c r="L1145" s="462"/>
      <c r="M1145" s="462"/>
      <c r="N1145" s="462"/>
      <c r="O1145" s="462"/>
      <c r="P1145" s="463">
        <v>14.59</v>
      </c>
      <c r="Q1145" s="454">
        <v>5</v>
      </c>
      <c r="R1145" s="455"/>
    </row>
    <row r="1146" spans="1:18" ht="13.5" customHeight="1" x14ac:dyDescent="0.15">
      <c r="A1146" s="449" t="s">
        <v>1568</v>
      </c>
      <c r="B1146" s="450" t="s">
        <v>1640</v>
      </c>
      <c r="C1146" s="451" t="s">
        <v>1641</v>
      </c>
      <c r="D1146" s="462"/>
      <c r="E1146" s="462"/>
      <c r="F1146" s="462"/>
      <c r="G1146" s="462"/>
      <c r="H1146" s="462"/>
      <c r="I1146" s="462"/>
      <c r="J1146" s="462"/>
      <c r="K1146" s="462"/>
      <c r="L1146" s="462"/>
      <c r="M1146" s="462"/>
      <c r="N1146" s="462"/>
      <c r="O1146" s="462"/>
      <c r="P1146" s="463">
        <v>14.49</v>
      </c>
      <c r="Q1146" s="454">
        <v>5</v>
      </c>
      <c r="R1146" s="455"/>
    </row>
    <row r="1147" spans="1:18" ht="13.5" customHeight="1" x14ac:dyDescent="0.15">
      <c r="A1147" s="449" t="s">
        <v>1569</v>
      </c>
      <c r="B1147" s="450" t="s">
        <v>1640</v>
      </c>
      <c r="C1147" s="451" t="s">
        <v>1641</v>
      </c>
      <c r="D1147" s="462"/>
      <c r="E1147" s="462"/>
      <c r="F1147" s="462"/>
      <c r="G1147" s="462"/>
      <c r="H1147" s="462"/>
      <c r="I1147" s="462"/>
      <c r="J1147" s="462"/>
      <c r="K1147" s="462"/>
      <c r="L1147" s="462"/>
      <c r="M1147" s="462"/>
      <c r="N1147" s="462"/>
      <c r="O1147" s="462"/>
      <c r="P1147" s="463">
        <v>13.62</v>
      </c>
      <c r="Q1147" s="454">
        <v>5</v>
      </c>
      <c r="R1147" s="455"/>
    </row>
    <row r="1148" spans="1:18" ht="13.5" customHeight="1" x14ac:dyDescent="0.15">
      <c r="A1148" s="449" t="s">
        <v>1570</v>
      </c>
      <c r="B1148" s="450" t="s">
        <v>1640</v>
      </c>
      <c r="C1148" s="451" t="s">
        <v>1641</v>
      </c>
      <c r="D1148" s="462"/>
      <c r="E1148" s="462"/>
      <c r="F1148" s="462"/>
      <c r="G1148" s="462"/>
      <c r="H1148" s="462"/>
      <c r="I1148" s="462"/>
      <c r="J1148" s="462"/>
      <c r="K1148" s="462"/>
      <c r="L1148" s="462"/>
      <c r="M1148" s="462"/>
      <c r="N1148" s="462"/>
      <c r="O1148" s="462"/>
      <c r="P1148" s="463">
        <v>14.32</v>
      </c>
      <c r="Q1148" s="454">
        <v>5</v>
      </c>
      <c r="R1148" s="455"/>
    </row>
    <row r="1149" spans="1:18" ht="13.5" customHeight="1" x14ac:dyDescent="0.15">
      <c r="A1149" s="449" t="s">
        <v>1571</v>
      </c>
      <c r="B1149" s="450" t="s">
        <v>1640</v>
      </c>
      <c r="C1149" s="451" t="s">
        <v>1641</v>
      </c>
      <c r="D1149" s="462"/>
      <c r="E1149" s="462"/>
      <c r="F1149" s="462"/>
      <c r="G1149" s="462"/>
      <c r="H1149" s="462"/>
      <c r="I1149" s="462"/>
      <c r="J1149" s="462"/>
      <c r="K1149" s="462"/>
      <c r="L1149" s="462"/>
      <c r="M1149" s="462"/>
      <c r="N1149" s="462"/>
      <c r="O1149" s="462"/>
      <c r="P1149" s="463">
        <v>14.53</v>
      </c>
      <c r="Q1149" s="454">
        <v>5</v>
      </c>
      <c r="R1149" s="455"/>
    </row>
    <row r="1150" spans="1:18" ht="13.5" customHeight="1" x14ac:dyDescent="0.15">
      <c r="A1150" s="449" t="s">
        <v>1572</v>
      </c>
      <c r="B1150" s="450" t="s">
        <v>1640</v>
      </c>
      <c r="C1150" s="451" t="s">
        <v>1641</v>
      </c>
      <c r="D1150" s="462"/>
      <c r="E1150" s="462"/>
      <c r="F1150" s="462"/>
      <c r="G1150" s="462"/>
      <c r="H1150" s="462"/>
      <c r="I1150" s="462"/>
      <c r="J1150" s="462"/>
      <c r="K1150" s="462"/>
      <c r="L1150" s="462"/>
      <c r="M1150" s="462"/>
      <c r="N1150" s="462"/>
      <c r="O1150" s="462"/>
      <c r="P1150" s="463">
        <v>14.69</v>
      </c>
      <c r="Q1150" s="454">
        <v>5</v>
      </c>
      <c r="R1150" s="455"/>
    </row>
    <row r="1151" spans="1:18" ht="13.5" customHeight="1" x14ac:dyDescent="0.15">
      <c r="A1151" s="449" t="s">
        <v>1573</v>
      </c>
      <c r="B1151" s="450" t="s">
        <v>1640</v>
      </c>
      <c r="C1151" s="451" t="s">
        <v>1641</v>
      </c>
      <c r="D1151" s="462"/>
      <c r="E1151" s="462"/>
      <c r="F1151" s="462"/>
      <c r="G1151" s="462"/>
      <c r="H1151" s="462"/>
      <c r="I1151" s="462"/>
      <c r="J1151" s="462"/>
      <c r="K1151" s="462"/>
      <c r="L1151" s="462"/>
      <c r="M1151" s="462"/>
      <c r="N1151" s="462"/>
      <c r="O1151" s="462"/>
      <c r="P1151" s="463">
        <v>14.1</v>
      </c>
      <c r="Q1151" s="454">
        <v>5</v>
      </c>
      <c r="R1151" s="455"/>
    </row>
    <row r="1152" spans="1:18" ht="13.5" customHeight="1" x14ac:dyDescent="0.15">
      <c r="A1152" s="449" t="s">
        <v>1574</v>
      </c>
      <c r="B1152" s="450" t="s">
        <v>1640</v>
      </c>
      <c r="C1152" s="451" t="s">
        <v>1641</v>
      </c>
      <c r="D1152" s="462"/>
      <c r="E1152" s="462"/>
      <c r="F1152" s="462"/>
      <c r="G1152" s="462"/>
      <c r="H1152" s="462"/>
      <c r="I1152" s="462"/>
      <c r="J1152" s="462"/>
      <c r="K1152" s="462"/>
      <c r="L1152" s="462"/>
      <c r="M1152" s="462"/>
      <c r="N1152" s="462"/>
      <c r="O1152" s="462"/>
      <c r="P1152" s="463">
        <v>14.21</v>
      </c>
      <c r="Q1152" s="454">
        <v>5</v>
      </c>
      <c r="R1152" s="455"/>
    </row>
    <row r="1153" spans="1:18" ht="13.5" customHeight="1" x14ac:dyDescent="0.15">
      <c r="A1153" s="449" t="s">
        <v>1575</v>
      </c>
      <c r="B1153" s="450" t="s">
        <v>1640</v>
      </c>
      <c r="C1153" s="451" t="s">
        <v>1641</v>
      </c>
      <c r="D1153" s="462"/>
      <c r="E1153" s="462"/>
      <c r="F1153" s="462"/>
      <c r="G1153" s="462"/>
      <c r="H1153" s="462"/>
      <c r="I1153" s="462"/>
      <c r="J1153" s="462"/>
      <c r="K1153" s="462"/>
      <c r="L1153" s="462"/>
      <c r="M1153" s="462"/>
      <c r="N1153" s="462"/>
      <c r="O1153" s="462"/>
      <c r="P1153" s="463">
        <v>14.42</v>
      </c>
      <c r="Q1153" s="454">
        <v>5</v>
      </c>
      <c r="R1153" s="455"/>
    </row>
    <row r="1154" spans="1:18" ht="13.5" customHeight="1" x14ac:dyDescent="0.15">
      <c r="A1154" s="449" t="s">
        <v>1576</v>
      </c>
      <c r="B1154" s="450" t="s">
        <v>1640</v>
      </c>
      <c r="C1154" s="451" t="s">
        <v>1641</v>
      </c>
      <c r="D1154" s="462"/>
      <c r="E1154" s="462"/>
      <c r="F1154" s="462"/>
      <c r="G1154" s="462"/>
      <c r="H1154" s="462"/>
      <c r="I1154" s="462"/>
      <c r="J1154" s="462"/>
      <c r="K1154" s="462"/>
      <c r="L1154" s="462"/>
      <c r="M1154" s="462"/>
      <c r="N1154" s="462"/>
      <c r="O1154" s="462"/>
      <c r="P1154" s="463">
        <v>14.66</v>
      </c>
      <c r="Q1154" s="454">
        <v>5</v>
      </c>
      <c r="R1154" s="455"/>
    </row>
    <row r="1155" spans="1:18" ht="13.5" customHeight="1" x14ac:dyDescent="0.15">
      <c r="A1155" s="449" t="s">
        <v>1577</v>
      </c>
      <c r="B1155" s="450" t="s">
        <v>1640</v>
      </c>
      <c r="C1155" s="451" t="s">
        <v>1641</v>
      </c>
      <c r="D1155" s="462"/>
      <c r="E1155" s="462"/>
      <c r="F1155" s="462"/>
      <c r="G1155" s="462"/>
      <c r="H1155" s="462"/>
      <c r="I1155" s="462"/>
      <c r="J1155" s="462"/>
      <c r="K1155" s="462"/>
      <c r="L1155" s="462"/>
      <c r="M1155" s="462"/>
      <c r="N1155" s="462"/>
      <c r="O1155" s="462"/>
      <c r="P1155" s="463">
        <v>14.68</v>
      </c>
      <c r="Q1155" s="454">
        <v>5</v>
      </c>
      <c r="R1155" s="455"/>
    </row>
    <row r="1156" spans="1:18" ht="13.5" customHeight="1" x14ac:dyDescent="0.15">
      <c r="A1156" s="449" t="s">
        <v>1578</v>
      </c>
      <c r="B1156" s="450" t="s">
        <v>1640</v>
      </c>
      <c r="C1156" s="451" t="s">
        <v>1641</v>
      </c>
      <c r="D1156" s="462"/>
      <c r="E1156" s="462"/>
      <c r="F1156" s="462"/>
      <c r="G1156" s="462"/>
      <c r="H1156" s="462"/>
      <c r="I1156" s="462"/>
      <c r="J1156" s="462"/>
      <c r="K1156" s="462"/>
      <c r="L1156" s="462"/>
      <c r="M1156" s="462"/>
      <c r="N1156" s="462"/>
      <c r="O1156" s="462"/>
      <c r="P1156" s="463">
        <v>14.58</v>
      </c>
      <c r="Q1156" s="454">
        <v>5</v>
      </c>
      <c r="R1156" s="455"/>
    </row>
    <row r="1157" spans="1:18" ht="13.5" customHeight="1" x14ac:dyDescent="0.15">
      <c r="A1157" s="449" t="s">
        <v>1579</v>
      </c>
      <c r="B1157" s="450" t="s">
        <v>1640</v>
      </c>
      <c r="C1157" s="451" t="s">
        <v>1641</v>
      </c>
      <c r="D1157" s="462"/>
      <c r="E1157" s="462"/>
      <c r="F1157" s="462"/>
      <c r="G1157" s="462"/>
      <c r="H1157" s="462"/>
      <c r="I1157" s="462"/>
      <c r="J1157" s="462"/>
      <c r="K1157" s="462"/>
      <c r="L1157" s="462"/>
      <c r="M1157" s="462"/>
      <c r="N1157" s="462"/>
      <c r="O1157" s="462"/>
      <c r="P1157" s="463">
        <v>14.2</v>
      </c>
      <c r="Q1157" s="454">
        <v>5</v>
      </c>
      <c r="R1157" s="455"/>
    </row>
    <row r="1158" spans="1:18" ht="13.5" customHeight="1" x14ac:dyDescent="0.15">
      <c r="A1158" s="449" t="s">
        <v>1580</v>
      </c>
      <c r="B1158" s="450" t="s">
        <v>1640</v>
      </c>
      <c r="C1158" s="451" t="s">
        <v>1641</v>
      </c>
      <c r="D1158" s="462"/>
      <c r="E1158" s="462"/>
      <c r="F1158" s="462"/>
      <c r="G1158" s="462"/>
      <c r="H1158" s="462"/>
      <c r="I1158" s="462"/>
      <c r="J1158" s="462"/>
      <c r="K1158" s="462"/>
      <c r="L1158" s="462"/>
      <c r="M1158" s="462"/>
      <c r="N1158" s="462"/>
      <c r="O1158" s="462"/>
      <c r="P1158" s="463">
        <v>14.01</v>
      </c>
      <c r="Q1158" s="454">
        <v>5</v>
      </c>
      <c r="R1158" s="455"/>
    </row>
    <row r="1159" spans="1:18" ht="13.5" customHeight="1" x14ac:dyDescent="0.15">
      <c r="A1159" s="449" t="s">
        <v>1581</v>
      </c>
      <c r="B1159" s="450" t="s">
        <v>1640</v>
      </c>
      <c r="C1159" s="451" t="s">
        <v>1641</v>
      </c>
      <c r="D1159" s="462"/>
      <c r="E1159" s="462"/>
      <c r="F1159" s="462"/>
      <c r="G1159" s="462"/>
      <c r="H1159" s="462"/>
      <c r="I1159" s="462"/>
      <c r="J1159" s="462"/>
      <c r="K1159" s="462"/>
      <c r="L1159" s="462"/>
      <c r="M1159" s="462"/>
      <c r="N1159" s="462"/>
      <c r="O1159" s="462"/>
      <c r="P1159" s="463">
        <v>14.03</v>
      </c>
      <c r="Q1159" s="454">
        <v>5</v>
      </c>
      <c r="R1159" s="455"/>
    </row>
    <row r="1160" spans="1:18" ht="13.5" customHeight="1" x14ac:dyDescent="0.15">
      <c r="A1160" s="449" t="s">
        <v>1582</v>
      </c>
      <c r="B1160" s="450" t="s">
        <v>1640</v>
      </c>
      <c r="C1160" s="451" t="s">
        <v>1641</v>
      </c>
      <c r="D1160" s="462"/>
      <c r="E1160" s="462"/>
      <c r="F1160" s="462"/>
      <c r="G1160" s="462"/>
      <c r="H1160" s="462"/>
      <c r="I1160" s="462"/>
      <c r="J1160" s="462"/>
      <c r="K1160" s="462"/>
      <c r="L1160" s="462"/>
      <c r="M1160" s="462"/>
      <c r="N1160" s="462"/>
      <c r="O1160" s="462"/>
      <c r="P1160" s="463">
        <v>13.81</v>
      </c>
      <c r="Q1160" s="454">
        <v>5</v>
      </c>
      <c r="R1160" s="455"/>
    </row>
    <row r="1161" spans="1:18" ht="13.5" customHeight="1" x14ac:dyDescent="0.15">
      <c r="A1161" s="449" t="s">
        <v>1583</v>
      </c>
      <c r="B1161" s="450" t="s">
        <v>1640</v>
      </c>
      <c r="C1161" s="451" t="s">
        <v>1641</v>
      </c>
      <c r="D1161" s="462"/>
      <c r="E1161" s="462"/>
      <c r="F1161" s="462"/>
      <c r="G1161" s="462"/>
      <c r="H1161" s="462"/>
      <c r="I1161" s="462"/>
      <c r="J1161" s="462"/>
      <c r="K1161" s="462"/>
      <c r="L1161" s="462"/>
      <c r="M1161" s="462"/>
      <c r="N1161" s="462"/>
      <c r="O1161" s="462"/>
      <c r="P1161" s="463">
        <v>13.11</v>
      </c>
      <c r="Q1161" s="454">
        <v>5</v>
      </c>
      <c r="R1161" s="455"/>
    </row>
    <row r="1162" spans="1:18" ht="13.5" customHeight="1" x14ac:dyDescent="0.15">
      <c r="A1162" s="449" t="s">
        <v>1584</v>
      </c>
      <c r="B1162" s="450" t="s">
        <v>1640</v>
      </c>
      <c r="C1162" s="451" t="s">
        <v>1641</v>
      </c>
      <c r="D1162" s="462"/>
      <c r="E1162" s="462"/>
      <c r="F1162" s="462"/>
      <c r="G1162" s="462"/>
      <c r="H1162" s="462"/>
      <c r="I1162" s="462"/>
      <c r="J1162" s="462"/>
      <c r="K1162" s="462"/>
      <c r="L1162" s="462"/>
      <c r="M1162" s="462"/>
      <c r="N1162" s="462"/>
      <c r="O1162" s="462"/>
      <c r="P1162" s="463">
        <v>13.95</v>
      </c>
      <c r="Q1162" s="454">
        <v>5</v>
      </c>
      <c r="R1162" s="455"/>
    </row>
    <row r="1163" spans="1:18" ht="13.5" customHeight="1" x14ac:dyDescent="0.15">
      <c r="A1163" s="449" t="s">
        <v>1585</v>
      </c>
      <c r="B1163" s="450" t="s">
        <v>1640</v>
      </c>
      <c r="C1163" s="451" t="s">
        <v>1641</v>
      </c>
      <c r="D1163" s="462"/>
      <c r="E1163" s="462"/>
      <c r="F1163" s="462"/>
      <c r="G1163" s="462"/>
      <c r="H1163" s="462"/>
      <c r="I1163" s="462"/>
      <c r="J1163" s="462"/>
      <c r="K1163" s="462"/>
      <c r="L1163" s="462"/>
      <c r="M1163" s="462"/>
      <c r="N1163" s="462"/>
      <c r="O1163" s="462"/>
      <c r="P1163" s="463">
        <v>13.92</v>
      </c>
      <c r="Q1163" s="454">
        <v>5</v>
      </c>
      <c r="R1163" s="455"/>
    </row>
    <row r="1164" spans="1:18" ht="13.5" customHeight="1" x14ac:dyDescent="0.15">
      <c r="A1164" s="449" t="s">
        <v>1586</v>
      </c>
      <c r="B1164" s="450" t="s">
        <v>1640</v>
      </c>
      <c r="C1164" s="451" t="s">
        <v>1641</v>
      </c>
      <c r="D1164" s="462"/>
      <c r="E1164" s="462"/>
      <c r="F1164" s="462"/>
      <c r="G1164" s="462"/>
      <c r="H1164" s="462"/>
      <c r="I1164" s="462"/>
      <c r="J1164" s="462"/>
      <c r="K1164" s="462"/>
      <c r="L1164" s="462"/>
      <c r="M1164" s="462"/>
      <c r="N1164" s="462"/>
      <c r="O1164" s="462"/>
      <c r="P1164" s="463">
        <v>14.34</v>
      </c>
      <c r="Q1164" s="454">
        <v>5</v>
      </c>
      <c r="R1164" s="455"/>
    </row>
    <row r="1165" spans="1:18" ht="13.5" customHeight="1" x14ac:dyDescent="0.15">
      <c r="A1165" s="449" t="s">
        <v>1587</v>
      </c>
      <c r="B1165" s="450" t="s">
        <v>1640</v>
      </c>
      <c r="C1165" s="451" t="s">
        <v>1641</v>
      </c>
      <c r="D1165" s="462"/>
      <c r="E1165" s="462"/>
      <c r="F1165" s="462"/>
      <c r="G1165" s="462"/>
      <c r="H1165" s="462"/>
      <c r="I1165" s="462"/>
      <c r="J1165" s="462"/>
      <c r="K1165" s="462"/>
      <c r="L1165" s="462"/>
      <c r="M1165" s="462"/>
      <c r="N1165" s="462"/>
      <c r="O1165" s="462"/>
      <c r="P1165" s="463">
        <v>14.18</v>
      </c>
      <c r="Q1165" s="454">
        <v>5</v>
      </c>
      <c r="R1165" s="455"/>
    </row>
    <row r="1166" spans="1:18" ht="13.5" customHeight="1" x14ac:dyDescent="0.15">
      <c r="A1166" s="449" t="s">
        <v>1588</v>
      </c>
      <c r="B1166" s="450" t="s">
        <v>1640</v>
      </c>
      <c r="C1166" s="451" t="s">
        <v>1641</v>
      </c>
      <c r="D1166" s="462"/>
      <c r="E1166" s="462"/>
      <c r="F1166" s="462"/>
      <c r="G1166" s="462"/>
      <c r="H1166" s="462"/>
      <c r="I1166" s="462"/>
      <c r="J1166" s="462"/>
      <c r="K1166" s="462"/>
      <c r="L1166" s="462"/>
      <c r="M1166" s="462"/>
      <c r="N1166" s="462"/>
      <c r="O1166" s="462"/>
      <c r="P1166" s="463">
        <v>14.55</v>
      </c>
      <c r="Q1166" s="454">
        <v>5</v>
      </c>
      <c r="R1166" s="455"/>
    </row>
    <row r="1167" spans="1:18" ht="13.5" customHeight="1" x14ac:dyDescent="0.15">
      <c r="A1167" s="449" t="s">
        <v>1589</v>
      </c>
      <c r="B1167" s="450" t="s">
        <v>1640</v>
      </c>
      <c r="C1167" s="451" t="s">
        <v>1641</v>
      </c>
      <c r="D1167" s="462"/>
      <c r="E1167" s="462"/>
      <c r="F1167" s="462"/>
      <c r="G1167" s="462"/>
      <c r="H1167" s="462"/>
      <c r="I1167" s="462"/>
      <c r="J1167" s="462"/>
      <c r="K1167" s="462"/>
      <c r="L1167" s="462"/>
      <c r="M1167" s="462"/>
      <c r="N1167" s="462"/>
      <c r="O1167" s="462"/>
      <c r="P1167" s="463">
        <v>14.39</v>
      </c>
      <c r="Q1167" s="454">
        <v>5</v>
      </c>
      <c r="R1167" s="455"/>
    </row>
    <row r="1168" spans="1:18" ht="13.5" customHeight="1" x14ac:dyDescent="0.15">
      <c r="A1168" s="449" t="s">
        <v>1590</v>
      </c>
      <c r="B1168" s="450" t="s">
        <v>1640</v>
      </c>
      <c r="C1168" s="451" t="s">
        <v>1641</v>
      </c>
      <c r="D1168" s="462"/>
      <c r="E1168" s="462"/>
      <c r="F1168" s="462"/>
      <c r="G1168" s="462"/>
      <c r="H1168" s="462"/>
      <c r="I1168" s="462"/>
      <c r="J1168" s="462"/>
      <c r="K1168" s="462"/>
      <c r="L1168" s="462"/>
      <c r="M1168" s="462"/>
      <c r="N1168" s="462"/>
      <c r="O1168" s="462"/>
      <c r="P1168" s="463">
        <v>13.79</v>
      </c>
      <c r="Q1168" s="454">
        <v>5</v>
      </c>
      <c r="R1168" s="455"/>
    </row>
    <row r="1169" spans="1:18" ht="13.5" customHeight="1" x14ac:dyDescent="0.15">
      <c r="A1169" s="449" t="s">
        <v>1591</v>
      </c>
      <c r="B1169" s="450" t="s">
        <v>1640</v>
      </c>
      <c r="C1169" s="451" t="s">
        <v>1641</v>
      </c>
      <c r="D1169" s="462"/>
      <c r="E1169" s="462"/>
      <c r="F1169" s="462"/>
      <c r="G1169" s="462"/>
      <c r="H1169" s="462"/>
      <c r="I1169" s="462"/>
      <c r="J1169" s="462"/>
      <c r="K1169" s="462"/>
      <c r="L1169" s="462"/>
      <c r="M1169" s="462"/>
      <c r="N1169" s="462"/>
      <c r="O1169" s="462"/>
      <c r="P1169" s="463">
        <v>12.95</v>
      </c>
      <c r="Q1169" s="454">
        <v>5</v>
      </c>
      <c r="R1169" s="455"/>
    </row>
    <row r="1170" spans="1:18" ht="13.5" customHeight="1" x14ac:dyDescent="0.15">
      <c r="A1170" s="449" t="s">
        <v>1592</v>
      </c>
      <c r="B1170" s="450" t="s">
        <v>1640</v>
      </c>
      <c r="C1170" s="451" t="s">
        <v>1641</v>
      </c>
      <c r="D1170" s="462"/>
      <c r="E1170" s="462"/>
      <c r="F1170" s="462"/>
      <c r="G1170" s="462"/>
      <c r="H1170" s="462"/>
      <c r="I1170" s="462"/>
      <c r="J1170" s="462"/>
      <c r="K1170" s="462"/>
      <c r="L1170" s="462"/>
      <c r="M1170" s="462"/>
      <c r="N1170" s="462"/>
      <c r="O1170" s="462"/>
      <c r="P1170" s="463">
        <v>14.33</v>
      </c>
      <c r="Q1170" s="454">
        <v>5</v>
      </c>
      <c r="R1170" s="455"/>
    </row>
    <row r="1171" spans="1:18" ht="13.5" customHeight="1" x14ac:dyDescent="0.15">
      <c r="A1171" s="449" t="s">
        <v>1593</v>
      </c>
      <c r="B1171" s="450" t="s">
        <v>1640</v>
      </c>
      <c r="C1171" s="451" t="s">
        <v>1641</v>
      </c>
      <c r="D1171" s="462"/>
      <c r="E1171" s="462"/>
      <c r="F1171" s="462"/>
      <c r="G1171" s="462"/>
      <c r="H1171" s="462"/>
      <c r="I1171" s="462"/>
      <c r="J1171" s="462"/>
      <c r="K1171" s="462"/>
      <c r="L1171" s="462"/>
      <c r="M1171" s="462"/>
      <c r="N1171" s="462"/>
      <c r="O1171" s="462"/>
      <c r="P1171" s="463">
        <v>14.68</v>
      </c>
      <c r="Q1171" s="454">
        <v>5</v>
      </c>
      <c r="R1171" s="455"/>
    </row>
    <row r="1172" spans="1:18" ht="13.5" customHeight="1" x14ac:dyDescent="0.15">
      <c r="A1172" s="449" t="s">
        <v>1594</v>
      </c>
      <c r="B1172" s="450" t="s">
        <v>1640</v>
      </c>
      <c r="C1172" s="451" t="s">
        <v>1641</v>
      </c>
      <c r="D1172" s="462"/>
      <c r="E1172" s="462"/>
      <c r="F1172" s="462"/>
      <c r="G1172" s="462"/>
      <c r="H1172" s="462"/>
      <c r="I1172" s="462"/>
      <c r="J1172" s="462"/>
      <c r="K1172" s="462"/>
      <c r="L1172" s="462"/>
      <c r="M1172" s="462"/>
      <c r="N1172" s="462"/>
      <c r="O1172" s="462"/>
      <c r="P1172" s="463">
        <v>14.68</v>
      </c>
      <c r="Q1172" s="454">
        <v>5</v>
      </c>
      <c r="R1172" s="455"/>
    </row>
    <row r="1173" spans="1:18" ht="13.5" customHeight="1" x14ac:dyDescent="0.15">
      <c r="A1173" s="449" t="s">
        <v>1595</v>
      </c>
      <c r="B1173" s="450" t="s">
        <v>1640</v>
      </c>
      <c r="C1173" s="451" t="s">
        <v>1641</v>
      </c>
      <c r="D1173" s="462"/>
      <c r="E1173" s="462"/>
      <c r="F1173" s="462"/>
      <c r="G1173" s="462"/>
      <c r="H1173" s="462"/>
      <c r="I1173" s="462"/>
      <c r="J1173" s="462"/>
      <c r="K1173" s="462"/>
      <c r="L1173" s="462"/>
      <c r="M1173" s="462"/>
      <c r="N1173" s="462"/>
      <c r="O1173" s="462"/>
      <c r="P1173" s="463">
        <v>14.4</v>
      </c>
      <c r="Q1173" s="454">
        <v>5</v>
      </c>
      <c r="R1173" s="455"/>
    </row>
    <row r="1174" spans="1:18" ht="13.5" customHeight="1" x14ac:dyDescent="0.15">
      <c r="A1174" s="449" t="s">
        <v>1596</v>
      </c>
      <c r="B1174" s="450" t="s">
        <v>1640</v>
      </c>
      <c r="C1174" s="451" t="s">
        <v>1641</v>
      </c>
      <c r="D1174" s="462"/>
      <c r="E1174" s="462"/>
      <c r="F1174" s="462"/>
      <c r="G1174" s="462"/>
      <c r="H1174" s="462"/>
      <c r="I1174" s="462"/>
      <c r="J1174" s="462"/>
      <c r="K1174" s="462"/>
      <c r="L1174" s="462"/>
      <c r="M1174" s="462"/>
      <c r="N1174" s="462"/>
      <c r="O1174" s="462"/>
      <c r="P1174" s="463">
        <v>12.76</v>
      </c>
      <c r="Q1174" s="454">
        <v>5</v>
      </c>
      <c r="R1174" s="455"/>
    </row>
    <row r="1175" spans="1:18" ht="13.5" customHeight="1" x14ac:dyDescent="0.15">
      <c r="A1175" s="449" t="s">
        <v>1597</v>
      </c>
      <c r="B1175" s="450" t="s">
        <v>1640</v>
      </c>
      <c r="C1175" s="451" t="s">
        <v>1641</v>
      </c>
      <c r="D1175" s="462"/>
      <c r="E1175" s="462"/>
      <c r="F1175" s="462"/>
      <c r="G1175" s="462"/>
      <c r="H1175" s="462"/>
      <c r="I1175" s="462"/>
      <c r="J1175" s="462"/>
      <c r="K1175" s="462"/>
      <c r="L1175" s="462"/>
      <c r="M1175" s="462"/>
      <c r="N1175" s="462"/>
      <c r="O1175" s="462"/>
      <c r="P1175" s="463">
        <v>14.65</v>
      </c>
      <c r="Q1175" s="454">
        <v>5</v>
      </c>
      <c r="R1175" s="455"/>
    </row>
    <row r="1176" spans="1:18" ht="13.5" customHeight="1" x14ac:dyDescent="0.15">
      <c r="A1176" s="449" t="s">
        <v>1598</v>
      </c>
      <c r="B1176" s="450" t="s">
        <v>1640</v>
      </c>
      <c r="C1176" s="451" t="s">
        <v>1641</v>
      </c>
      <c r="D1176" s="462"/>
      <c r="E1176" s="462"/>
      <c r="F1176" s="462"/>
      <c r="G1176" s="462"/>
      <c r="H1176" s="462"/>
      <c r="I1176" s="462"/>
      <c r="J1176" s="462"/>
      <c r="K1176" s="462"/>
      <c r="L1176" s="462"/>
      <c r="M1176" s="462"/>
      <c r="N1176" s="462"/>
      <c r="O1176" s="462"/>
      <c r="P1176" s="463">
        <v>13.07</v>
      </c>
      <c r="Q1176" s="454">
        <v>5</v>
      </c>
      <c r="R1176" s="455"/>
    </row>
    <row r="1177" spans="1:18" ht="13.5" customHeight="1" x14ac:dyDescent="0.15">
      <c r="A1177" s="449" t="s">
        <v>1599</v>
      </c>
      <c r="B1177" s="450" t="s">
        <v>1640</v>
      </c>
      <c r="C1177" s="451" t="s">
        <v>1641</v>
      </c>
      <c r="D1177" s="462"/>
      <c r="E1177" s="462"/>
      <c r="F1177" s="462"/>
      <c r="G1177" s="462"/>
      <c r="H1177" s="462"/>
      <c r="I1177" s="462"/>
      <c r="J1177" s="462"/>
      <c r="K1177" s="462"/>
      <c r="L1177" s="462"/>
      <c r="M1177" s="462"/>
      <c r="N1177" s="462"/>
      <c r="O1177" s="462"/>
      <c r="P1177" s="463">
        <v>14.55</v>
      </c>
      <c r="Q1177" s="454">
        <v>5</v>
      </c>
      <c r="R1177" s="455"/>
    </row>
    <row r="1178" spans="1:18" ht="13.5" customHeight="1" x14ac:dyDescent="0.15">
      <c r="A1178" s="449" t="s">
        <v>1600</v>
      </c>
      <c r="B1178" s="450" t="s">
        <v>1640</v>
      </c>
      <c r="C1178" s="451" t="s">
        <v>1641</v>
      </c>
      <c r="D1178" s="462"/>
      <c r="E1178" s="462"/>
      <c r="F1178" s="462"/>
      <c r="G1178" s="462"/>
      <c r="H1178" s="462"/>
      <c r="I1178" s="462"/>
      <c r="J1178" s="462"/>
      <c r="K1178" s="462"/>
      <c r="L1178" s="462"/>
      <c r="M1178" s="462"/>
      <c r="N1178" s="462"/>
      <c r="O1178" s="462"/>
      <c r="P1178" s="463">
        <v>13.26</v>
      </c>
      <c r="Q1178" s="454">
        <v>5</v>
      </c>
      <c r="R1178" s="455"/>
    </row>
    <row r="1179" spans="1:18" ht="13.5" customHeight="1" x14ac:dyDescent="0.15">
      <c r="A1179" s="449" t="s">
        <v>1601</v>
      </c>
      <c r="B1179" s="450" t="s">
        <v>1640</v>
      </c>
      <c r="C1179" s="451" t="s">
        <v>1641</v>
      </c>
      <c r="D1179" s="462"/>
      <c r="E1179" s="462"/>
      <c r="F1179" s="462"/>
      <c r="G1179" s="462"/>
      <c r="H1179" s="462"/>
      <c r="I1179" s="462"/>
      <c r="J1179" s="462"/>
      <c r="K1179" s="462"/>
      <c r="L1179" s="462"/>
      <c r="M1179" s="462"/>
      <c r="N1179" s="462"/>
      <c r="O1179" s="462"/>
      <c r="P1179" s="463">
        <v>14.68</v>
      </c>
      <c r="Q1179" s="454">
        <v>5</v>
      </c>
      <c r="R1179" s="455"/>
    </row>
    <row r="1180" spans="1:18" ht="13.5" customHeight="1" x14ac:dyDescent="0.15">
      <c r="A1180" s="449" t="s">
        <v>1602</v>
      </c>
      <c r="B1180" s="450" t="s">
        <v>1640</v>
      </c>
      <c r="C1180" s="451" t="s">
        <v>1641</v>
      </c>
      <c r="D1180" s="462"/>
      <c r="E1180" s="462"/>
      <c r="F1180" s="462"/>
      <c r="G1180" s="462"/>
      <c r="H1180" s="462"/>
      <c r="I1180" s="462"/>
      <c r="J1180" s="462"/>
      <c r="K1180" s="462"/>
      <c r="L1180" s="462"/>
      <c r="M1180" s="462"/>
      <c r="N1180" s="462"/>
      <c r="O1180" s="462"/>
      <c r="P1180" s="463">
        <v>13.71</v>
      </c>
      <c r="Q1180" s="454">
        <v>5</v>
      </c>
      <c r="R1180" s="455"/>
    </row>
    <row r="1181" spans="1:18" ht="13.5" customHeight="1" x14ac:dyDescent="0.15">
      <c r="A1181" s="449" t="s">
        <v>1603</v>
      </c>
      <c r="B1181" s="450" t="s">
        <v>1640</v>
      </c>
      <c r="C1181" s="451" t="s">
        <v>1641</v>
      </c>
      <c r="D1181" s="462"/>
      <c r="E1181" s="462"/>
      <c r="F1181" s="462"/>
      <c r="G1181" s="462"/>
      <c r="H1181" s="462"/>
      <c r="I1181" s="462"/>
      <c r="J1181" s="462"/>
      <c r="K1181" s="462"/>
      <c r="L1181" s="462"/>
      <c r="M1181" s="462"/>
      <c r="N1181" s="462"/>
      <c r="O1181" s="462"/>
      <c r="P1181" s="463">
        <v>14.27</v>
      </c>
      <c r="Q1181" s="454">
        <v>5</v>
      </c>
      <c r="R1181" s="455"/>
    </row>
    <row r="1182" spans="1:18" ht="13.5" customHeight="1" x14ac:dyDescent="0.15">
      <c r="A1182" s="449" t="s">
        <v>1604</v>
      </c>
      <c r="B1182" s="450" t="s">
        <v>1640</v>
      </c>
      <c r="C1182" s="451" t="s">
        <v>1641</v>
      </c>
      <c r="D1182" s="462"/>
      <c r="E1182" s="462"/>
      <c r="F1182" s="462"/>
      <c r="G1182" s="462"/>
      <c r="H1182" s="462"/>
      <c r="I1182" s="462"/>
      <c r="J1182" s="462"/>
      <c r="K1182" s="462"/>
      <c r="L1182" s="462"/>
      <c r="M1182" s="462"/>
      <c r="N1182" s="462"/>
      <c r="O1182" s="462"/>
      <c r="P1182" s="463">
        <v>14.63</v>
      </c>
      <c r="Q1182" s="454">
        <v>5</v>
      </c>
      <c r="R1182" s="455"/>
    </row>
    <row r="1183" spans="1:18" ht="13.5" customHeight="1" x14ac:dyDescent="0.15">
      <c r="A1183" s="449" t="s">
        <v>1605</v>
      </c>
      <c r="B1183" s="450" t="s">
        <v>1640</v>
      </c>
      <c r="C1183" s="451" t="s">
        <v>1641</v>
      </c>
      <c r="D1183" s="462"/>
      <c r="E1183" s="462"/>
      <c r="F1183" s="462"/>
      <c r="G1183" s="462"/>
      <c r="H1183" s="462"/>
      <c r="I1183" s="462"/>
      <c r="J1183" s="462"/>
      <c r="K1183" s="462"/>
      <c r="L1183" s="462"/>
      <c r="M1183" s="462"/>
      <c r="N1183" s="462"/>
      <c r="O1183" s="462"/>
      <c r="P1183" s="463">
        <v>14.43</v>
      </c>
      <c r="Q1183" s="454">
        <v>5</v>
      </c>
      <c r="R1183" s="455"/>
    </row>
    <row r="1184" spans="1:18" ht="13.5" customHeight="1" x14ac:dyDescent="0.15">
      <c r="A1184" s="449" t="s">
        <v>1606</v>
      </c>
      <c r="B1184" s="450" t="s">
        <v>1640</v>
      </c>
      <c r="C1184" s="451" t="s">
        <v>1641</v>
      </c>
      <c r="D1184" s="462"/>
      <c r="E1184" s="462"/>
      <c r="F1184" s="462"/>
      <c r="G1184" s="462"/>
      <c r="H1184" s="462"/>
      <c r="I1184" s="462"/>
      <c r="J1184" s="462"/>
      <c r="K1184" s="462"/>
      <c r="L1184" s="462"/>
      <c r="M1184" s="462"/>
      <c r="N1184" s="462"/>
      <c r="O1184" s="462"/>
      <c r="P1184" s="463">
        <v>12.01</v>
      </c>
      <c r="Q1184" s="454">
        <v>5</v>
      </c>
      <c r="R1184" s="455"/>
    </row>
    <row r="1185" spans="1:18" ht="13.5" customHeight="1" x14ac:dyDescent="0.15">
      <c r="A1185" s="449" t="s">
        <v>1607</v>
      </c>
      <c r="B1185" s="450" t="s">
        <v>1640</v>
      </c>
      <c r="C1185" s="451" t="s">
        <v>1641</v>
      </c>
      <c r="D1185" s="462"/>
      <c r="E1185" s="462"/>
      <c r="F1185" s="462"/>
      <c r="G1185" s="462"/>
      <c r="H1185" s="462"/>
      <c r="I1185" s="462"/>
      <c r="J1185" s="462"/>
      <c r="K1185" s="462"/>
      <c r="L1185" s="462"/>
      <c r="M1185" s="462"/>
      <c r="N1185" s="462"/>
      <c r="O1185" s="462"/>
      <c r="P1185" s="463">
        <v>12.62</v>
      </c>
      <c r="Q1185" s="454">
        <v>5</v>
      </c>
      <c r="R1185" s="455"/>
    </row>
    <row r="1186" spans="1:18" ht="13.5" customHeight="1" x14ac:dyDescent="0.15">
      <c r="A1186" s="449" t="s">
        <v>1608</v>
      </c>
      <c r="B1186" s="450" t="s">
        <v>1640</v>
      </c>
      <c r="C1186" s="451" t="s">
        <v>1641</v>
      </c>
      <c r="D1186" s="462"/>
      <c r="E1186" s="462"/>
      <c r="F1186" s="462"/>
      <c r="G1186" s="462"/>
      <c r="H1186" s="462"/>
      <c r="I1186" s="462"/>
      <c r="J1186" s="462"/>
      <c r="K1186" s="462"/>
      <c r="L1186" s="462"/>
      <c r="M1186" s="462"/>
      <c r="N1186" s="462"/>
      <c r="O1186" s="462"/>
      <c r="P1186" s="463">
        <v>14.52</v>
      </c>
      <c r="Q1186" s="454">
        <v>5</v>
      </c>
      <c r="R1186" s="455"/>
    </row>
    <row r="1187" spans="1:18" ht="13.5" customHeight="1" x14ac:dyDescent="0.15">
      <c r="A1187" s="449" t="s">
        <v>1609</v>
      </c>
      <c r="B1187" s="450" t="s">
        <v>1640</v>
      </c>
      <c r="C1187" s="451" t="s">
        <v>1641</v>
      </c>
      <c r="D1187" s="462"/>
      <c r="E1187" s="462"/>
      <c r="F1187" s="462"/>
      <c r="G1187" s="462"/>
      <c r="H1187" s="462"/>
      <c r="I1187" s="462"/>
      <c r="J1187" s="462"/>
      <c r="K1187" s="462"/>
      <c r="L1187" s="462"/>
      <c r="M1187" s="462"/>
      <c r="N1187" s="462"/>
      <c r="O1187" s="462"/>
      <c r="P1187" s="463">
        <v>14.55</v>
      </c>
      <c r="Q1187" s="454">
        <v>5</v>
      </c>
      <c r="R1187" s="455"/>
    </row>
    <row r="1188" spans="1:18" ht="13.5" customHeight="1" x14ac:dyDescent="0.15">
      <c r="A1188" s="449" t="s">
        <v>1610</v>
      </c>
      <c r="B1188" s="450" t="s">
        <v>1640</v>
      </c>
      <c r="C1188" s="451" t="s">
        <v>1641</v>
      </c>
      <c r="D1188" s="462"/>
      <c r="E1188" s="462"/>
      <c r="F1188" s="462"/>
      <c r="G1188" s="462"/>
      <c r="H1188" s="462"/>
      <c r="I1188" s="462"/>
      <c r="J1188" s="462"/>
      <c r="K1188" s="462"/>
      <c r="L1188" s="462"/>
      <c r="M1188" s="462"/>
      <c r="N1188" s="462"/>
      <c r="O1188" s="462"/>
      <c r="P1188" s="463">
        <v>14.69</v>
      </c>
      <c r="Q1188" s="454">
        <v>5</v>
      </c>
      <c r="R1188" s="455"/>
    </row>
    <row r="1189" spans="1:18" ht="13.5" customHeight="1" x14ac:dyDescent="0.15">
      <c r="A1189" s="449" t="s">
        <v>1611</v>
      </c>
      <c r="B1189" s="450" t="s">
        <v>1640</v>
      </c>
      <c r="C1189" s="451" t="s">
        <v>1641</v>
      </c>
      <c r="D1189" s="462"/>
      <c r="E1189" s="462"/>
      <c r="F1189" s="462"/>
      <c r="G1189" s="462"/>
      <c r="H1189" s="462"/>
      <c r="I1189" s="462"/>
      <c r="J1189" s="462"/>
      <c r="K1189" s="462"/>
      <c r="L1189" s="462"/>
      <c r="M1189" s="462"/>
      <c r="N1189" s="462"/>
      <c r="O1189" s="462"/>
      <c r="P1189" s="463">
        <v>14.2</v>
      </c>
      <c r="Q1189" s="454">
        <v>5</v>
      </c>
      <c r="R1189" s="455"/>
    </row>
    <row r="1190" spans="1:18" ht="13.5" customHeight="1" x14ac:dyDescent="0.15">
      <c r="A1190" s="449" t="s">
        <v>1612</v>
      </c>
      <c r="B1190" s="450" t="s">
        <v>1640</v>
      </c>
      <c r="C1190" s="451" t="s">
        <v>1641</v>
      </c>
      <c r="D1190" s="462"/>
      <c r="E1190" s="462"/>
      <c r="F1190" s="462"/>
      <c r="G1190" s="462"/>
      <c r="H1190" s="462"/>
      <c r="I1190" s="462"/>
      <c r="J1190" s="462"/>
      <c r="K1190" s="462"/>
      <c r="L1190" s="462"/>
      <c r="M1190" s="462"/>
      <c r="N1190" s="462"/>
      <c r="O1190" s="462"/>
      <c r="P1190" s="463">
        <v>14.68</v>
      </c>
      <c r="Q1190" s="454">
        <v>5</v>
      </c>
      <c r="R1190" s="455"/>
    </row>
    <row r="1191" spans="1:18" ht="13.5" customHeight="1" x14ac:dyDescent="0.15">
      <c r="A1191" s="449" t="s">
        <v>1613</v>
      </c>
      <c r="B1191" s="450" t="s">
        <v>1640</v>
      </c>
      <c r="C1191" s="451" t="s">
        <v>1641</v>
      </c>
      <c r="D1191" s="462"/>
      <c r="E1191" s="462"/>
      <c r="F1191" s="462"/>
      <c r="G1191" s="462"/>
      <c r="H1191" s="462"/>
      <c r="I1191" s="462"/>
      <c r="J1191" s="462"/>
      <c r="K1191" s="462"/>
      <c r="L1191" s="462"/>
      <c r="M1191" s="462"/>
      <c r="N1191" s="462"/>
      <c r="O1191" s="462"/>
      <c r="P1191" s="463">
        <v>14.61</v>
      </c>
      <c r="Q1191" s="454">
        <v>5</v>
      </c>
      <c r="R1191" s="455"/>
    </row>
    <row r="1192" spans="1:18" ht="13.5" customHeight="1" x14ac:dyDescent="0.15">
      <c r="A1192" s="449" t="s">
        <v>1614</v>
      </c>
      <c r="B1192" s="450" t="s">
        <v>1640</v>
      </c>
      <c r="C1192" s="451" t="s">
        <v>1641</v>
      </c>
      <c r="D1192" s="462"/>
      <c r="E1192" s="462"/>
      <c r="F1192" s="462"/>
      <c r="G1192" s="462"/>
      <c r="H1192" s="462"/>
      <c r="I1192" s="462"/>
      <c r="J1192" s="462"/>
      <c r="K1192" s="462"/>
      <c r="L1192" s="462"/>
      <c r="M1192" s="462"/>
      <c r="N1192" s="462"/>
      <c r="O1192" s="462"/>
      <c r="P1192" s="463">
        <v>14.1</v>
      </c>
      <c r="Q1192" s="454">
        <v>5</v>
      </c>
      <c r="R1192" s="455"/>
    </row>
    <row r="1193" spans="1:18" ht="13.5" customHeight="1" x14ac:dyDescent="0.15">
      <c r="A1193" s="449" t="s">
        <v>1615</v>
      </c>
      <c r="B1193" s="450" t="s">
        <v>1640</v>
      </c>
      <c r="C1193" s="451" t="s">
        <v>1641</v>
      </c>
      <c r="D1193" s="462"/>
      <c r="E1193" s="462"/>
      <c r="F1193" s="462"/>
      <c r="G1193" s="462"/>
      <c r="H1193" s="462"/>
      <c r="I1193" s="462"/>
      <c r="J1193" s="462"/>
      <c r="K1193" s="462"/>
      <c r="L1193" s="462"/>
      <c r="M1193" s="462"/>
      <c r="N1193" s="462"/>
      <c r="O1193" s="462"/>
      <c r="P1193" s="463">
        <v>14.58</v>
      </c>
      <c r="Q1193" s="454">
        <v>5</v>
      </c>
      <c r="R1193" s="455"/>
    </row>
    <row r="1194" spans="1:18" ht="13.5" customHeight="1" x14ac:dyDescent="0.15">
      <c r="A1194" s="449" t="s">
        <v>1616</v>
      </c>
      <c r="B1194" s="450" t="s">
        <v>1640</v>
      </c>
      <c r="C1194" s="451" t="s">
        <v>1641</v>
      </c>
      <c r="D1194" s="462"/>
      <c r="E1194" s="462"/>
      <c r="F1194" s="462"/>
      <c r="G1194" s="462"/>
      <c r="H1194" s="462"/>
      <c r="I1194" s="462"/>
      <c r="J1194" s="462"/>
      <c r="K1194" s="462"/>
      <c r="L1194" s="462"/>
      <c r="M1194" s="462"/>
      <c r="N1194" s="462"/>
      <c r="O1194" s="462"/>
      <c r="P1194" s="463">
        <v>14.59</v>
      </c>
      <c r="Q1194" s="454">
        <v>5</v>
      </c>
      <c r="R1194" s="455"/>
    </row>
    <row r="1195" spans="1:18" ht="13.5" customHeight="1" x14ac:dyDescent="0.15">
      <c r="A1195" s="449" t="s">
        <v>1617</v>
      </c>
      <c r="B1195" s="450" t="s">
        <v>1640</v>
      </c>
      <c r="C1195" s="451" t="s">
        <v>1641</v>
      </c>
      <c r="D1195" s="462"/>
      <c r="E1195" s="462"/>
      <c r="F1195" s="462"/>
      <c r="G1195" s="462"/>
      <c r="H1195" s="462"/>
      <c r="I1195" s="462"/>
      <c r="J1195" s="462"/>
      <c r="K1195" s="462"/>
      <c r="L1195" s="462"/>
      <c r="M1195" s="462"/>
      <c r="N1195" s="462"/>
      <c r="O1195" s="462"/>
      <c r="P1195" s="463">
        <v>14.47</v>
      </c>
      <c r="Q1195" s="454">
        <v>5</v>
      </c>
      <c r="R1195" s="455"/>
    </row>
    <row r="1196" spans="1:18" ht="13.5" customHeight="1" x14ac:dyDescent="0.15">
      <c r="A1196" s="449" t="s">
        <v>1618</v>
      </c>
      <c r="B1196" s="450" t="s">
        <v>1640</v>
      </c>
      <c r="C1196" s="451" t="s">
        <v>1641</v>
      </c>
      <c r="D1196" s="462"/>
      <c r="E1196" s="462"/>
      <c r="F1196" s="462"/>
      <c r="G1196" s="462"/>
      <c r="H1196" s="462"/>
      <c r="I1196" s="462"/>
      <c r="J1196" s="462"/>
      <c r="K1196" s="462"/>
      <c r="L1196" s="462"/>
      <c r="M1196" s="462"/>
      <c r="N1196" s="462"/>
      <c r="O1196" s="462"/>
      <c r="P1196" s="463">
        <v>13.4</v>
      </c>
      <c r="Q1196" s="454">
        <v>5</v>
      </c>
      <c r="R1196" s="455"/>
    </row>
    <row r="1197" spans="1:18" ht="13.5" customHeight="1" x14ac:dyDescent="0.15">
      <c r="A1197" s="449" t="s">
        <v>1619</v>
      </c>
      <c r="B1197" s="450" t="s">
        <v>1640</v>
      </c>
      <c r="C1197" s="451" t="s">
        <v>1641</v>
      </c>
      <c r="D1197" s="462"/>
      <c r="E1197" s="462"/>
      <c r="F1197" s="462"/>
      <c r="G1197" s="462"/>
      <c r="H1197" s="462"/>
      <c r="I1197" s="462"/>
      <c r="J1197" s="462"/>
      <c r="K1197" s="462"/>
      <c r="L1197" s="462"/>
      <c r="M1197" s="462"/>
      <c r="N1197" s="462"/>
      <c r="O1197" s="462"/>
      <c r="P1197" s="463">
        <v>12.73</v>
      </c>
      <c r="Q1197" s="454">
        <v>5</v>
      </c>
      <c r="R1197" s="455"/>
    </row>
    <row r="1198" spans="1:18" ht="13.5" customHeight="1" x14ac:dyDescent="0.15">
      <c r="A1198" s="449" t="s">
        <v>1620</v>
      </c>
      <c r="B1198" s="450" t="s">
        <v>1640</v>
      </c>
      <c r="C1198" s="451" t="s">
        <v>1641</v>
      </c>
      <c r="D1198" s="462"/>
      <c r="E1198" s="462"/>
      <c r="F1198" s="462"/>
      <c r="G1198" s="462"/>
      <c r="H1198" s="462"/>
      <c r="I1198" s="462"/>
      <c r="J1198" s="462"/>
      <c r="K1198" s="462"/>
      <c r="L1198" s="462"/>
      <c r="M1198" s="462"/>
      <c r="N1198" s="462"/>
      <c r="O1198" s="462"/>
      <c r="P1198" s="463">
        <v>14.14</v>
      </c>
      <c r="Q1198" s="454">
        <v>5</v>
      </c>
      <c r="R1198" s="455"/>
    </row>
    <row r="1199" spans="1:18" ht="13.5" customHeight="1" x14ac:dyDescent="0.15">
      <c r="A1199" s="449" t="s">
        <v>1621</v>
      </c>
      <c r="B1199" s="450" t="s">
        <v>1640</v>
      </c>
      <c r="C1199" s="451" t="s">
        <v>1641</v>
      </c>
      <c r="D1199" s="462"/>
      <c r="E1199" s="462"/>
      <c r="F1199" s="462"/>
      <c r="G1199" s="462"/>
      <c r="H1199" s="462"/>
      <c r="I1199" s="462"/>
      <c r="J1199" s="462"/>
      <c r="K1199" s="462"/>
      <c r="L1199" s="462"/>
      <c r="M1199" s="462"/>
      <c r="N1199" s="462"/>
      <c r="O1199" s="462"/>
      <c r="P1199" s="463">
        <v>13.42</v>
      </c>
      <c r="Q1199" s="454">
        <v>5</v>
      </c>
      <c r="R1199" s="455"/>
    </row>
    <row r="1200" spans="1:18" ht="13.5" customHeight="1" x14ac:dyDescent="0.15">
      <c r="A1200" s="449" t="s">
        <v>1622</v>
      </c>
      <c r="B1200" s="450" t="s">
        <v>1640</v>
      </c>
      <c r="C1200" s="451" t="s">
        <v>1641</v>
      </c>
      <c r="D1200" s="462"/>
      <c r="E1200" s="462"/>
      <c r="F1200" s="462"/>
      <c r="G1200" s="462"/>
      <c r="H1200" s="462"/>
      <c r="I1200" s="462"/>
      <c r="J1200" s="462"/>
      <c r="K1200" s="462"/>
      <c r="L1200" s="462"/>
      <c r="M1200" s="462"/>
      <c r="N1200" s="462"/>
      <c r="O1200" s="462"/>
      <c r="P1200" s="463">
        <v>14.16</v>
      </c>
      <c r="Q1200" s="454">
        <v>5</v>
      </c>
      <c r="R1200" s="455"/>
    </row>
    <row r="1201" spans="1:18" ht="13.5" customHeight="1" x14ac:dyDescent="0.15">
      <c r="A1201" s="449" t="s">
        <v>1623</v>
      </c>
      <c r="B1201" s="450" t="s">
        <v>1640</v>
      </c>
      <c r="C1201" s="451" t="s">
        <v>1641</v>
      </c>
      <c r="D1201" s="462"/>
      <c r="E1201" s="462"/>
      <c r="F1201" s="462"/>
      <c r="G1201" s="462"/>
      <c r="H1201" s="462"/>
      <c r="I1201" s="462"/>
      <c r="J1201" s="462"/>
      <c r="K1201" s="462"/>
      <c r="L1201" s="462"/>
      <c r="M1201" s="462"/>
      <c r="N1201" s="462"/>
      <c r="O1201" s="462"/>
      <c r="P1201" s="463">
        <v>13.69</v>
      </c>
      <c r="Q1201" s="454">
        <v>5</v>
      </c>
      <c r="R1201" s="455"/>
    </row>
    <row r="1202" spans="1:18" ht="13.5" customHeight="1" x14ac:dyDescent="0.15">
      <c r="A1202" s="449" t="s">
        <v>1624</v>
      </c>
      <c r="B1202" s="450" t="s">
        <v>1640</v>
      </c>
      <c r="C1202" s="451" t="s">
        <v>1641</v>
      </c>
      <c r="D1202" s="462"/>
      <c r="E1202" s="462"/>
      <c r="F1202" s="462"/>
      <c r="G1202" s="462"/>
      <c r="H1202" s="462"/>
      <c r="I1202" s="462"/>
      <c r="J1202" s="462"/>
      <c r="K1202" s="462"/>
      <c r="L1202" s="462"/>
      <c r="M1202" s="462"/>
      <c r="N1202" s="462"/>
      <c r="O1202" s="462"/>
      <c r="P1202" s="463">
        <v>14.26</v>
      </c>
      <c r="Q1202" s="454">
        <v>5</v>
      </c>
      <c r="R1202" s="455"/>
    </row>
    <row r="1203" spans="1:18" ht="13.5" customHeight="1" x14ac:dyDescent="0.15">
      <c r="A1203" s="449" t="s">
        <v>1625</v>
      </c>
      <c r="B1203" s="450" t="s">
        <v>1640</v>
      </c>
      <c r="C1203" s="451" t="s">
        <v>1641</v>
      </c>
      <c r="D1203" s="462"/>
      <c r="E1203" s="462"/>
      <c r="F1203" s="462"/>
      <c r="G1203" s="462"/>
      <c r="H1203" s="462"/>
      <c r="I1203" s="462"/>
      <c r="J1203" s="462"/>
      <c r="K1203" s="462"/>
      <c r="L1203" s="462"/>
      <c r="M1203" s="462"/>
      <c r="N1203" s="462"/>
      <c r="O1203" s="462"/>
      <c r="P1203" s="463">
        <v>14.23</v>
      </c>
      <c r="Q1203" s="454">
        <v>5</v>
      </c>
      <c r="R1203" s="455"/>
    </row>
    <row r="1204" spans="1:18" ht="13.5" customHeight="1" x14ac:dyDescent="0.15">
      <c r="A1204" s="449" t="s">
        <v>1626</v>
      </c>
      <c r="B1204" s="450" t="s">
        <v>1640</v>
      </c>
      <c r="C1204" s="451" t="s">
        <v>1641</v>
      </c>
      <c r="D1204" s="462"/>
      <c r="E1204" s="462"/>
      <c r="F1204" s="462"/>
      <c r="G1204" s="462"/>
      <c r="H1204" s="462"/>
      <c r="I1204" s="462"/>
      <c r="J1204" s="462"/>
      <c r="K1204" s="462"/>
      <c r="L1204" s="462"/>
      <c r="M1204" s="462"/>
      <c r="N1204" s="462"/>
      <c r="O1204" s="462"/>
      <c r="P1204" s="463">
        <v>14.33</v>
      </c>
      <c r="Q1204" s="454">
        <v>5</v>
      </c>
      <c r="R1204" s="455"/>
    </row>
    <row r="1205" spans="1:18" ht="13.5" customHeight="1" x14ac:dyDescent="0.15">
      <c r="A1205" s="449" t="s">
        <v>1627</v>
      </c>
      <c r="B1205" s="450" t="s">
        <v>1640</v>
      </c>
      <c r="C1205" s="451" t="s">
        <v>1641</v>
      </c>
      <c r="D1205" s="462"/>
      <c r="E1205" s="462"/>
      <c r="F1205" s="462"/>
      <c r="G1205" s="462"/>
      <c r="H1205" s="462"/>
      <c r="I1205" s="462"/>
      <c r="J1205" s="462"/>
      <c r="K1205" s="462"/>
      <c r="L1205" s="462"/>
      <c r="M1205" s="462"/>
      <c r="N1205" s="462"/>
      <c r="O1205" s="462"/>
      <c r="P1205" s="463">
        <v>14.36</v>
      </c>
      <c r="Q1205" s="454">
        <v>5</v>
      </c>
      <c r="R1205" s="455"/>
    </row>
    <row r="1206" spans="1:18" ht="13.5" customHeight="1" x14ac:dyDescent="0.15">
      <c r="A1206" s="449" t="s">
        <v>1628</v>
      </c>
      <c r="B1206" s="450" t="s">
        <v>1640</v>
      </c>
      <c r="C1206" s="451" t="s">
        <v>1641</v>
      </c>
      <c r="D1206" s="462"/>
      <c r="E1206" s="462"/>
      <c r="F1206" s="462"/>
      <c r="G1206" s="462"/>
      <c r="H1206" s="462"/>
      <c r="I1206" s="462"/>
      <c r="J1206" s="462"/>
      <c r="K1206" s="462"/>
      <c r="L1206" s="462"/>
      <c r="M1206" s="462"/>
      <c r="N1206" s="462"/>
      <c r="O1206" s="462"/>
      <c r="P1206" s="463">
        <v>14.24</v>
      </c>
      <c r="Q1206" s="454">
        <v>5</v>
      </c>
      <c r="R1206" s="455"/>
    </row>
    <row r="1207" spans="1:18" ht="13.5" customHeight="1" x14ac:dyDescent="0.15">
      <c r="A1207" s="449" t="s">
        <v>1629</v>
      </c>
      <c r="B1207" s="450" t="s">
        <v>1640</v>
      </c>
      <c r="C1207" s="451" t="s">
        <v>1641</v>
      </c>
      <c r="D1207" s="462"/>
      <c r="E1207" s="462"/>
      <c r="F1207" s="462"/>
      <c r="G1207" s="462"/>
      <c r="H1207" s="462"/>
      <c r="I1207" s="462"/>
      <c r="J1207" s="462"/>
      <c r="K1207" s="462"/>
      <c r="L1207" s="462"/>
      <c r="M1207" s="462"/>
      <c r="N1207" s="462"/>
      <c r="O1207" s="462"/>
      <c r="P1207" s="463">
        <v>14.34</v>
      </c>
      <c r="Q1207" s="454">
        <v>5</v>
      </c>
      <c r="R1207" s="455"/>
    </row>
    <row r="1208" spans="1:18" ht="13.5" customHeight="1" x14ac:dyDescent="0.15">
      <c r="A1208" s="449" t="s">
        <v>1630</v>
      </c>
      <c r="B1208" s="450" t="s">
        <v>1640</v>
      </c>
      <c r="C1208" s="451" t="s">
        <v>1641</v>
      </c>
      <c r="D1208" s="462"/>
      <c r="E1208" s="462"/>
      <c r="F1208" s="462"/>
      <c r="G1208" s="462"/>
      <c r="H1208" s="462"/>
      <c r="I1208" s="462"/>
      <c r="J1208" s="462"/>
      <c r="K1208" s="462"/>
      <c r="L1208" s="462"/>
      <c r="M1208" s="462"/>
      <c r="N1208" s="462"/>
      <c r="O1208" s="462"/>
      <c r="P1208" s="463">
        <v>12.13</v>
      </c>
      <c r="Q1208" s="454">
        <v>5</v>
      </c>
      <c r="R1208" s="455"/>
    </row>
    <row r="1209" spans="1:18" ht="13.5" customHeight="1" x14ac:dyDescent="0.15">
      <c r="A1209" s="449" t="s">
        <v>1631</v>
      </c>
      <c r="B1209" s="450" t="s">
        <v>1640</v>
      </c>
      <c r="C1209" s="451" t="s">
        <v>1641</v>
      </c>
      <c r="D1209" s="462"/>
      <c r="E1209" s="462"/>
      <c r="F1209" s="462"/>
      <c r="G1209" s="462"/>
      <c r="H1209" s="462"/>
      <c r="I1209" s="462"/>
      <c r="J1209" s="462"/>
      <c r="K1209" s="462"/>
      <c r="L1209" s="462"/>
      <c r="M1209" s="462"/>
      <c r="N1209" s="462"/>
      <c r="O1209" s="462"/>
      <c r="P1209" s="463">
        <v>11.78</v>
      </c>
      <c r="Q1209" s="454">
        <v>5</v>
      </c>
      <c r="R1209" s="455"/>
    </row>
    <row r="1210" spans="1:18" ht="13.5" customHeight="1" x14ac:dyDescent="0.15">
      <c r="A1210" s="449" t="s">
        <v>1632</v>
      </c>
      <c r="B1210" s="450" t="s">
        <v>1640</v>
      </c>
      <c r="C1210" s="451" t="s">
        <v>1641</v>
      </c>
      <c r="D1210" s="462"/>
      <c r="E1210" s="462"/>
      <c r="F1210" s="462"/>
      <c r="G1210" s="462"/>
      <c r="H1210" s="462"/>
      <c r="I1210" s="462"/>
      <c r="J1210" s="462"/>
      <c r="K1210" s="462"/>
      <c r="L1210" s="462"/>
      <c r="M1210" s="462"/>
      <c r="N1210" s="462"/>
      <c r="O1210" s="462"/>
      <c r="P1210" s="463">
        <v>12.02</v>
      </c>
      <c r="Q1210" s="454">
        <v>5</v>
      </c>
      <c r="R1210" s="455"/>
    </row>
    <row r="1211" spans="1:18" ht="13.5" customHeight="1" x14ac:dyDescent="0.15">
      <c r="A1211" s="449" t="s">
        <v>1633</v>
      </c>
      <c r="B1211" s="450" t="s">
        <v>1640</v>
      </c>
      <c r="C1211" s="451" t="s">
        <v>1641</v>
      </c>
      <c r="D1211" s="462"/>
      <c r="E1211" s="462"/>
      <c r="F1211" s="462"/>
      <c r="G1211" s="462"/>
      <c r="H1211" s="462"/>
      <c r="I1211" s="462"/>
      <c r="J1211" s="462"/>
      <c r="K1211" s="462"/>
      <c r="L1211" s="462"/>
      <c r="M1211" s="462"/>
      <c r="N1211" s="462"/>
      <c r="O1211" s="462"/>
      <c r="P1211" s="463">
        <v>13.05</v>
      </c>
      <c r="Q1211" s="454">
        <v>5</v>
      </c>
      <c r="R1211" s="455"/>
    </row>
    <row r="1212" spans="1:18" ht="13.5" customHeight="1" x14ac:dyDescent="0.15">
      <c r="A1212" s="449" t="s">
        <v>1634</v>
      </c>
      <c r="B1212" s="450" t="s">
        <v>1640</v>
      </c>
      <c r="C1212" s="451" t="s">
        <v>1641</v>
      </c>
      <c r="D1212" s="462"/>
      <c r="E1212" s="462"/>
      <c r="F1212" s="462"/>
      <c r="G1212" s="462"/>
      <c r="H1212" s="462"/>
      <c r="I1212" s="462"/>
      <c r="J1212" s="462"/>
      <c r="K1212" s="462"/>
      <c r="L1212" s="462"/>
      <c r="M1212" s="462"/>
      <c r="N1212" s="462"/>
      <c r="O1212" s="462"/>
      <c r="P1212" s="463">
        <v>12.73</v>
      </c>
      <c r="Q1212" s="454">
        <v>5</v>
      </c>
      <c r="R1212" s="455"/>
    </row>
  </sheetData>
  <sheetProtection algorithmName="SHA-512" hashValue="WQUnJBUygAlS9ezq1IFnu0t+qVAwfaAtCmYSUvRCLK1Y/SZYV4Hf/sxTdm2ftV/wyuAqk9PNU+tj9RrtLrQAlQ==" saltValue="MoKs9dDpCsWH+qEMdR/rfw==" spinCount="100000" sheet="1" objects="1" scenarios="1"/>
  <autoFilter ref="A2:Q1212" xr:uid="{B284CBFE-03B8-3040-8E9E-309B65EC9356}">
    <sortState xmlns:xlrd2="http://schemas.microsoft.com/office/spreadsheetml/2017/richdata2" ref="A3:Q1212">
      <sortCondition ref="Q2:Q1212"/>
    </sortState>
  </autoFilter>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B80EF-FF34-5D4F-879C-47A19390EA69}">
  <sheetPr codeName="Sheet28">
    <tabColor rgb="FF00B050"/>
  </sheetPr>
  <dimension ref="A1:Q473"/>
  <sheetViews>
    <sheetView topLeftCell="A492" workbookViewId="0">
      <selection activeCell="K153" sqref="K153"/>
    </sheetView>
  </sheetViews>
  <sheetFormatPr baseColWidth="10" defaultColWidth="11" defaultRowHeight="16" x14ac:dyDescent="0.2"/>
  <cols>
    <col min="1" max="1" width="31.83203125" style="516" customWidth="1"/>
    <col min="2" max="2" width="33.5" customWidth="1"/>
    <col min="3" max="3" width="14.6640625" customWidth="1"/>
    <col min="4" max="4" width="16.6640625" customWidth="1"/>
    <col min="5" max="5" width="14" customWidth="1"/>
    <col min="6" max="7" width="16.33203125" customWidth="1"/>
    <col min="8" max="8" width="14.5" customWidth="1"/>
    <col min="9" max="9" width="12.1640625" customWidth="1"/>
    <col min="10" max="10" width="15.83203125" customWidth="1"/>
    <col min="11" max="13" width="11.5" customWidth="1"/>
    <col min="15" max="15" width="12.6640625" bestFit="1" customWidth="1"/>
    <col min="16" max="16" width="11.6640625" bestFit="1" customWidth="1"/>
  </cols>
  <sheetData>
    <row r="1" spans="1:3" ht="19" x14ac:dyDescent="0.25">
      <c r="A1" s="520" t="s">
        <v>198</v>
      </c>
      <c r="B1" s="139"/>
    </row>
    <row r="2" spans="1:3" ht="19" x14ac:dyDescent="0.25">
      <c r="A2" s="520" t="s">
        <v>324</v>
      </c>
    </row>
    <row r="4" spans="1:3" x14ac:dyDescent="0.2">
      <c r="B4" s="26" t="s">
        <v>199</v>
      </c>
      <c r="C4" t="s">
        <v>392</v>
      </c>
    </row>
    <row r="5" spans="1:3" x14ac:dyDescent="0.2">
      <c r="B5" s="26" t="s">
        <v>201</v>
      </c>
      <c r="C5" t="s">
        <v>1895</v>
      </c>
    </row>
    <row r="6" spans="1:3" x14ac:dyDescent="0.2">
      <c r="B6" s="26" t="s">
        <v>200</v>
      </c>
      <c r="C6" t="s">
        <v>335</v>
      </c>
    </row>
    <row r="7" spans="1:3" x14ac:dyDescent="0.2">
      <c r="B7" s="26"/>
      <c r="C7" t="s">
        <v>382</v>
      </c>
    </row>
    <row r="8" spans="1:3" x14ac:dyDescent="0.2">
      <c r="B8" s="26"/>
      <c r="C8" t="s">
        <v>48</v>
      </c>
    </row>
    <row r="9" spans="1:3" x14ac:dyDescent="0.2">
      <c r="B9" s="26"/>
    </row>
    <row r="10" spans="1:3" x14ac:dyDescent="0.2">
      <c r="B10" s="26" t="s">
        <v>199</v>
      </c>
      <c r="C10" t="s">
        <v>1947</v>
      </c>
    </row>
    <row r="11" spans="1:3" x14ac:dyDescent="0.2">
      <c r="B11" s="26" t="s">
        <v>201</v>
      </c>
      <c r="C11" t="s">
        <v>1918</v>
      </c>
    </row>
    <row r="12" spans="1:3" x14ac:dyDescent="0.2">
      <c r="B12" s="26" t="s">
        <v>200</v>
      </c>
      <c r="C12" t="s">
        <v>354</v>
      </c>
    </row>
    <row r="13" spans="1:3" x14ac:dyDescent="0.2">
      <c r="B13" s="26"/>
    </row>
    <row r="14" spans="1:3" x14ac:dyDescent="0.2">
      <c r="B14" s="26" t="s">
        <v>199</v>
      </c>
      <c r="C14" t="s">
        <v>1948</v>
      </c>
    </row>
    <row r="15" spans="1:3" x14ac:dyDescent="0.2">
      <c r="B15" s="26" t="s">
        <v>201</v>
      </c>
      <c r="C15" t="s">
        <v>1917</v>
      </c>
    </row>
    <row r="16" spans="1:3" x14ac:dyDescent="0.2">
      <c r="B16" s="26" t="s">
        <v>200</v>
      </c>
      <c r="C16" t="s">
        <v>46</v>
      </c>
    </row>
    <row r="17" spans="2:3" x14ac:dyDescent="0.2">
      <c r="B17" s="26"/>
    </row>
    <row r="18" spans="2:3" x14ac:dyDescent="0.2">
      <c r="B18" s="26" t="s">
        <v>199</v>
      </c>
      <c r="C18" t="s">
        <v>1</v>
      </c>
    </row>
    <row r="19" spans="2:3" x14ac:dyDescent="0.2">
      <c r="B19" s="26" t="s">
        <v>201</v>
      </c>
      <c r="C19" t="s">
        <v>332</v>
      </c>
    </row>
    <row r="20" spans="2:3" x14ac:dyDescent="0.2">
      <c r="B20" s="26" t="s">
        <v>200</v>
      </c>
      <c r="C20" t="s">
        <v>331</v>
      </c>
    </row>
    <row r="22" spans="2:3" x14ac:dyDescent="0.2">
      <c r="B22" s="26" t="s">
        <v>199</v>
      </c>
      <c r="C22" t="s">
        <v>330</v>
      </c>
    </row>
    <row r="23" spans="2:3" x14ac:dyDescent="0.2">
      <c r="B23" s="26" t="s">
        <v>201</v>
      </c>
      <c r="C23" t="s">
        <v>1915</v>
      </c>
    </row>
    <row r="24" spans="2:3" x14ac:dyDescent="0.2">
      <c r="B24" s="26" t="s">
        <v>200</v>
      </c>
      <c r="C24" t="s">
        <v>335</v>
      </c>
    </row>
    <row r="25" spans="2:3" x14ac:dyDescent="0.2">
      <c r="B25" s="26"/>
      <c r="C25" t="s">
        <v>382</v>
      </c>
    </row>
    <row r="26" spans="2:3" x14ac:dyDescent="0.2">
      <c r="B26" s="26"/>
      <c r="C26" t="s">
        <v>354</v>
      </c>
    </row>
    <row r="27" spans="2:3" x14ac:dyDescent="0.2">
      <c r="B27" s="26"/>
    </row>
    <row r="28" spans="2:3" x14ac:dyDescent="0.2">
      <c r="B28" s="26" t="s">
        <v>199</v>
      </c>
      <c r="C28" t="s">
        <v>1951</v>
      </c>
    </row>
    <row r="29" spans="2:3" x14ac:dyDescent="0.2">
      <c r="B29" s="26" t="s">
        <v>201</v>
      </c>
      <c r="C29" t="s">
        <v>1916</v>
      </c>
    </row>
    <row r="30" spans="2:3" x14ac:dyDescent="0.2">
      <c r="B30" s="26" t="s">
        <v>200</v>
      </c>
      <c r="C30" t="s">
        <v>46</v>
      </c>
    </row>
    <row r="31" spans="2:3" x14ac:dyDescent="0.2">
      <c r="B31" s="26"/>
    </row>
    <row r="32" spans="2:3" x14ac:dyDescent="0.2">
      <c r="B32" s="26"/>
    </row>
    <row r="33" spans="1:3" x14ac:dyDescent="0.2">
      <c r="B33" s="26"/>
    </row>
    <row r="34" spans="1:3" x14ac:dyDescent="0.2">
      <c r="B34" s="26"/>
    </row>
    <row r="35" spans="1:3" x14ac:dyDescent="0.2">
      <c r="B35" s="26"/>
    </row>
    <row r="36" spans="1:3" x14ac:dyDescent="0.2">
      <c r="B36" s="26"/>
    </row>
    <row r="37" spans="1:3" x14ac:dyDescent="0.2">
      <c r="B37" s="26"/>
    </row>
    <row r="39" spans="1:3" ht="19" x14ac:dyDescent="0.25">
      <c r="A39" s="521" t="s">
        <v>204</v>
      </c>
    </row>
    <row r="41" spans="1:3" x14ac:dyDescent="0.2">
      <c r="A41" s="516" t="s">
        <v>241</v>
      </c>
      <c r="B41" s="132">
        <v>3700</v>
      </c>
      <c r="C41" t="s">
        <v>41</v>
      </c>
    </row>
    <row r="42" spans="1:3" x14ac:dyDescent="0.2">
      <c r="A42" s="516" t="s">
        <v>242</v>
      </c>
      <c r="B42" s="132">
        <v>720000</v>
      </c>
      <c r="C42" t="s">
        <v>243</v>
      </c>
    </row>
    <row r="43" spans="1:3" x14ac:dyDescent="0.2">
      <c r="A43" s="516" t="s">
        <v>325</v>
      </c>
      <c r="B43" s="144">
        <v>0.95</v>
      </c>
    </row>
    <row r="44" spans="1:3" x14ac:dyDescent="0.2">
      <c r="A44" s="516" t="s">
        <v>256</v>
      </c>
      <c r="B44" s="48">
        <v>8.4000000000000005E-2</v>
      </c>
    </row>
    <row r="45" spans="1:3" x14ac:dyDescent="0.2">
      <c r="A45" s="516" t="s">
        <v>323</v>
      </c>
      <c r="B45" s="157">
        <v>64</v>
      </c>
    </row>
    <row r="46" spans="1:3" x14ac:dyDescent="0.2">
      <c r="A46" s="516" t="s">
        <v>338</v>
      </c>
      <c r="B46" s="165">
        <f>1+B45*0.005</f>
        <v>1.32</v>
      </c>
      <c r="C46" t="s">
        <v>339</v>
      </c>
    </row>
    <row r="47" spans="1:3" x14ac:dyDescent="0.2">
      <c r="A47" s="516" t="s">
        <v>1810</v>
      </c>
      <c r="B47" s="48">
        <f>1-B48</f>
        <v>0.83299999999999996</v>
      </c>
    </row>
    <row r="48" spans="1:3" x14ac:dyDescent="0.2">
      <c r="A48" s="516" t="s">
        <v>1811</v>
      </c>
      <c r="B48" s="48">
        <v>0.16700000000000001</v>
      </c>
    </row>
    <row r="49" spans="1:17" x14ac:dyDescent="0.2">
      <c r="B49" s="165"/>
    </row>
    <row r="51" spans="1:17" ht="19" x14ac:dyDescent="0.25">
      <c r="A51" s="521" t="s">
        <v>336</v>
      </c>
      <c r="E51" t="s">
        <v>396</v>
      </c>
    </row>
    <row r="52" spans="1:17" x14ac:dyDescent="0.2">
      <c r="C52" s="547" t="s">
        <v>333</v>
      </c>
      <c r="D52" s="547"/>
      <c r="E52" s="547"/>
      <c r="F52" s="547"/>
      <c r="G52" s="547" t="s">
        <v>334</v>
      </c>
      <c r="H52" s="547"/>
      <c r="I52" s="547" t="s">
        <v>548</v>
      </c>
      <c r="J52" s="547"/>
    </row>
    <row r="53" spans="1:17" ht="51" x14ac:dyDescent="0.2">
      <c r="A53" s="522" t="s">
        <v>209</v>
      </c>
      <c r="B53" s="29" t="s">
        <v>208</v>
      </c>
      <c r="C53" s="29" t="s">
        <v>340</v>
      </c>
      <c r="D53" s="29" t="s">
        <v>341</v>
      </c>
      <c r="E53" s="29" t="s">
        <v>327</v>
      </c>
      <c r="F53" s="29" t="s">
        <v>328</v>
      </c>
      <c r="G53" s="29" t="s">
        <v>327</v>
      </c>
      <c r="H53" s="29" t="s">
        <v>328</v>
      </c>
      <c r="I53" s="29" t="s">
        <v>337</v>
      </c>
      <c r="J53" s="29" t="s">
        <v>549</v>
      </c>
      <c r="M53" s="29"/>
      <c r="N53" s="29"/>
    </row>
    <row r="54" spans="1:17" x14ac:dyDescent="0.2">
      <c r="A54" s="516" t="s">
        <v>82</v>
      </c>
      <c r="B54" t="s">
        <v>245</v>
      </c>
      <c r="C54" s="13">
        <f>IFERROR(VLOOKUP(B54,Filter_Analysis!$B$18:$K$31,10,FALSE),0)</f>
        <v>5.217937921509951E-5</v>
      </c>
      <c r="D54" s="13">
        <f>C54</f>
        <v>5.217937921509951E-5</v>
      </c>
      <c r="E54" s="13">
        <f t="shared" ref="E54:E83" si="0">C54*$B$42</f>
        <v>37.569153034871647</v>
      </c>
      <c r="F54" s="13">
        <f>D54*$B$41</f>
        <v>0.19306370309586818</v>
      </c>
      <c r="G54" s="13">
        <f>VLOOKUP(B54,Tabl_B4_Scrap_Billet_Cut!$B$42:$I$56,5,FALSE)</f>
        <v>0.17218765026017832</v>
      </c>
      <c r="H54" s="13">
        <f>VLOOKUP(B54,Tabl_B4_Scrap_Billet_Cut!$B$42:$I$56,6,FALSE)</f>
        <v>7.131252210978373E-4</v>
      </c>
      <c r="I54" s="25">
        <f>E54+G54</f>
        <v>37.741340685131824</v>
      </c>
      <c r="J54" s="25">
        <f>MAXA(F54,H54)</f>
        <v>0.19306370309586818</v>
      </c>
      <c r="P54" s="13"/>
      <c r="Q54" s="13"/>
    </row>
    <row r="55" spans="1:17" x14ac:dyDescent="0.2">
      <c r="A55" s="516" t="s">
        <v>174</v>
      </c>
      <c r="B55" t="s">
        <v>246</v>
      </c>
      <c r="C55" s="13">
        <f>IFERROR(VLOOKUP(B55,Filter_Analysis!$B$18:$K$31,10,FALSE),0)</f>
        <v>5.6149549372770125E-7</v>
      </c>
      <c r="D55" s="13">
        <f t="shared" ref="D55:D69" si="1">C55</f>
        <v>5.6149549372770125E-7</v>
      </c>
      <c r="E55" s="13">
        <f t="shared" si="0"/>
        <v>0.40427675548394493</v>
      </c>
      <c r="F55" s="13">
        <f t="shared" ref="F55:F83" si="2">D55*$B$41</f>
        <v>2.0775333267924944E-3</v>
      </c>
      <c r="G55" s="13">
        <f>VLOOKUP(B55,Tabl_B4_Scrap_Billet_Cut!$B$42:$I$56,5,FALSE)</f>
        <v>9.9246027651275232E-3</v>
      </c>
      <c r="H55" s="13">
        <f>VLOOKUP(B55,Tabl_B4_Scrap_Billet_Cut!$B$42:$I$56,6,FALSE)</f>
        <v>4.1103322627932842E-5</v>
      </c>
      <c r="I55" s="25">
        <f t="shared" ref="I55:I83" si="3">E55+G55</f>
        <v>0.41420135824907245</v>
      </c>
      <c r="J55" s="25">
        <f t="shared" ref="J55:J83" si="4">MAXA(F55,H55)</f>
        <v>2.0775333267924944E-3</v>
      </c>
      <c r="P55" s="13"/>
      <c r="Q55" s="13"/>
    </row>
    <row r="56" spans="1:17" x14ac:dyDescent="0.2">
      <c r="A56" s="516" t="s">
        <v>83</v>
      </c>
      <c r="B56" t="s">
        <v>247</v>
      </c>
      <c r="C56" s="13">
        <f>IFERROR(VLOOKUP(B56,Filter_Analysis!$B$18:$K$31,10,FALSE),0)</f>
        <v>0</v>
      </c>
      <c r="D56" s="13">
        <f t="shared" si="1"/>
        <v>0</v>
      </c>
      <c r="E56" s="13">
        <f t="shared" si="0"/>
        <v>0</v>
      </c>
      <c r="F56" s="13">
        <f t="shared" si="2"/>
        <v>0</v>
      </c>
      <c r="G56" s="13">
        <f>VLOOKUP(B56,Tabl_B4_Scrap_Billet_Cut!$B$42:$I$56,5,FALSE)</f>
        <v>2.9261811553781474E-2</v>
      </c>
      <c r="H56" s="13">
        <f>VLOOKUP(B56,Tabl_B4_Scrap_Billet_Cut!$B$42:$I$56,6,FALSE)</f>
        <v>1.2118950344280083E-4</v>
      </c>
      <c r="I56" s="25">
        <f t="shared" si="3"/>
        <v>2.9261811553781474E-2</v>
      </c>
      <c r="J56" s="25">
        <f t="shared" si="4"/>
        <v>1.2118950344280083E-4</v>
      </c>
      <c r="P56" s="13"/>
      <c r="Q56" s="13"/>
    </row>
    <row r="57" spans="1:17" x14ac:dyDescent="0.2">
      <c r="A57" s="515" t="s">
        <v>93</v>
      </c>
      <c r="B57" t="s">
        <v>248</v>
      </c>
      <c r="C57" s="13">
        <f>IFERROR(VLOOKUP(B57,Filter_Analysis!$B$18:$K$31,10,FALSE),0)</f>
        <v>0</v>
      </c>
      <c r="D57" s="13">
        <f t="shared" si="1"/>
        <v>0</v>
      </c>
      <c r="E57" s="13">
        <f t="shared" si="0"/>
        <v>0</v>
      </c>
      <c r="F57" s="13">
        <f t="shared" si="2"/>
        <v>0</v>
      </c>
      <c r="G57" s="13">
        <f>VLOOKUP(B57,Tabl_B4_Scrap_Billet_Cut!$B$42:$I$56,5,FALSE)</f>
        <v>0</v>
      </c>
      <c r="H57" s="13">
        <f>VLOOKUP(B57,Tabl_B4_Scrap_Billet_Cut!$B$42:$I$56,6,FALSE)</f>
        <v>0</v>
      </c>
      <c r="I57" s="25">
        <f t="shared" si="3"/>
        <v>0</v>
      </c>
      <c r="J57" s="25">
        <f t="shared" si="4"/>
        <v>0</v>
      </c>
      <c r="P57" s="13"/>
      <c r="Q57" s="13"/>
    </row>
    <row r="58" spans="1:17" x14ac:dyDescent="0.2">
      <c r="A58" s="516" t="s">
        <v>84</v>
      </c>
      <c r="B58" t="s">
        <v>253</v>
      </c>
      <c r="C58" s="13">
        <f>IFERROR(VLOOKUP(B58,Filter_Analysis!$B$18:$K$31,10,FALSE),0)</f>
        <v>2.0247867804120133E-6</v>
      </c>
      <c r="D58" s="13">
        <f t="shared" si="1"/>
        <v>2.0247867804120133E-6</v>
      </c>
      <c r="E58" s="13">
        <f t="shared" si="0"/>
        <v>1.4578464818966497</v>
      </c>
      <c r="F58" s="13">
        <f t="shared" si="2"/>
        <v>7.4917110875244494E-3</v>
      </c>
      <c r="G58" s="13">
        <f>VLOOKUP(B58,Tabl_B4_Scrap_Billet_Cut!$B$42:$I$56,5,FALSE)</f>
        <v>0</v>
      </c>
      <c r="H58" s="13">
        <f>VLOOKUP(B58,Tabl_B4_Scrap_Billet_Cut!$B$42:$I$56,6,FALSE)</f>
        <v>0</v>
      </c>
      <c r="I58" s="25">
        <f t="shared" si="3"/>
        <v>1.4578464818966497</v>
      </c>
      <c r="J58" s="25">
        <f t="shared" si="4"/>
        <v>7.4917110875244494E-3</v>
      </c>
      <c r="P58" s="13"/>
      <c r="Q58" s="13"/>
    </row>
    <row r="59" spans="1:17" x14ac:dyDescent="0.2">
      <c r="A59" s="516" t="s">
        <v>85</v>
      </c>
      <c r="B59" t="s">
        <v>215</v>
      </c>
      <c r="C59" s="13">
        <f>IFERROR(VLOOKUP(B59,Filter_Analysis!$B$18:$K$31,10,FALSE),0)*$B$44*$B$46</f>
        <v>1.2451724068905506E-6</v>
      </c>
      <c r="D59" s="13">
        <f>C59/$B$46*$B$45</f>
        <v>6.0371995485602447E-5</v>
      </c>
      <c r="E59" s="13">
        <f t="shared" si="0"/>
        <v>0.89652413296119637</v>
      </c>
      <c r="F59" s="13">
        <f t="shared" si="2"/>
        <v>0.22337638329672904</v>
      </c>
      <c r="G59" s="13">
        <f>VLOOKUP(B59,Tabl_B4_Scrap_Billet_Cut!$B$42:$I$56,5,FALSE)</f>
        <v>6.1630738850230835E-2</v>
      </c>
      <c r="H59" s="13">
        <f>VLOOKUP(B59,Tabl_B4_Scrap_Billet_Cut!$B$42:$I$56,6,FALSE)</f>
        <v>2.5524730840210735E-4</v>
      </c>
      <c r="I59" s="25">
        <f t="shared" si="3"/>
        <v>0.95815487181142722</v>
      </c>
      <c r="J59" s="25">
        <f t="shared" si="4"/>
        <v>0.22337638329672904</v>
      </c>
      <c r="P59" s="13"/>
      <c r="Q59" s="13"/>
    </row>
    <row r="60" spans="1:17" x14ac:dyDescent="0.2">
      <c r="A60" s="516" t="s">
        <v>86</v>
      </c>
      <c r="B60" t="s">
        <v>249</v>
      </c>
      <c r="C60" s="13">
        <f>IFERROR(VLOOKUP(B60,Filter_Analysis!$B$18:$K$31,10,FALSE),0)</f>
        <v>0</v>
      </c>
      <c r="D60" s="13">
        <f t="shared" si="1"/>
        <v>0</v>
      </c>
      <c r="E60" s="13">
        <f t="shared" si="0"/>
        <v>0</v>
      </c>
      <c r="F60" s="13">
        <f t="shared" si="2"/>
        <v>0</v>
      </c>
      <c r="G60" s="13">
        <f>VLOOKUP(B60,Tabl_B4_Scrap_Billet_Cut!$B$42:$I$56,5,FALSE)</f>
        <v>1.4046767740561348E-2</v>
      </c>
      <c r="H60" s="13">
        <f>VLOOKUP(B60,Tabl_B4_Scrap_Billet_Cut!$B$42:$I$56,6,FALSE)</f>
        <v>5.8175509890295687E-5</v>
      </c>
      <c r="I60" s="25">
        <f t="shared" si="3"/>
        <v>1.4046767740561348E-2</v>
      </c>
      <c r="J60" s="25">
        <f t="shared" si="4"/>
        <v>5.8175509890295687E-5</v>
      </c>
      <c r="P60" s="13"/>
      <c r="Q60" s="13"/>
    </row>
    <row r="61" spans="1:17" x14ac:dyDescent="0.2">
      <c r="A61" s="516" t="s">
        <v>87</v>
      </c>
      <c r="B61" t="s">
        <v>214</v>
      </c>
      <c r="C61" s="13">
        <f>IFERROR(VLOOKUP(B61,Filter_Analysis!$B$18:$K$31,10,FALSE),0)</f>
        <v>1.1797077039935541E-5</v>
      </c>
      <c r="D61" s="13">
        <f t="shared" si="1"/>
        <v>1.1797077039935541E-5</v>
      </c>
      <c r="E61" s="13">
        <f t="shared" si="0"/>
        <v>8.493895468753589</v>
      </c>
      <c r="F61" s="13">
        <f t="shared" si="2"/>
        <v>4.3649185047761503E-2</v>
      </c>
      <c r="G61" s="13">
        <f>VLOOKUP(B61,Tabl_B4_Scrap_Billet_Cut!$B$42:$I$56,5,FALSE)</f>
        <v>0.92092541894011826</v>
      </c>
      <c r="H61" s="13">
        <f>VLOOKUP(B61,Tabl_B4_Scrap_Billet_Cut!$B$42:$I$56,6,FALSE)</f>
        <v>3.8140664676238564E-3</v>
      </c>
      <c r="I61" s="25">
        <f t="shared" si="3"/>
        <v>9.4148208876937076</v>
      </c>
      <c r="J61" s="25">
        <f t="shared" si="4"/>
        <v>4.3649185047761503E-2</v>
      </c>
      <c r="P61" s="13"/>
      <c r="Q61" s="13"/>
    </row>
    <row r="62" spans="1:17" x14ac:dyDescent="0.2">
      <c r="A62" s="516" t="s">
        <v>88</v>
      </c>
      <c r="B62" t="s">
        <v>216</v>
      </c>
      <c r="C62" s="13">
        <f>IFERROR(VLOOKUP(B62,Filter_Analysis!$B$18:$K$31,10,FALSE),0)</f>
        <v>6.0119719530440734E-5</v>
      </c>
      <c r="D62" s="13">
        <f t="shared" si="1"/>
        <v>6.0119719530440734E-5</v>
      </c>
      <c r="E62" s="13">
        <f t="shared" si="0"/>
        <v>43.286198061917325</v>
      </c>
      <c r="F62" s="13">
        <f t="shared" si="2"/>
        <v>0.22244296226263072</v>
      </c>
      <c r="G62" s="13">
        <f>VLOOKUP(B62,Tabl_B4_Scrap_Billet_Cut!$B$42:$I$56,5,FALSE)</f>
        <v>3.3474453223797329E-2</v>
      </c>
      <c r="H62" s="13">
        <f>VLOOKUP(B62,Tabl_B4_Scrap_Billet_Cut!$B$42:$I$56,6,FALSE)</f>
        <v>1.386364052258074E-4</v>
      </c>
      <c r="I62" s="25">
        <f t="shared" si="3"/>
        <v>43.319672515141121</v>
      </c>
      <c r="J62" s="25">
        <f t="shared" si="4"/>
        <v>0.22244296226263072</v>
      </c>
      <c r="P62" s="13"/>
      <c r="Q62" s="13"/>
    </row>
    <row r="63" spans="1:17" x14ac:dyDescent="0.2">
      <c r="A63" s="516" t="s">
        <v>89</v>
      </c>
      <c r="B63" t="s">
        <v>213</v>
      </c>
      <c r="C63" s="13">
        <f>IFERROR(VLOOKUP(B63,Filter_Analysis!$B$18:$K$31,10,FALSE),0)</f>
        <v>1.0719459425710661E-4</v>
      </c>
      <c r="D63" s="13">
        <f t="shared" si="1"/>
        <v>1.0719459425710661E-4</v>
      </c>
      <c r="E63" s="13">
        <f t="shared" si="0"/>
        <v>77.180107865116753</v>
      </c>
      <c r="F63" s="13">
        <f t="shared" si="2"/>
        <v>0.39661999875129444</v>
      </c>
      <c r="G63" s="13">
        <f>VLOOKUP(B63,Tabl_B4_Scrap_Billet_Cut!$B$42:$I$56,5,FALSE)</f>
        <v>0.61580488392168287</v>
      </c>
      <c r="H63" s="13">
        <f>VLOOKUP(B63,Tabl_B4_Scrap_Billet_Cut!$B$42:$I$56,6,FALSE)</f>
        <v>2.5503919319197488E-3</v>
      </c>
      <c r="I63" s="25">
        <f t="shared" si="3"/>
        <v>77.795912749038436</v>
      </c>
      <c r="J63" s="25">
        <f t="shared" si="4"/>
        <v>0.39661999875129444</v>
      </c>
      <c r="P63" s="13"/>
      <c r="Q63" s="13"/>
    </row>
    <row r="64" spans="1:17" x14ac:dyDescent="0.2">
      <c r="A64" s="516" t="s">
        <v>90</v>
      </c>
      <c r="B64" t="s">
        <v>230</v>
      </c>
      <c r="C64" s="13">
        <f>IFERROR(VLOOKUP(B64,Filter_Analysis!$B$18:$K$31,10,FALSE),0)</f>
        <v>3.822706694671421E-7</v>
      </c>
      <c r="D64" s="13">
        <f t="shared" si="1"/>
        <v>3.822706694671421E-7</v>
      </c>
      <c r="E64" s="13">
        <f t="shared" si="0"/>
        <v>0.27523488201634233</v>
      </c>
      <c r="F64" s="13">
        <f t="shared" si="2"/>
        <v>1.4144014770284257E-3</v>
      </c>
      <c r="G64" s="13">
        <v>0</v>
      </c>
      <c r="H64" s="13">
        <v>0</v>
      </c>
      <c r="I64" s="25">
        <f t="shared" si="3"/>
        <v>0.27523488201634233</v>
      </c>
      <c r="J64" s="25">
        <f t="shared" si="4"/>
        <v>1.4144014770284257E-3</v>
      </c>
      <c r="P64" s="13"/>
      <c r="Q64" s="13"/>
    </row>
    <row r="65" spans="1:17" x14ac:dyDescent="0.2">
      <c r="A65" s="515">
        <v>365</v>
      </c>
      <c r="B65" t="s">
        <v>231</v>
      </c>
      <c r="C65" s="13">
        <f>IFERROR(VLOOKUP(B65,Filter_Analysis!$B$18:$K$31,10,FALSE),0)</f>
        <v>1.7468748693750706E-6</v>
      </c>
      <c r="D65" s="13">
        <f t="shared" si="1"/>
        <v>1.7468748693750706E-6</v>
      </c>
      <c r="E65" s="13">
        <f t="shared" si="0"/>
        <v>1.2577499059500508</v>
      </c>
      <c r="F65" s="13">
        <f t="shared" si="2"/>
        <v>6.4634370166877612E-3</v>
      </c>
      <c r="G65" s="13">
        <f>VLOOKUP(B65,Tabl_B4_Scrap_Billet_Cut!$B$42:$I$56,5,FALSE)</f>
        <v>0.14184391540082408</v>
      </c>
      <c r="H65" s="13">
        <f>VLOOKUP(B65,Tabl_B4_Scrap_Billet_Cut!$B$42:$I$56,6,FALSE)</f>
        <v>5.8745486902662633E-4</v>
      </c>
      <c r="I65" s="25">
        <f t="shared" si="3"/>
        <v>1.3995938213508747</v>
      </c>
      <c r="J65" s="25">
        <f t="shared" si="4"/>
        <v>6.4634370166877612E-3</v>
      </c>
      <c r="P65" s="13"/>
      <c r="Q65" s="13"/>
    </row>
    <row r="66" spans="1:17" x14ac:dyDescent="0.2">
      <c r="A66" s="515">
        <v>504</v>
      </c>
      <c r="B66" t="s">
        <v>254</v>
      </c>
      <c r="C66" s="13">
        <f>IFERROR(VLOOKUP(B66,Filter_Analysis!$B$18:$K$31,10,FALSE),0)</f>
        <v>5.6716716538151648E-6</v>
      </c>
      <c r="D66" s="13">
        <f t="shared" si="1"/>
        <v>5.6716716538151648E-6</v>
      </c>
      <c r="E66" s="13">
        <f t="shared" si="0"/>
        <v>4.083603590746919</v>
      </c>
      <c r="F66" s="13">
        <f t="shared" si="2"/>
        <v>2.0985185119116109E-2</v>
      </c>
      <c r="G66" s="13">
        <f>VLOOKUP(B66,Tabl_B4_Scrap_Billet_Cut!$B$42:$I$56,5,FALSE)</f>
        <v>4.9650057527058693E-2</v>
      </c>
      <c r="H66" s="13">
        <f>VLOOKUP(B66,Tabl_B4_Scrap_Billet_Cut!$B$42:$I$56,6,FALSE)</f>
        <v>2.0562861621030291E-4</v>
      </c>
      <c r="I66" s="25">
        <f t="shared" si="3"/>
        <v>4.1332536482739775</v>
      </c>
      <c r="J66" s="25">
        <f t="shared" si="4"/>
        <v>2.0985185119116109E-2</v>
      </c>
      <c r="P66" s="13"/>
      <c r="Q66" s="13"/>
    </row>
    <row r="67" spans="1:17" x14ac:dyDescent="0.2">
      <c r="A67" s="516" t="s">
        <v>91</v>
      </c>
      <c r="B67" t="s">
        <v>251</v>
      </c>
      <c r="C67" s="13">
        <f>IFERROR(VLOOKUP(B67,Filter_Analysis!$B$18:$K$31,10,FALSE),0)</f>
        <v>0</v>
      </c>
      <c r="D67" s="13">
        <f t="shared" si="1"/>
        <v>0</v>
      </c>
      <c r="E67" s="13">
        <f t="shared" si="0"/>
        <v>0</v>
      </c>
      <c r="F67" s="13">
        <f t="shared" si="2"/>
        <v>0</v>
      </c>
      <c r="G67" s="13">
        <f>VLOOKUP(B67,Tabl_B4_Scrap_Billet_Cut!$B$42:$I$56,5,FALSE)</f>
        <v>0</v>
      </c>
      <c r="H67" s="13">
        <f>VLOOKUP(B67,Tabl_B4_Scrap_Billet_Cut!$B$42:$I$56,6,FALSE)</f>
        <v>0</v>
      </c>
      <c r="I67" s="25">
        <f t="shared" si="3"/>
        <v>0</v>
      </c>
      <c r="J67" s="25">
        <f t="shared" si="4"/>
        <v>0</v>
      </c>
      <c r="P67" s="13"/>
      <c r="Q67" s="13"/>
    </row>
    <row r="68" spans="1:17" x14ac:dyDescent="0.2">
      <c r="A68" s="516" t="s">
        <v>92</v>
      </c>
      <c r="B68" t="s">
        <v>197</v>
      </c>
      <c r="C68" s="13">
        <f>IFERROR(VLOOKUP(B68,Filter_Analysis!$B$18:$K$31,10,FALSE),0)</f>
        <v>5.8985385199677699E-7</v>
      </c>
      <c r="D68" s="13">
        <f t="shared" si="1"/>
        <v>5.8985385199677699E-7</v>
      </c>
      <c r="E68" s="13">
        <f t="shared" si="0"/>
        <v>0.42469477343767942</v>
      </c>
      <c r="F68" s="13">
        <f t="shared" si="2"/>
        <v>2.1824592523880747E-3</v>
      </c>
      <c r="G68" s="13">
        <f>VLOOKUP(B68,Tabl_B4_Scrap_Billet_Cut!$B$42:$I$56,5,FALSE)</f>
        <v>1.0995146049946489E-2</v>
      </c>
      <c r="H68" s="13">
        <f>VLOOKUP(B68,Tabl_B4_Scrap_Billet_Cut!$B$42:$I$56,6,FALSE)</f>
        <v>4.5537040235018904E-5</v>
      </c>
      <c r="I68" s="25">
        <f t="shared" si="3"/>
        <v>0.43568991948762592</v>
      </c>
      <c r="J68" s="25">
        <f t="shared" si="4"/>
        <v>2.1824592523880747E-3</v>
      </c>
      <c r="P68" s="13"/>
      <c r="Q68" s="13"/>
    </row>
    <row r="69" spans="1:17" x14ac:dyDescent="0.2">
      <c r="A69" s="516" t="s">
        <v>94</v>
      </c>
      <c r="B69" t="s">
        <v>252</v>
      </c>
      <c r="C69" s="13">
        <f>IFERROR(VLOOKUP(B69,Filter_Analysis!$B$18:$K$31,10,FALSE),0)</f>
        <v>1.1400060024168478E-3</v>
      </c>
      <c r="D69" s="13">
        <f t="shared" si="1"/>
        <v>1.1400060024168478E-3</v>
      </c>
      <c r="E69" s="13">
        <f t="shared" si="0"/>
        <v>820.80432174013038</v>
      </c>
      <c r="F69" s="13">
        <f t="shared" si="2"/>
        <v>4.2180222089423367</v>
      </c>
      <c r="G69" s="13">
        <f>VLOOKUP(B69,Tabl_B4_Scrap_Billet_Cut!$B$42:$I$56,5,FALSE)</f>
        <v>0.16177020722568988</v>
      </c>
      <c r="H69" s="13">
        <f>VLOOKUP(B69,Tabl_B4_Scrap_Billet_Cut!$B$42:$I$56,6,FALSE)</f>
        <v>6.6998077167873895E-4</v>
      </c>
      <c r="I69" s="25">
        <f t="shared" si="3"/>
        <v>820.96609194735606</v>
      </c>
      <c r="J69" s="25">
        <f t="shared" si="4"/>
        <v>4.2180222089423367</v>
      </c>
      <c r="P69" s="13"/>
      <c r="Q69" s="13"/>
    </row>
    <row r="70" spans="1:17" x14ac:dyDescent="0.2">
      <c r="A70" s="516" t="s">
        <v>100</v>
      </c>
      <c r="B70" t="s">
        <v>15</v>
      </c>
      <c r="C70" s="13">
        <f>VLOOKUP(B70,'Organic TAC EFs'!$B$4:$J$58,7,FALSE)</f>
        <v>9.6759999999999988E-3</v>
      </c>
      <c r="D70" s="13">
        <f>C70</f>
        <v>9.6759999999999988E-3</v>
      </c>
      <c r="E70" s="13">
        <f t="shared" si="0"/>
        <v>6966.7199999999993</v>
      </c>
      <c r="F70" s="13">
        <f t="shared" si="2"/>
        <v>35.801199999999994</v>
      </c>
      <c r="G70">
        <v>0</v>
      </c>
      <c r="H70">
        <v>0</v>
      </c>
      <c r="I70" s="25">
        <f t="shared" si="3"/>
        <v>6966.7199999999993</v>
      </c>
      <c r="J70" s="25">
        <f t="shared" si="4"/>
        <v>35.801199999999994</v>
      </c>
    </row>
    <row r="71" spans="1:17" x14ac:dyDescent="0.2">
      <c r="A71" s="516" t="s">
        <v>102</v>
      </c>
      <c r="B71" t="s">
        <v>226</v>
      </c>
      <c r="C71" s="13">
        <f>VLOOKUP(B71,'Organic TAC EFs'!$B$4:$J$58,7,FALSE)</f>
        <v>5.1433171243468561E-4</v>
      </c>
      <c r="D71" s="13">
        <f t="shared" ref="D71:D83" si="5">C71</f>
        <v>5.1433171243468561E-4</v>
      </c>
      <c r="E71" s="13">
        <f t="shared" ref="E71:E77" si="6">C71*$B$42</f>
        <v>370.31883295297365</v>
      </c>
      <c r="F71" s="13">
        <f t="shared" ref="F71:F77" si="7">D71*$B$41</f>
        <v>1.9030273360083367</v>
      </c>
      <c r="G71">
        <v>0</v>
      </c>
      <c r="H71">
        <v>0</v>
      </c>
      <c r="I71" s="25">
        <f t="shared" ref="I71:I77" si="8">E71+G71</f>
        <v>370.31883295297365</v>
      </c>
      <c r="J71" s="25">
        <f t="shared" si="4"/>
        <v>1.9030273360083367</v>
      </c>
    </row>
    <row r="72" spans="1:17" x14ac:dyDescent="0.2">
      <c r="A72" s="516" t="s">
        <v>108</v>
      </c>
      <c r="B72" t="s">
        <v>20</v>
      </c>
      <c r="C72" s="13">
        <f>VLOOKUP(B72,'Organic TAC EFs'!$B$4:$J$58,7,FALSE)</f>
        <v>9.9667469022668605E-4</v>
      </c>
      <c r="D72" s="13">
        <f t="shared" si="5"/>
        <v>9.9667469022668605E-4</v>
      </c>
      <c r="E72" s="13">
        <f t="shared" si="6"/>
        <v>717.605776963214</v>
      </c>
      <c r="F72" s="13">
        <f t="shared" si="7"/>
        <v>3.6876963538387382</v>
      </c>
      <c r="G72">
        <v>0</v>
      </c>
      <c r="H72">
        <v>0</v>
      </c>
      <c r="I72" s="25">
        <f t="shared" si="8"/>
        <v>717.605776963214</v>
      </c>
      <c r="J72" s="25">
        <f t="shared" si="4"/>
        <v>3.6876963538387382</v>
      </c>
    </row>
    <row r="73" spans="1:17" x14ac:dyDescent="0.2">
      <c r="A73" s="516" t="s">
        <v>109</v>
      </c>
      <c r="B73" t="s">
        <v>21</v>
      </c>
      <c r="C73" s="13">
        <f>VLOOKUP(B73,'Organic TAC EFs'!$B$4:$J$58,7,FALSE)</f>
        <v>1.3664314153464987E-3</v>
      </c>
      <c r="D73" s="13">
        <f t="shared" si="5"/>
        <v>1.3664314153464987E-3</v>
      </c>
      <c r="E73" s="13">
        <f t="shared" si="6"/>
        <v>983.83061904947908</v>
      </c>
      <c r="F73" s="13">
        <f t="shared" si="7"/>
        <v>5.0557962367820455</v>
      </c>
      <c r="G73">
        <v>0</v>
      </c>
      <c r="H73">
        <v>0</v>
      </c>
      <c r="I73" s="25">
        <f t="shared" si="8"/>
        <v>983.83061904947908</v>
      </c>
      <c r="J73" s="25">
        <f t="shared" si="4"/>
        <v>5.0557962367820455</v>
      </c>
    </row>
    <row r="74" spans="1:17" x14ac:dyDescent="0.2">
      <c r="A74" s="516" t="s">
        <v>111</v>
      </c>
      <c r="B74" t="s">
        <v>234</v>
      </c>
      <c r="C74" s="13">
        <f>VLOOKUP(B74,'Organic TAC EFs'!$B$4:$J$58,7,FALSE)</f>
        <v>3.2794392355915149E-4</v>
      </c>
      <c r="D74" s="13">
        <f t="shared" si="5"/>
        <v>3.2794392355915149E-4</v>
      </c>
      <c r="E74" s="13">
        <f t="shared" si="6"/>
        <v>236.11962496258909</v>
      </c>
      <c r="F74" s="13">
        <f t="shared" si="7"/>
        <v>1.2133925171688604</v>
      </c>
      <c r="G74">
        <v>0</v>
      </c>
      <c r="H74">
        <v>0</v>
      </c>
      <c r="I74" s="25">
        <f t="shared" si="8"/>
        <v>236.11962496258909</v>
      </c>
      <c r="J74" s="25">
        <f t="shared" si="4"/>
        <v>1.2133925171688604</v>
      </c>
    </row>
    <row r="75" spans="1:17" x14ac:dyDescent="0.2">
      <c r="A75" s="516" t="s">
        <v>101</v>
      </c>
      <c r="B75" t="s">
        <v>16</v>
      </c>
      <c r="C75" s="13">
        <f>VLOOKUP(B75,'Organic TAC EFs'!$B$4:$J$58,7,FALSE)</f>
        <v>1.1838133454014661E-4</v>
      </c>
      <c r="D75" s="13">
        <f t="shared" si="5"/>
        <v>1.1838133454014661E-4</v>
      </c>
      <c r="E75" s="13">
        <f t="shared" si="6"/>
        <v>85.234560868905561</v>
      </c>
      <c r="F75" s="13">
        <f t="shared" si="7"/>
        <v>0.43801093779854244</v>
      </c>
      <c r="G75">
        <v>0</v>
      </c>
      <c r="H75">
        <v>0</v>
      </c>
      <c r="I75" s="25">
        <f t="shared" si="8"/>
        <v>85.234560868905561</v>
      </c>
      <c r="J75" s="25">
        <f t="shared" si="4"/>
        <v>0.43801093779854244</v>
      </c>
    </row>
    <row r="76" spans="1:17" x14ac:dyDescent="0.2">
      <c r="A76" s="516" t="s">
        <v>103</v>
      </c>
      <c r="B76" t="s">
        <v>32</v>
      </c>
      <c r="C76" s="13">
        <f>VLOOKUP(B76,'Organic TAC EFs'!$B$4:$J$58,7,FALSE)</f>
        <v>1.8907179473972275E-4</v>
      </c>
      <c r="D76" s="13">
        <f t="shared" si="5"/>
        <v>1.8907179473972275E-4</v>
      </c>
      <c r="E76" s="13">
        <f t="shared" si="6"/>
        <v>136.13169221260037</v>
      </c>
      <c r="F76" s="13">
        <f t="shared" si="7"/>
        <v>0.69956564053697423</v>
      </c>
      <c r="G76">
        <v>0</v>
      </c>
      <c r="H76">
        <v>0</v>
      </c>
      <c r="I76" s="25">
        <f t="shared" si="8"/>
        <v>136.13169221260037</v>
      </c>
      <c r="J76" s="25">
        <f t="shared" si="4"/>
        <v>0.69956564053697423</v>
      </c>
    </row>
    <row r="77" spans="1:17" x14ac:dyDescent="0.2">
      <c r="A77" s="516" t="s">
        <v>110</v>
      </c>
      <c r="B77" t="s">
        <v>541</v>
      </c>
      <c r="C77" s="13">
        <f>VLOOKUP(B77,'Organic TAC EFs'!$B$4:$J$58,7,FALSE)</f>
        <v>7.4160480502348679E-5</v>
      </c>
      <c r="D77" s="13">
        <f t="shared" si="5"/>
        <v>7.4160480502348679E-5</v>
      </c>
      <c r="E77" s="13">
        <f t="shared" si="6"/>
        <v>53.395545961691049</v>
      </c>
      <c r="F77" s="13">
        <f t="shared" si="7"/>
        <v>0.27439377785869012</v>
      </c>
      <c r="G77">
        <v>0</v>
      </c>
      <c r="H77">
        <v>0</v>
      </c>
      <c r="I77" s="25">
        <f t="shared" si="8"/>
        <v>53.395545961691049</v>
      </c>
      <c r="J77" s="25">
        <f t="shared" si="4"/>
        <v>0.27439377785869012</v>
      </c>
    </row>
    <row r="78" spans="1:17" x14ac:dyDescent="0.2">
      <c r="A78" s="516" t="s">
        <v>503</v>
      </c>
      <c r="B78" t="s">
        <v>542</v>
      </c>
      <c r="C78" s="13">
        <f>VLOOKUP(B78,'Organic TAC EFs'!$B$4:$J$58,7,FALSE)</f>
        <v>1.0097031903318926E-4</v>
      </c>
      <c r="D78" s="13">
        <f t="shared" si="5"/>
        <v>1.0097031903318926E-4</v>
      </c>
      <c r="E78" s="13">
        <f t="shared" si="0"/>
        <v>72.698629703896273</v>
      </c>
      <c r="F78" s="13">
        <f t="shared" si="2"/>
        <v>0.37359018042280029</v>
      </c>
      <c r="G78">
        <v>0</v>
      </c>
      <c r="H78">
        <v>0</v>
      </c>
      <c r="I78" s="25">
        <f t="shared" si="3"/>
        <v>72.698629703896273</v>
      </c>
      <c r="J78" s="25">
        <f t="shared" si="4"/>
        <v>0.37359018042280029</v>
      </c>
    </row>
    <row r="79" spans="1:17" x14ac:dyDescent="0.2">
      <c r="A79" s="516" t="s">
        <v>508</v>
      </c>
      <c r="B79" t="s">
        <v>543</v>
      </c>
      <c r="C79" s="13">
        <f>VLOOKUP(B79,'Organic TAC EFs'!$B$4:$J$58,7,FALSE)</f>
        <v>2.0245110405039146E-4</v>
      </c>
      <c r="D79" s="13">
        <f t="shared" si="5"/>
        <v>2.0245110405039146E-4</v>
      </c>
      <c r="E79" s="13">
        <f t="shared" si="0"/>
        <v>145.76479491628186</v>
      </c>
      <c r="F79" s="13">
        <f t="shared" si="2"/>
        <v>0.74906908498644842</v>
      </c>
      <c r="G79">
        <v>0</v>
      </c>
      <c r="H79">
        <v>0</v>
      </c>
      <c r="I79" s="25">
        <f t="shared" si="3"/>
        <v>145.76479491628186</v>
      </c>
      <c r="J79" s="25">
        <f t="shared" si="4"/>
        <v>0.74906908498644842</v>
      </c>
    </row>
    <row r="80" spans="1:17" x14ac:dyDescent="0.2">
      <c r="A80" s="516" t="s">
        <v>513</v>
      </c>
      <c r="B80" t="s">
        <v>544</v>
      </c>
      <c r="C80" s="13">
        <f>VLOOKUP(B80,'Organic TAC EFs'!$B$4:$J$58,7,FALSE)</f>
        <v>9.0483134684568397E-5</v>
      </c>
      <c r="D80" s="13">
        <f t="shared" si="5"/>
        <v>9.0483134684568397E-5</v>
      </c>
      <c r="E80" s="13">
        <f t="shared" si="0"/>
        <v>65.147856972889244</v>
      </c>
      <c r="F80" s="13">
        <f t="shared" si="2"/>
        <v>0.33478759833290306</v>
      </c>
      <c r="G80">
        <v>0</v>
      </c>
      <c r="H80">
        <v>0</v>
      </c>
      <c r="I80" s="25">
        <f t="shared" si="3"/>
        <v>65.147856972889244</v>
      </c>
      <c r="J80" s="25">
        <f t="shared" si="4"/>
        <v>0.33478759833290306</v>
      </c>
    </row>
    <row r="81" spans="1:15" x14ac:dyDescent="0.2">
      <c r="A81" s="516" t="s">
        <v>518</v>
      </c>
      <c r="B81" t="s">
        <v>545</v>
      </c>
      <c r="C81" s="13">
        <f>VLOOKUP(B81,'Organic TAC EFs'!$B$4:$J$58,7,FALSE)</f>
        <v>2.0031262727373284E-4</v>
      </c>
      <c r="D81" s="13">
        <f t="shared" si="5"/>
        <v>2.0031262727373284E-4</v>
      </c>
      <c r="E81" s="13">
        <f t="shared" si="0"/>
        <v>144.22509163708764</v>
      </c>
      <c r="F81" s="13">
        <f t="shared" si="2"/>
        <v>0.74115672091281148</v>
      </c>
      <c r="G81">
        <v>0</v>
      </c>
      <c r="H81">
        <v>0</v>
      </c>
      <c r="I81" s="25">
        <f t="shared" si="3"/>
        <v>144.22509163708764</v>
      </c>
      <c r="J81" s="25">
        <f t="shared" si="4"/>
        <v>0.74115672091281148</v>
      </c>
    </row>
    <row r="82" spans="1:15" x14ac:dyDescent="0.2">
      <c r="A82" s="516" t="s">
        <v>523</v>
      </c>
      <c r="B82" t="s">
        <v>546</v>
      </c>
      <c r="C82" s="13">
        <f>VLOOKUP(B82,'Organic TAC EFs'!$B$4:$J$58,7,FALSE)</f>
        <v>1.243791580026187E-4</v>
      </c>
      <c r="D82" s="13">
        <f t="shared" si="5"/>
        <v>1.243791580026187E-4</v>
      </c>
      <c r="E82" s="13">
        <f t="shared" si="0"/>
        <v>89.55299376188546</v>
      </c>
      <c r="F82" s="13">
        <f t="shared" si="2"/>
        <v>0.46020288460968922</v>
      </c>
      <c r="G82">
        <v>0</v>
      </c>
      <c r="H82">
        <v>0</v>
      </c>
      <c r="I82" s="25">
        <f t="shared" si="3"/>
        <v>89.55299376188546</v>
      </c>
      <c r="J82" s="25">
        <f t="shared" si="4"/>
        <v>0.46020288460968922</v>
      </c>
    </row>
    <row r="83" spans="1:15" x14ac:dyDescent="0.2">
      <c r="A83" s="516" t="s">
        <v>528</v>
      </c>
      <c r="B83" t="s">
        <v>547</v>
      </c>
      <c r="C83" s="13">
        <f>VLOOKUP(B83,'Organic TAC EFs'!$B$4:$J$58,7,FALSE)</f>
        <v>2.1420713622911577E-4</v>
      </c>
      <c r="D83" s="13">
        <f t="shared" si="5"/>
        <v>2.1420713622911577E-4</v>
      </c>
      <c r="E83" s="13">
        <f t="shared" si="0"/>
        <v>154.22913808496335</v>
      </c>
      <c r="F83" s="13">
        <f t="shared" si="2"/>
        <v>0.79256640404772838</v>
      </c>
      <c r="G83">
        <v>0</v>
      </c>
      <c r="H83">
        <v>0</v>
      </c>
      <c r="I83" s="25">
        <f t="shared" si="3"/>
        <v>154.22913808496335</v>
      </c>
      <c r="J83" s="25">
        <f t="shared" si="4"/>
        <v>0.79256640404772838</v>
      </c>
    </row>
    <row r="84" spans="1:15" x14ac:dyDescent="0.2">
      <c r="A84" s="515">
        <v>646</v>
      </c>
      <c r="B84" t="s">
        <v>681</v>
      </c>
      <c r="C84" s="13">
        <f>_xlfn.XLOOKUP(B84,'Recommended Emission Factors'!$A$5:$A$11,'Recommended Emission Factors'!$J$5:$J$11)</f>
        <v>1.5799999999999999E-9</v>
      </c>
      <c r="D84" s="13">
        <f t="shared" ref="D84:D90" si="9">C84</f>
        <v>1.5799999999999999E-9</v>
      </c>
      <c r="E84" s="13">
        <f>C84*$B$42</f>
        <v>1.1375999999999999E-3</v>
      </c>
      <c r="F84" s="13">
        <f>D84*$B$41</f>
        <v>5.8459999999999996E-6</v>
      </c>
      <c r="G84">
        <v>0</v>
      </c>
      <c r="H84">
        <v>0</v>
      </c>
      <c r="I84" s="25">
        <f t="shared" ref="I84:I90" si="10">E84+G84</f>
        <v>1.1375999999999999E-3</v>
      </c>
      <c r="J84" s="313">
        <f t="shared" ref="J84:J90" si="11">MAXA(F84,H84)</f>
        <v>5.8459999999999996E-6</v>
      </c>
      <c r="O84" s="25"/>
    </row>
    <row r="85" spans="1:15" x14ac:dyDescent="0.2">
      <c r="A85" s="515">
        <v>645</v>
      </c>
      <c r="B85" t="s">
        <v>680</v>
      </c>
      <c r="C85" s="13">
        <f>_xlfn.XLOOKUP(B85,'Recommended Emission Factors'!$A$5:$A$11,'Recommended Emission Factors'!$J$5:$J$11)</f>
        <v>3.9654966016654933E-10</v>
      </c>
      <c r="D85" s="13">
        <f t="shared" si="9"/>
        <v>3.9654966016654933E-10</v>
      </c>
      <c r="E85" s="13">
        <f t="shared" ref="E85:E90" si="12">C85*$B$42</f>
        <v>2.8551575531991552E-4</v>
      </c>
      <c r="F85" s="13">
        <f t="shared" ref="F85:F90" si="13">D85*$B$41</f>
        <v>1.4672337426162325E-6</v>
      </c>
      <c r="G85">
        <v>0</v>
      </c>
      <c r="H85">
        <v>0</v>
      </c>
      <c r="I85" s="25">
        <f t="shared" si="10"/>
        <v>2.8551575531991552E-4</v>
      </c>
      <c r="J85" s="313">
        <f t="shared" si="11"/>
        <v>1.4672337426162325E-6</v>
      </c>
      <c r="O85" s="12"/>
    </row>
    <row r="86" spans="1:15" x14ac:dyDescent="0.2">
      <c r="A86" s="515">
        <v>401</v>
      </c>
      <c r="B86" t="s">
        <v>689</v>
      </c>
      <c r="C86" s="13">
        <f>_xlfn.XLOOKUP(B86,'Recommended Emission Factors'!$A$5:$A$11,'Recommended Emission Factors'!$J$5:$J$11)</f>
        <v>2.1738983731851357E-5</v>
      </c>
      <c r="D86" s="13">
        <f t="shared" si="9"/>
        <v>2.1738983731851357E-5</v>
      </c>
      <c r="E86" s="13">
        <f t="shared" si="12"/>
        <v>15.652068286932977</v>
      </c>
      <c r="F86" s="13">
        <f t="shared" si="13"/>
        <v>8.0434239807850028E-2</v>
      </c>
      <c r="G86">
        <v>0</v>
      </c>
      <c r="H86">
        <v>0</v>
      </c>
      <c r="I86" s="25">
        <f t="shared" si="10"/>
        <v>15.652068286932977</v>
      </c>
      <c r="J86" s="25">
        <f t="shared" si="11"/>
        <v>8.0434239807850028E-2</v>
      </c>
    </row>
    <row r="87" spans="1:15" x14ac:dyDescent="0.2">
      <c r="A87" s="515" t="s">
        <v>107</v>
      </c>
      <c r="B87" t="s">
        <v>19</v>
      </c>
      <c r="C87" s="13">
        <f>_xlfn.XLOOKUP(B87,'Recommended Emission Factors'!$A$5:$A$11,'Recommended Emission Factors'!$J$5:$J$11)</f>
        <v>2.2642439256662043E-3</v>
      </c>
      <c r="D87" s="13">
        <f t="shared" si="9"/>
        <v>2.2642439256662043E-3</v>
      </c>
      <c r="E87" s="13">
        <f t="shared" si="12"/>
        <v>1630.2556264796672</v>
      </c>
      <c r="F87" s="13">
        <f t="shared" si="13"/>
        <v>8.3777025249649562</v>
      </c>
      <c r="G87">
        <v>0</v>
      </c>
      <c r="H87">
        <v>0</v>
      </c>
      <c r="I87" s="25">
        <f t="shared" si="10"/>
        <v>1630.2556264796672</v>
      </c>
      <c r="J87" s="25">
        <f t="shared" si="11"/>
        <v>8.3777025249649562</v>
      </c>
    </row>
    <row r="88" spans="1:15" x14ac:dyDescent="0.2">
      <c r="A88" s="515" t="s">
        <v>192</v>
      </c>
      <c r="B88" t="s">
        <v>223</v>
      </c>
      <c r="C88" s="13">
        <f>_xlfn.XLOOKUP(B88,'Recommended Emission Factors'!$A$5:$A$11,'Recommended Emission Factors'!$J$5:$J$11)</f>
        <v>1.5361341142755028E-6</v>
      </c>
      <c r="D88" s="13">
        <f t="shared" si="9"/>
        <v>1.5361341142755028E-6</v>
      </c>
      <c r="E88" s="13">
        <f t="shared" si="12"/>
        <v>1.106016562278362</v>
      </c>
      <c r="F88" s="13">
        <f t="shared" si="13"/>
        <v>5.6836962228193604E-3</v>
      </c>
      <c r="G88">
        <v>0</v>
      </c>
      <c r="H88">
        <v>0</v>
      </c>
      <c r="I88" s="25">
        <f t="shared" si="10"/>
        <v>1.106016562278362</v>
      </c>
      <c r="J88" s="25">
        <f t="shared" si="11"/>
        <v>5.6836962228193604E-3</v>
      </c>
    </row>
    <row r="89" spans="1:15" x14ac:dyDescent="0.2">
      <c r="A89" s="515" t="s">
        <v>686</v>
      </c>
      <c r="B89" t="s">
        <v>655</v>
      </c>
      <c r="C89" s="13">
        <f>_xlfn.XLOOKUP(B89,'Recommended Emission Factors'!$A$5:$A$11,'Recommended Emission Factors'!$J$5:$J$11)</f>
        <v>5.5505740263783623E-6</v>
      </c>
      <c r="D89" s="13">
        <f t="shared" si="9"/>
        <v>5.5505740263783623E-6</v>
      </c>
      <c r="E89" s="13">
        <f t="shared" si="12"/>
        <v>3.996413298992421</v>
      </c>
      <c r="F89" s="13">
        <f t="shared" si="13"/>
        <v>2.053712389759994E-2</v>
      </c>
      <c r="G89">
        <v>0</v>
      </c>
      <c r="H89">
        <v>0</v>
      </c>
      <c r="I89" s="25">
        <f t="shared" si="10"/>
        <v>3.996413298992421</v>
      </c>
      <c r="J89" s="25">
        <f t="shared" si="11"/>
        <v>2.053712389759994E-2</v>
      </c>
    </row>
    <row r="90" spans="1:15" x14ac:dyDescent="0.2">
      <c r="A90" s="515">
        <v>447</v>
      </c>
      <c r="B90" t="s">
        <v>661</v>
      </c>
      <c r="C90" s="13">
        <f>_xlfn.XLOOKUP(B90,'Recommended Emission Factors'!$A$5:$A$11,'Recommended Emission Factors'!$J$5:$J$11)</f>
        <v>6.1611371692799819E-7</v>
      </c>
      <c r="D90" s="13">
        <f t="shared" si="9"/>
        <v>6.1611371692799819E-7</v>
      </c>
      <c r="E90" s="13">
        <f t="shared" si="12"/>
        <v>0.44360187618815872</v>
      </c>
      <c r="F90" s="13">
        <f t="shared" si="13"/>
        <v>2.2796207526335935E-3</v>
      </c>
      <c r="G90">
        <v>0</v>
      </c>
      <c r="H90">
        <v>0</v>
      </c>
      <c r="I90" s="25">
        <f t="shared" si="10"/>
        <v>0.44360187618815872</v>
      </c>
      <c r="J90" s="25">
        <f t="shared" si="11"/>
        <v>2.2796207526335935E-3</v>
      </c>
    </row>
    <row r="91" spans="1:15" s="477" customFormat="1" x14ac:dyDescent="0.2">
      <c r="A91" s="519">
        <v>239</v>
      </c>
      <c r="B91" s="477" t="s">
        <v>104</v>
      </c>
      <c r="C91" s="478">
        <v>3.5000000000000001E-3</v>
      </c>
      <c r="D91" s="478">
        <f>C91</f>
        <v>3.5000000000000001E-3</v>
      </c>
      <c r="E91" s="13">
        <f>C91*$B$42*B47</f>
        <v>2099.16</v>
      </c>
      <c r="F91" s="13">
        <f>D91*$B$41*B47</f>
        <v>10.78735</v>
      </c>
      <c r="G91">
        <v>0</v>
      </c>
      <c r="H91">
        <v>0</v>
      </c>
      <c r="I91" s="11">
        <f t="shared" ref="I91" si="14">E91+G91</f>
        <v>2099.16</v>
      </c>
      <c r="J91" s="11">
        <f t="shared" ref="J91" si="15">MAXA(F91,H91)</f>
        <v>10.78735</v>
      </c>
      <c r="M91"/>
      <c r="N91"/>
    </row>
    <row r="109" spans="1:10" ht="19" x14ac:dyDescent="0.25">
      <c r="A109" s="521" t="s">
        <v>342</v>
      </c>
      <c r="E109" t="s">
        <v>397</v>
      </c>
    </row>
    <row r="110" spans="1:10" x14ac:dyDescent="0.2">
      <c r="C110" s="547" t="s">
        <v>333</v>
      </c>
      <c r="D110" s="547"/>
      <c r="E110" s="547"/>
      <c r="F110" s="547"/>
      <c r="G110" s="547" t="s">
        <v>334</v>
      </c>
      <c r="H110" s="547"/>
      <c r="I110" s="547" t="s">
        <v>548</v>
      </c>
      <c r="J110" s="547"/>
    </row>
    <row r="111" spans="1:10" ht="51" x14ac:dyDescent="0.2">
      <c r="A111" s="522" t="s">
        <v>209</v>
      </c>
      <c r="B111" s="29" t="s">
        <v>208</v>
      </c>
      <c r="C111" s="29" t="s">
        <v>344</v>
      </c>
      <c r="D111" s="29" t="s">
        <v>345</v>
      </c>
      <c r="E111" s="29" t="s">
        <v>346</v>
      </c>
      <c r="F111" s="29" t="s">
        <v>347</v>
      </c>
      <c r="G111" s="29" t="s">
        <v>346</v>
      </c>
      <c r="H111" s="29" t="s">
        <v>347</v>
      </c>
      <c r="I111" s="29" t="s">
        <v>1808</v>
      </c>
      <c r="J111" s="29" t="s">
        <v>1809</v>
      </c>
    </row>
    <row r="112" spans="1:10" x14ac:dyDescent="0.2">
      <c r="A112" s="516" t="s">
        <v>82</v>
      </c>
      <c r="B112" t="s">
        <v>245</v>
      </c>
      <c r="C112" s="13">
        <f>IFERROR(VLOOKUP(B112,Filter_Analysis!$B$18:$K$32,8,FALSE),0)</f>
        <v>9.2374977557831646E-5</v>
      </c>
      <c r="D112" s="13">
        <f>C112</f>
        <v>9.2374977557831646E-5</v>
      </c>
      <c r="E112" s="13">
        <f t="shared" ref="E112:E140" si="16">C112*$B$42</f>
        <v>66.509983841638785</v>
      </c>
      <c r="F112" s="13">
        <f>D112*$B$41</f>
        <v>0.34178741696397708</v>
      </c>
      <c r="G112" s="13">
        <f>VLOOKUP(B112,Tabl_B4_Scrap_Billet_Cut!$B$42:$I$56,7,FALSE)</f>
        <v>3.4520213197418707E-2</v>
      </c>
      <c r="H112" s="13">
        <f>VLOOKUP(B112,Tabl_B4_Scrap_Billet_Cut!$B$42:$I$56,8,FALSE)</f>
        <v>1.4296748130052681E-4</v>
      </c>
      <c r="I112" s="25">
        <f>E112+G112</f>
        <v>66.54450405483621</v>
      </c>
      <c r="J112" s="25">
        <f>MAXA(F112,H112)</f>
        <v>0.34178741696397708</v>
      </c>
    </row>
    <row r="113" spans="1:14" x14ac:dyDescent="0.2">
      <c r="A113" s="516" t="s">
        <v>174</v>
      </c>
      <c r="B113" t="s">
        <v>246</v>
      </c>
      <c r="C113" s="13">
        <f>IFERROR(VLOOKUP(B113,Filter_Analysis!$B$18:$K$32,8,FALSE),0)</f>
        <v>9.9403508458971019E-7</v>
      </c>
      <c r="D113" s="13">
        <f t="shared" ref="D113:D141" si="17">C113</f>
        <v>9.9403508458971019E-7</v>
      </c>
      <c r="E113" s="13">
        <f t="shared" si="16"/>
        <v>0.7157052609045913</v>
      </c>
      <c r="F113" s="13">
        <f t="shared" ref="F113:F140" si="18">D113*$B$41</f>
        <v>3.6779298129819278E-3</v>
      </c>
      <c r="G113" s="13">
        <f>VLOOKUP(B113,Tabl_B4_Scrap_Billet_Cut!$B$42:$I$56,7,FALSE)</f>
        <v>1.9896862686390113E-3</v>
      </c>
      <c r="H113" s="13">
        <f>VLOOKUP(B113,Tabl_B4_Scrap_Billet_Cut!$B$42:$I$56,8,FALSE)</f>
        <v>8.2404020154439199E-6</v>
      </c>
      <c r="I113" s="25">
        <f t="shared" ref="I113:I149" si="19">E113+G113</f>
        <v>0.71769494717323035</v>
      </c>
      <c r="J113" s="25">
        <f t="shared" ref="J113:J149" si="20">MAXA(F113,H113)</f>
        <v>3.6779298129819278E-3</v>
      </c>
    </row>
    <row r="114" spans="1:14" x14ac:dyDescent="0.2">
      <c r="A114" s="516" t="s">
        <v>83</v>
      </c>
      <c r="B114" t="s">
        <v>247</v>
      </c>
      <c r="C114" s="13">
        <f>IFERROR(VLOOKUP(B114,Filter_Analysis!$B$18:$K$32,8,FALSE),0)</f>
        <v>0</v>
      </c>
      <c r="D114" s="13">
        <f t="shared" si="17"/>
        <v>0</v>
      </c>
      <c r="E114" s="13">
        <f t="shared" si="16"/>
        <v>0</v>
      </c>
      <c r="F114" s="13">
        <f t="shared" si="18"/>
        <v>0</v>
      </c>
      <c r="G114" s="13">
        <f>VLOOKUP(B114,Tabl_B4_Scrap_Billet_Cut!$B$42:$I$56,7,FALSE)</f>
        <v>5.8664136008181348E-3</v>
      </c>
      <c r="H114" s="13">
        <f>VLOOKUP(B114,Tabl_B4_Scrap_Billet_Cut!$B$42:$I$56,8,FALSE)</f>
        <v>2.4296094927908452E-5</v>
      </c>
      <c r="I114" s="25">
        <f t="shared" si="19"/>
        <v>5.8664136008181348E-3</v>
      </c>
      <c r="J114" s="25">
        <f t="shared" si="20"/>
        <v>2.4296094927908452E-5</v>
      </c>
    </row>
    <row r="115" spans="1:14" x14ac:dyDescent="0.2">
      <c r="A115" s="515" t="s">
        <v>93</v>
      </c>
      <c r="B115" t="s">
        <v>248</v>
      </c>
      <c r="C115" s="13">
        <f>IFERROR(VLOOKUP(B115,Filter_Analysis!$B$18:$K$32,8,FALSE),0)</f>
        <v>0</v>
      </c>
      <c r="D115" s="13">
        <f t="shared" si="17"/>
        <v>0</v>
      </c>
      <c r="E115" s="13">
        <f t="shared" si="16"/>
        <v>0</v>
      </c>
      <c r="F115" s="13">
        <f t="shared" si="18"/>
        <v>0</v>
      </c>
      <c r="G115" s="13">
        <f>VLOOKUP(B115,Tabl_B4_Scrap_Billet_Cut!$B$42:$I$56,7,FALSE)</f>
        <v>0</v>
      </c>
      <c r="H115" s="13">
        <f>VLOOKUP(B115,Tabl_B4_Scrap_Billet_Cut!$B$42:$I$56,8,FALSE)</f>
        <v>0</v>
      </c>
      <c r="I115" s="25">
        <f t="shared" si="19"/>
        <v>0</v>
      </c>
      <c r="J115" s="25">
        <f t="shared" si="20"/>
        <v>0</v>
      </c>
    </row>
    <row r="116" spans="1:14" x14ac:dyDescent="0.2">
      <c r="A116" s="516" t="s">
        <v>84</v>
      </c>
      <c r="B116" t="s">
        <v>253</v>
      </c>
      <c r="C116" s="13">
        <f>IFERROR(VLOOKUP(B116,Filter_Analysis!$B$18:$K$32,8,FALSE),0)</f>
        <v>3.5845507595810762E-6</v>
      </c>
      <c r="D116" s="13">
        <f t="shared" si="17"/>
        <v>3.5845507595810762E-6</v>
      </c>
      <c r="E116" s="13">
        <f t="shared" si="16"/>
        <v>2.580876546898375</v>
      </c>
      <c r="F116" s="13">
        <f t="shared" si="18"/>
        <v>1.3262837810449983E-2</v>
      </c>
      <c r="G116" s="13">
        <f>VLOOKUP(B116,Tabl_B4_Scrap_Billet_Cut!$B$42:$I$56,7,FALSE)</f>
        <v>0</v>
      </c>
      <c r="H116" s="13">
        <f>VLOOKUP(B116,Tabl_B4_Scrap_Billet_Cut!$B$42:$I$56,8,FALSE)</f>
        <v>0</v>
      </c>
      <c r="I116" s="25">
        <f t="shared" si="19"/>
        <v>2.580876546898375</v>
      </c>
      <c r="J116" s="25">
        <f t="shared" si="20"/>
        <v>1.3262837810449983E-2</v>
      </c>
    </row>
    <row r="117" spans="1:14" x14ac:dyDescent="0.2">
      <c r="A117" s="516" t="s">
        <v>85</v>
      </c>
      <c r="B117" t="s">
        <v>215</v>
      </c>
      <c r="C117" s="13">
        <f>IFERROR(VLOOKUP(B117,Filter_Analysis!$B$18:$K$31,8,FALSE),0)*$B$44*$B$46</f>
        <v>2.2043722035861418E-6</v>
      </c>
      <c r="D117" s="13">
        <f>C117/$B$46*$B$45</f>
        <v>1.0687865229508566E-4</v>
      </c>
      <c r="E117" s="13">
        <f t="shared" si="16"/>
        <v>1.5871479865820222</v>
      </c>
      <c r="F117" s="13">
        <f t="shared" si="18"/>
        <v>0.39545101349181694</v>
      </c>
      <c r="G117" s="13">
        <f>VLOOKUP(B117,Tabl_B4_Scrap_Billet_Cut!$B$42:$I$56,7,FALSE)</f>
        <v>1.2355742362531272E-2</v>
      </c>
      <c r="H117" s="13">
        <f>VLOOKUP(B117,Tabl_B4_Scrap_Billet_Cut!$B$42:$I$56,8,FALSE)</f>
        <v>5.117202941554854E-5</v>
      </c>
      <c r="I117" s="25">
        <f t="shared" si="19"/>
        <v>1.5995037289445535</v>
      </c>
      <c r="J117" s="25">
        <f t="shared" si="20"/>
        <v>0.39545101349181694</v>
      </c>
      <c r="K117" s="13"/>
      <c r="N117" s="13"/>
    </row>
    <row r="118" spans="1:14" x14ac:dyDescent="0.2">
      <c r="A118" s="516" t="s">
        <v>86</v>
      </c>
      <c r="B118" t="s">
        <v>249</v>
      </c>
      <c r="C118" s="13">
        <f>IFERROR(VLOOKUP(B118,Filter_Analysis!$B$18:$K$32,8,FALSE),0)</f>
        <v>0</v>
      </c>
      <c r="D118" s="13">
        <f t="shared" si="17"/>
        <v>0</v>
      </c>
      <c r="E118" s="13">
        <f t="shared" si="16"/>
        <v>0</v>
      </c>
      <c r="F118" s="13">
        <f t="shared" si="18"/>
        <v>0</v>
      </c>
      <c r="G118" s="13">
        <f>VLOOKUP(B118,Tabl_B4_Scrap_Billet_Cut!$B$42:$I$56,7,FALSE)</f>
        <v>2.8160986946863687E-3</v>
      </c>
      <c r="H118" s="13">
        <f>VLOOKUP(B118,Tabl_B4_Scrap_Billet_Cut!$B$42:$I$56,8,FALSE)</f>
        <v>1.1663037396974047E-5</v>
      </c>
      <c r="I118" s="25">
        <f t="shared" si="19"/>
        <v>2.8160986946863687E-3</v>
      </c>
      <c r="J118" s="25">
        <f t="shared" si="20"/>
        <v>1.1663037396974047E-5</v>
      </c>
    </row>
    <row r="119" spans="1:14" x14ac:dyDescent="0.2">
      <c r="A119" s="516" t="s">
        <v>87</v>
      </c>
      <c r="B119" t="s">
        <v>214</v>
      </c>
      <c r="C119" s="13">
        <f>IFERROR(VLOOKUP(B119,Filter_Analysis!$B$18:$K$32,8,FALSE),0)</f>
        <v>2.0884777534814113E-5</v>
      </c>
      <c r="D119" s="13">
        <f t="shared" si="17"/>
        <v>2.0884777534814113E-5</v>
      </c>
      <c r="E119" s="13">
        <f t="shared" si="16"/>
        <v>15.037039825066161</v>
      </c>
      <c r="F119" s="13">
        <f t="shared" si="18"/>
        <v>7.7273676878812217E-2</v>
      </c>
      <c r="G119" s="13">
        <f>VLOOKUP(B119,Tabl_B4_Scrap_Billet_Cut!$B$42:$I$56,7,FALSE)</f>
        <v>0.18462730487755075</v>
      </c>
      <c r="H119" s="13">
        <f>VLOOKUP(B119,Tabl_B4_Scrap_Billet_Cut!$B$42:$I$56,8,FALSE)</f>
        <v>7.6464477802303009E-4</v>
      </c>
      <c r="I119" s="25">
        <f t="shared" si="19"/>
        <v>15.221667129943713</v>
      </c>
      <c r="J119" s="25">
        <f t="shared" si="20"/>
        <v>7.7273676878812217E-2</v>
      </c>
    </row>
    <row r="120" spans="1:14" x14ac:dyDescent="0.2">
      <c r="A120" s="516" t="s">
        <v>88</v>
      </c>
      <c r="B120" t="s">
        <v>216</v>
      </c>
      <c r="C120" s="13">
        <f>IFERROR(VLOOKUP(B120,Filter_Analysis!$B$18:$K$32,8,FALSE),0)</f>
        <v>1.0643203936011037E-4</v>
      </c>
      <c r="D120" s="13">
        <f t="shared" si="17"/>
        <v>1.0643203936011037E-4</v>
      </c>
      <c r="E120" s="13">
        <f t="shared" si="16"/>
        <v>76.631068339279466</v>
      </c>
      <c r="F120" s="13">
        <f t="shared" si="18"/>
        <v>0.3937985456324084</v>
      </c>
      <c r="G120" s="13">
        <f>VLOOKUP(B120,Tabl_B4_Scrap_Billet_Cut!$B$42:$I$56,7,FALSE)</f>
        <v>6.7109648119737754E-3</v>
      </c>
      <c r="H120" s="13">
        <f>VLOOKUP(B120,Tabl_B4_Scrap_Billet_Cut!$B$42:$I$56,8,FALSE)</f>
        <v>2.7793853148511211E-5</v>
      </c>
      <c r="I120" s="25">
        <f t="shared" si="19"/>
        <v>76.637779304091438</v>
      </c>
      <c r="J120" s="25">
        <f t="shared" si="20"/>
        <v>0.3937985456324084</v>
      </c>
    </row>
    <row r="121" spans="1:14" x14ac:dyDescent="0.2">
      <c r="A121" s="516" t="s">
        <v>89</v>
      </c>
      <c r="B121" t="s">
        <v>213</v>
      </c>
      <c r="C121" s="13">
        <f>IFERROR(VLOOKUP(B121,Filter_Analysis!$B$18:$K$32,8,FALSE),0)</f>
        <v>1.8977033433076288E-4</v>
      </c>
      <c r="D121" s="13">
        <f t="shared" si="17"/>
        <v>1.8977033433076288E-4</v>
      </c>
      <c r="E121" s="13">
        <f t="shared" si="16"/>
        <v>136.63464071814929</v>
      </c>
      <c r="F121" s="13">
        <f t="shared" si="18"/>
        <v>0.70215023702382262</v>
      </c>
      <c r="G121" s="13">
        <f>VLOOKUP(B121,Tabl_B4_Scrap_Billet_Cut!$B$42:$I$56,7,FALSE)</f>
        <v>0.12345668141046945</v>
      </c>
      <c r="H121" s="13">
        <f>VLOOKUP(B121,Tabl_B4_Scrap_Billet_Cut!$B$42:$I$56,8,FALSE)</f>
        <v>5.1130306438247077E-4</v>
      </c>
      <c r="I121" s="25">
        <f t="shared" si="19"/>
        <v>136.75809739955974</v>
      </c>
      <c r="J121" s="25">
        <f t="shared" si="20"/>
        <v>0.70215023702382262</v>
      </c>
    </row>
    <row r="122" spans="1:14" x14ac:dyDescent="0.2">
      <c r="A122" s="516" t="s">
        <v>90</v>
      </c>
      <c r="B122" t="s">
        <v>230</v>
      </c>
      <c r="C122" s="13">
        <f>IFERROR(VLOOKUP(B122,Filter_Analysis!$B$18:$K$32,8,FALSE),0)</f>
        <v>6.7674711819541891E-7</v>
      </c>
      <c r="D122" s="13">
        <f t="shared" si="17"/>
        <v>6.7674711819541891E-7</v>
      </c>
      <c r="E122" s="13">
        <f t="shared" si="16"/>
        <v>0.48725792510070159</v>
      </c>
      <c r="F122" s="13">
        <f t="shared" si="18"/>
        <v>2.5039643373230502E-3</v>
      </c>
      <c r="G122" s="13">
        <v>0</v>
      </c>
      <c r="H122" s="13">
        <v>0</v>
      </c>
      <c r="I122" s="25">
        <f t="shared" si="19"/>
        <v>0.48725792510070159</v>
      </c>
      <c r="J122" s="25">
        <f t="shared" si="20"/>
        <v>2.5039643373230502E-3</v>
      </c>
    </row>
    <row r="123" spans="1:14" x14ac:dyDescent="0.2">
      <c r="A123" s="515">
        <v>365</v>
      </c>
      <c r="B123" t="s">
        <v>231</v>
      </c>
      <c r="C123" s="13">
        <f>IFERROR(VLOOKUP(B123,Filter_Analysis!$B$18:$K$32,8,FALSE),0)</f>
        <v>3.0925535965013207E-6</v>
      </c>
      <c r="D123" s="13">
        <f t="shared" si="17"/>
        <v>3.0925535965013207E-6</v>
      </c>
      <c r="E123" s="13">
        <f t="shared" si="16"/>
        <v>2.2266385894809511</v>
      </c>
      <c r="F123" s="13">
        <f t="shared" si="18"/>
        <v>1.1442448307054888E-2</v>
      </c>
      <c r="G123" s="13">
        <f>VLOOKUP(B123,Tabl_B4_Scrap_Billet_Cut!$B$42:$I$56,7,FALSE)</f>
        <v>2.8436895404486941E-2</v>
      </c>
      <c r="H123" s="13">
        <f>VLOOKUP(B123,Tabl_B4_Scrap_Billet_Cut!$B$42:$I$56,8,FALSE)</f>
        <v>1.1777306497892751E-4</v>
      </c>
      <c r="I123" s="25">
        <f t="shared" si="19"/>
        <v>2.2550754848854382</v>
      </c>
      <c r="J123" s="25">
        <f t="shared" si="20"/>
        <v>1.1442448307054888E-2</v>
      </c>
    </row>
    <row r="124" spans="1:14" x14ac:dyDescent="0.2">
      <c r="A124" s="515">
        <v>504</v>
      </c>
      <c r="B124" t="s">
        <v>254</v>
      </c>
      <c r="C124" s="13">
        <f>IFERROR(VLOOKUP(B124,Filter_Analysis!$B$18:$K$32,8,FALSE),0)</f>
        <v>1.0040758430199093E-5</v>
      </c>
      <c r="D124" s="13">
        <f t="shared" si="17"/>
        <v>1.0040758430199093E-5</v>
      </c>
      <c r="E124" s="13">
        <f t="shared" si="16"/>
        <v>7.2293460697433467</v>
      </c>
      <c r="F124" s="13">
        <f t="shared" si="18"/>
        <v>3.7150806191736642E-2</v>
      </c>
      <c r="G124" s="13">
        <f>VLOOKUP(B124,Tabl_B4_Scrap_Billet_Cut!$B$42:$I$56,7,FALSE)</f>
        <v>9.9538530696504229E-3</v>
      </c>
      <c r="H124" s="13">
        <f>VLOOKUP(B124,Tabl_B4_Scrap_Billet_Cut!$B$42:$I$56,8,FALSE)</f>
        <v>4.1224464474334439E-5</v>
      </c>
      <c r="I124" s="25">
        <f t="shared" si="19"/>
        <v>7.2392999228129975</v>
      </c>
      <c r="J124" s="25">
        <f t="shared" si="20"/>
        <v>3.7150806191736642E-2</v>
      </c>
    </row>
    <row r="125" spans="1:14" x14ac:dyDescent="0.2">
      <c r="A125" s="516" t="s">
        <v>91</v>
      </c>
      <c r="B125" t="s">
        <v>251</v>
      </c>
      <c r="C125" s="13">
        <f>IFERROR(VLOOKUP(B125,Filter_Analysis!$B$18:$K$32,8,FALSE),0)</f>
        <v>0</v>
      </c>
      <c r="D125" s="13">
        <f t="shared" si="17"/>
        <v>0</v>
      </c>
      <c r="E125" s="13">
        <f t="shared" si="16"/>
        <v>0</v>
      </c>
      <c r="F125" s="13">
        <f t="shared" si="18"/>
        <v>0</v>
      </c>
      <c r="G125" s="13">
        <f>VLOOKUP(B125,Tabl_B4_Scrap_Billet_Cut!$B$42:$I$56,7,FALSE)</f>
        <v>0</v>
      </c>
      <c r="H125" s="13">
        <f>VLOOKUP(B125,Tabl_B4_Scrap_Billet_Cut!$B$42:$I$56,8,FALSE)</f>
        <v>0</v>
      </c>
      <c r="I125" s="25">
        <f t="shared" si="19"/>
        <v>0</v>
      </c>
      <c r="J125" s="25">
        <f t="shared" si="20"/>
        <v>0</v>
      </c>
    </row>
    <row r="126" spans="1:14" x14ac:dyDescent="0.2">
      <c r="A126" s="516" t="s">
        <v>92</v>
      </c>
      <c r="B126" t="s">
        <v>197</v>
      </c>
      <c r="C126" s="13">
        <f>IFERROR(VLOOKUP(B126,Filter_Analysis!$B$18:$K$31,8,FALSE),0)</f>
        <v>1.0442388767407054E-6</v>
      </c>
      <c r="D126" s="13">
        <f t="shared" si="17"/>
        <v>1.0442388767407054E-6</v>
      </c>
      <c r="E126" s="13">
        <f t="shared" si="16"/>
        <v>0.75185199125330793</v>
      </c>
      <c r="F126" s="13">
        <f t="shared" si="18"/>
        <v>3.8636838439406102E-3</v>
      </c>
      <c r="G126" s="13">
        <f>VLOOKUP(B126,Tabl_B4_Scrap_Billet_Cut!$B$42:$I$56,7,FALSE)</f>
        <v>2.2043089920060792E-3</v>
      </c>
      <c r="H126" s="13">
        <f>VLOOKUP(B126,Tabl_B4_Scrap_Billet_Cut!$B$42:$I$56,8,FALSE)</f>
        <v>9.1292745729269595E-6</v>
      </c>
      <c r="I126" s="25">
        <f t="shared" si="19"/>
        <v>0.754056300245314</v>
      </c>
      <c r="J126" s="25">
        <f t="shared" si="20"/>
        <v>3.8636838439406102E-3</v>
      </c>
    </row>
    <row r="127" spans="1:14" x14ac:dyDescent="0.2">
      <c r="A127" s="516" t="s">
        <v>94</v>
      </c>
      <c r="B127" t="s">
        <v>252</v>
      </c>
      <c r="C127" s="13">
        <f>IFERROR(VLOOKUP(B127,Filter_Analysis!$B$18:$K$31,8,FALSE),0)</f>
        <v>2.0181924444700175E-3</v>
      </c>
      <c r="D127" s="13">
        <f t="shared" si="17"/>
        <v>2.0181924444700175E-3</v>
      </c>
      <c r="E127" s="13">
        <f t="shared" si="16"/>
        <v>1453.0985600184126</v>
      </c>
      <c r="F127" s="13">
        <f t="shared" si="18"/>
        <v>7.4673120445390646</v>
      </c>
      <c r="G127" s="13">
        <f>VLOOKUP(B127,Tabl_B4_Scrap_Billet_Cut!$B$42:$I$56,7,FALSE)</f>
        <v>3.2431722216915024E-2</v>
      </c>
      <c r="H127" s="13">
        <f>VLOOKUP(B127,Tabl_B4_Scrap_Billet_Cut!$B$42:$I$56,8,FALSE)</f>
        <v>1.3431787379393687E-4</v>
      </c>
      <c r="I127" s="25">
        <f t="shared" si="19"/>
        <v>1453.1309917406295</v>
      </c>
      <c r="J127" s="25">
        <f t="shared" si="20"/>
        <v>7.4673120445390646</v>
      </c>
    </row>
    <row r="128" spans="1:14" x14ac:dyDescent="0.2">
      <c r="A128" s="516" t="s">
        <v>100</v>
      </c>
      <c r="B128" t="s">
        <v>15</v>
      </c>
      <c r="C128" s="13">
        <f>VLOOKUP(B128,'Organic TAC EFs'!$B$4:$J$58,8,FALSE)</f>
        <v>1.9398463385354142E-3</v>
      </c>
      <c r="D128" s="13">
        <f t="shared" si="17"/>
        <v>1.9398463385354142E-3</v>
      </c>
      <c r="E128" s="13">
        <f t="shared" si="16"/>
        <v>1396.6893637454982</v>
      </c>
      <c r="F128" s="13">
        <f t="shared" si="18"/>
        <v>7.1774314525810325</v>
      </c>
      <c r="G128">
        <v>0</v>
      </c>
      <c r="H128" s="12">
        <v>0</v>
      </c>
      <c r="I128" s="25">
        <f t="shared" si="19"/>
        <v>1396.6893637454982</v>
      </c>
      <c r="J128" s="25">
        <f t="shared" si="20"/>
        <v>7.1774314525810325</v>
      </c>
    </row>
    <row r="129" spans="1:10" x14ac:dyDescent="0.2">
      <c r="A129" s="516" t="s">
        <v>102</v>
      </c>
      <c r="B129" t="s">
        <v>226</v>
      </c>
      <c r="C129" s="13">
        <f>VLOOKUP(B129,'Organic TAC EFs'!$B$4:$J$58,8,FALSE)</f>
        <v>1.0311332050011106E-4</v>
      </c>
      <c r="D129" s="13">
        <f t="shared" ref="D129:D137" si="21">C129</f>
        <v>1.0311332050011106E-4</v>
      </c>
      <c r="E129" s="13">
        <f t="shared" ref="E129:E137" si="22">C129*$B$42</f>
        <v>74.241590760079958</v>
      </c>
      <c r="F129" s="13">
        <f t="shared" ref="F129:F137" si="23">D129*$B$41</f>
        <v>0.38151928585041089</v>
      </c>
      <c r="G129">
        <v>0</v>
      </c>
      <c r="H129" s="12">
        <v>0</v>
      </c>
      <c r="I129" s="25">
        <f t="shared" si="19"/>
        <v>74.241590760079958</v>
      </c>
      <c r="J129" s="25">
        <f t="shared" si="20"/>
        <v>0.38151928585041089</v>
      </c>
    </row>
    <row r="130" spans="1:10" x14ac:dyDescent="0.2">
      <c r="A130" s="516" t="s">
        <v>108</v>
      </c>
      <c r="B130" t="s">
        <v>20</v>
      </c>
      <c r="C130" s="13">
        <f>VLOOKUP(B130,'Organic TAC EFs'!$B$4:$J$58,8,FALSE)</f>
        <v>1.9981353333476182E-4</v>
      </c>
      <c r="D130" s="13">
        <f t="shared" si="21"/>
        <v>1.9981353333476182E-4</v>
      </c>
      <c r="E130" s="13">
        <f t="shared" si="22"/>
        <v>143.8657440010285</v>
      </c>
      <c r="F130" s="13">
        <f t="shared" si="23"/>
        <v>0.73931007333861876</v>
      </c>
      <c r="G130">
        <v>0</v>
      </c>
      <c r="H130" s="12">
        <v>0</v>
      </c>
      <c r="I130" s="25">
        <f t="shared" si="19"/>
        <v>143.8657440010285</v>
      </c>
      <c r="J130" s="25">
        <f t="shared" si="20"/>
        <v>0.73931007333861876</v>
      </c>
    </row>
    <row r="131" spans="1:10" x14ac:dyDescent="0.2">
      <c r="A131" s="516" t="s">
        <v>109</v>
      </c>
      <c r="B131" t="s">
        <v>21</v>
      </c>
      <c r="C131" s="13">
        <f>VLOOKUP(B131,'Organic TAC EFs'!$B$4:$J$58,8,FALSE)</f>
        <v>2.7394243260848181E-4</v>
      </c>
      <c r="D131" s="13">
        <f t="shared" si="21"/>
        <v>2.7394243260848181E-4</v>
      </c>
      <c r="E131" s="13">
        <f t="shared" si="22"/>
        <v>197.2385514781069</v>
      </c>
      <c r="F131" s="13">
        <f t="shared" si="23"/>
        <v>1.0135870006513827</v>
      </c>
      <c r="G131">
        <v>0</v>
      </c>
      <c r="H131" s="12">
        <v>0</v>
      </c>
      <c r="I131" s="25">
        <f t="shared" si="19"/>
        <v>197.2385514781069</v>
      </c>
      <c r="J131" s="25">
        <f t="shared" si="20"/>
        <v>1.0135870006513827</v>
      </c>
    </row>
    <row r="132" spans="1:10" x14ac:dyDescent="0.2">
      <c r="A132" s="516" t="s">
        <v>111</v>
      </c>
      <c r="B132" t="s">
        <v>234</v>
      </c>
      <c r="C132" s="13">
        <f>VLOOKUP(B132,'Organic TAC EFs'!$B$4:$J$58,8,FALSE)</f>
        <v>6.5746260785568193E-5</v>
      </c>
      <c r="D132" s="13">
        <f t="shared" si="21"/>
        <v>6.5746260785568193E-5</v>
      </c>
      <c r="E132" s="13">
        <f t="shared" si="22"/>
        <v>47.337307765609097</v>
      </c>
      <c r="F132" s="13">
        <f t="shared" si="23"/>
        <v>0.24326116490660232</v>
      </c>
      <c r="G132">
        <v>0</v>
      </c>
      <c r="H132" s="12">
        <v>0</v>
      </c>
      <c r="I132" s="25">
        <f t="shared" si="19"/>
        <v>47.337307765609097</v>
      </c>
      <c r="J132" s="25">
        <f t="shared" si="20"/>
        <v>0.24326116490660232</v>
      </c>
    </row>
    <row r="133" spans="1:10" x14ac:dyDescent="0.2">
      <c r="A133" s="516" t="s">
        <v>101</v>
      </c>
      <c r="B133" t="s">
        <v>16</v>
      </c>
      <c r="C133" s="13">
        <f>VLOOKUP(B133,'Organic TAC EFs'!$B$4:$J$58,8,FALSE)</f>
        <v>2.373311268692015E-5</v>
      </c>
      <c r="D133" s="13">
        <f t="shared" si="21"/>
        <v>2.373311268692015E-5</v>
      </c>
      <c r="E133" s="13">
        <f t="shared" si="22"/>
        <v>17.087841134582508</v>
      </c>
      <c r="F133" s="13">
        <f t="shared" si="23"/>
        <v>8.7812516941604551E-2</v>
      </c>
      <c r="G133">
        <v>0</v>
      </c>
      <c r="H133" s="12">
        <v>0</v>
      </c>
      <c r="I133" s="25">
        <f t="shared" si="19"/>
        <v>17.087841134582508</v>
      </c>
      <c r="J133" s="25">
        <f t="shared" si="20"/>
        <v>8.7812516941604551E-2</v>
      </c>
    </row>
    <row r="134" spans="1:10" x14ac:dyDescent="0.2">
      <c r="A134" s="516" t="s">
        <v>103</v>
      </c>
      <c r="B134" t="s">
        <v>32</v>
      </c>
      <c r="C134" s="13">
        <f>VLOOKUP(B134,'Organic TAC EFs'!$B$4:$J$58,8,FALSE)</f>
        <v>3.7905149725730739E-5</v>
      </c>
      <c r="D134" s="13">
        <f t="shared" si="21"/>
        <v>3.7905149725730739E-5</v>
      </c>
      <c r="E134" s="13">
        <f t="shared" si="22"/>
        <v>27.291707802526133</v>
      </c>
      <c r="F134" s="13">
        <f t="shared" si="23"/>
        <v>0.14024905398520374</v>
      </c>
      <c r="G134">
        <v>0</v>
      </c>
      <c r="H134" s="12">
        <v>0</v>
      </c>
      <c r="I134" s="25">
        <f t="shared" si="19"/>
        <v>27.291707802526133</v>
      </c>
      <c r="J134" s="25">
        <f t="shared" si="20"/>
        <v>0.14024905398520374</v>
      </c>
    </row>
    <row r="135" spans="1:10" x14ac:dyDescent="0.2">
      <c r="A135" s="516" t="s">
        <v>110</v>
      </c>
      <c r="B135" t="s">
        <v>541</v>
      </c>
      <c r="C135" s="13">
        <f>VLOOKUP(B135,'Organic TAC EFs'!$B$4:$J$58,8,FALSE)</f>
        <v>1.4867707375620927E-5</v>
      </c>
      <c r="D135" s="13">
        <f t="shared" si="21"/>
        <v>1.4867707375620927E-5</v>
      </c>
      <c r="E135" s="13">
        <f t="shared" si="22"/>
        <v>10.704749310447067</v>
      </c>
      <c r="F135" s="13">
        <f t="shared" si="23"/>
        <v>5.5010517289797431E-2</v>
      </c>
      <c r="G135">
        <v>0</v>
      </c>
      <c r="H135" s="12">
        <v>0</v>
      </c>
      <c r="I135" s="25">
        <f t="shared" si="19"/>
        <v>10.704749310447067</v>
      </c>
      <c r="J135" s="25">
        <f t="shared" si="20"/>
        <v>5.5010517289797431E-2</v>
      </c>
    </row>
    <row r="136" spans="1:10" x14ac:dyDescent="0.2">
      <c r="A136" s="516" t="s">
        <v>503</v>
      </c>
      <c r="B136" t="s">
        <v>542</v>
      </c>
      <c r="C136" s="13">
        <f>VLOOKUP(B136,'Organic TAC EFs'!$B$4:$J$58,8,FALSE)</f>
        <v>2.0242548953832664E-5</v>
      </c>
      <c r="D136" s="13">
        <f t="shared" si="21"/>
        <v>2.0242548953832664E-5</v>
      </c>
      <c r="E136" s="13">
        <f t="shared" si="22"/>
        <v>14.574635246759518</v>
      </c>
      <c r="F136" s="13">
        <f t="shared" si="23"/>
        <v>7.4897431129180861E-2</v>
      </c>
      <c r="G136">
        <v>0</v>
      </c>
      <c r="H136" s="12">
        <v>0</v>
      </c>
      <c r="I136" s="25">
        <f t="shared" si="19"/>
        <v>14.574635246759518</v>
      </c>
      <c r="J136" s="25">
        <f t="shared" si="20"/>
        <v>7.4897431129180861E-2</v>
      </c>
    </row>
    <row r="137" spans="1:10" x14ac:dyDescent="0.2">
      <c r="A137" s="516" t="s">
        <v>508</v>
      </c>
      <c r="B137" t="s">
        <v>543</v>
      </c>
      <c r="C137" s="13">
        <f>VLOOKUP(B137,'Organic TAC EFs'!$B$4:$J$58,8,FALSE)</f>
        <v>4.0587436226188929E-5</v>
      </c>
      <c r="D137" s="13">
        <f t="shared" si="21"/>
        <v>4.0587436226188929E-5</v>
      </c>
      <c r="E137" s="13">
        <f t="shared" si="22"/>
        <v>29.222954082856027</v>
      </c>
      <c r="F137" s="13">
        <f t="shared" si="23"/>
        <v>0.15017351403689905</v>
      </c>
      <c r="G137">
        <v>0</v>
      </c>
      <c r="H137" s="12">
        <v>0</v>
      </c>
      <c r="I137" s="25">
        <f t="shared" si="19"/>
        <v>29.222954082856027</v>
      </c>
      <c r="J137" s="25">
        <f t="shared" si="20"/>
        <v>0.15017351403689905</v>
      </c>
    </row>
    <row r="138" spans="1:10" x14ac:dyDescent="0.2">
      <c r="A138" s="516" t="s">
        <v>513</v>
      </c>
      <c r="B138" t="s">
        <v>544</v>
      </c>
      <c r="C138" s="13">
        <f>VLOOKUP(B138,'Organic TAC EFs'!$B$4:$J$58,8,FALSE)</f>
        <v>1.8140076221276018E-5</v>
      </c>
      <c r="D138" s="13">
        <f t="shared" si="17"/>
        <v>1.8140076221276018E-5</v>
      </c>
      <c r="E138" s="13">
        <f t="shared" si="16"/>
        <v>13.060854879318732</v>
      </c>
      <c r="F138" s="13">
        <f t="shared" si="18"/>
        <v>6.7118282018721262E-2</v>
      </c>
      <c r="G138">
        <v>0</v>
      </c>
      <c r="H138" s="12">
        <v>0</v>
      </c>
      <c r="I138" s="25">
        <f t="shared" si="19"/>
        <v>13.060854879318732</v>
      </c>
      <c r="J138" s="25">
        <f t="shared" si="20"/>
        <v>6.7118282018721262E-2</v>
      </c>
    </row>
    <row r="139" spans="1:10" x14ac:dyDescent="0.2">
      <c r="A139" s="516" t="s">
        <v>518</v>
      </c>
      <c r="B139" t="s">
        <v>545</v>
      </c>
      <c r="C139" s="13">
        <f>VLOOKUP(B139,'Organic TAC EFs'!$B$4:$J$58,8,FALSE)</f>
        <v>4.0158713991252566E-5</v>
      </c>
      <c r="D139" s="13">
        <f t="shared" si="17"/>
        <v>4.0158713991252566E-5</v>
      </c>
      <c r="E139" s="13">
        <f t="shared" si="16"/>
        <v>28.914274073701847</v>
      </c>
      <c r="F139" s="13">
        <f t="shared" si="18"/>
        <v>0.14858724176763449</v>
      </c>
      <c r="G139">
        <v>0</v>
      </c>
      <c r="H139" s="12">
        <v>0</v>
      </c>
      <c r="I139" s="25">
        <f t="shared" si="19"/>
        <v>28.914274073701847</v>
      </c>
      <c r="J139" s="25">
        <f t="shared" si="20"/>
        <v>0.14858724176763449</v>
      </c>
    </row>
    <row r="140" spans="1:10" x14ac:dyDescent="0.2">
      <c r="A140" s="516" t="s">
        <v>523</v>
      </c>
      <c r="B140" t="s">
        <v>546</v>
      </c>
      <c r="C140" s="13">
        <f>VLOOKUP(B140,'Organic TAC EFs'!$B$4:$J$58,8,FALSE)</f>
        <v>2.4935557486719478E-5</v>
      </c>
      <c r="D140" s="13">
        <f t="shared" si="17"/>
        <v>2.4935557486719478E-5</v>
      </c>
      <c r="E140" s="13">
        <f t="shared" si="16"/>
        <v>17.953601390438024</v>
      </c>
      <c r="F140" s="13">
        <f t="shared" si="18"/>
        <v>9.2261562700862068E-2</v>
      </c>
      <c r="G140">
        <v>0</v>
      </c>
      <c r="H140" s="12">
        <v>0</v>
      </c>
      <c r="I140" s="25">
        <f t="shared" si="19"/>
        <v>17.953601390438024</v>
      </c>
      <c r="J140" s="25">
        <f t="shared" si="20"/>
        <v>9.2261562700862068E-2</v>
      </c>
    </row>
    <row r="141" spans="1:10" x14ac:dyDescent="0.2">
      <c r="A141" s="516" t="s">
        <v>528</v>
      </c>
      <c r="B141" t="s">
        <v>547</v>
      </c>
      <c r="C141" s="13">
        <f>VLOOKUP(B141,'Organic TAC EFs'!$B$4:$J$58,8,FALSE)</f>
        <v>4.2944287815440976E-5</v>
      </c>
      <c r="D141" s="13">
        <f t="shared" si="17"/>
        <v>4.2944287815440976E-5</v>
      </c>
      <c r="E141" s="13">
        <f t="shared" ref="E141:E148" si="24">C141*$B$42</f>
        <v>30.919887227117503</v>
      </c>
      <c r="F141" s="13">
        <f t="shared" ref="F141:F148" si="25">D141*$B$41</f>
        <v>0.15889386491713162</v>
      </c>
      <c r="G141">
        <v>0</v>
      </c>
      <c r="H141" s="12">
        <v>0</v>
      </c>
      <c r="I141" s="25">
        <f t="shared" si="19"/>
        <v>30.919887227117503</v>
      </c>
      <c r="J141" s="25">
        <f t="shared" si="20"/>
        <v>0.15889386491713162</v>
      </c>
    </row>
    <row r="142" spans="1:10" x14ac:dyDescent="0.2">
      <c r="A142" s="515">
        <v>646</v>
      </c>
      <c r="B142" t="s">
        <v>681</v>
      </c>
      <c r="C142" s="13">
        <f>_xlfn.XLOOKUP(B142,'Recommended Emission Factors'!$A$5:$A$11,'Recommended Emission Factors'!$K$5:$K$11)</f>
        <v>3.1675870348139258E-10</v>
      </c>
      <c r="D142" s="13">
        <f t="shared" ref="D142:D148" si="26">C142</f>
        <v>3.1675870348139258E-10</v>
      </c>
      <c r="E142" s="13">
        <f t="shared" si="24"/>
        <v>2.2806626650660264E-4</v>
      </c>
      <c r="F142" s="13">
        <f t="shared" si="25"/>
        <v>1.1720072028811525E-6</v>
      </c>
      <c r="G142">
        <v>0</v>
      </c>
      <c r="H142" s="12">
        <v>0</v>
      </c>
      <c r="I142" s="25">
        <f t="shared" si="19"/>
        <v>2.2806626650660264E-4</v>
      </c>
      <c r="J142" s="25">
        <f t="shared" si="20"/>
        <v>1.1720072028811525E-6</v>
      </c>
    </row>
    <row r="143" spans="1:10" x14ac:dyDescent="0.2">
      <c r="A143" s="515">
        <v>645</v>
      </c>
      <c r="B143" t="s">
        <v>680</v>
      </c>
      <c r="C143" s="13">
        <f>_xlfn.XLOOKUP(B143,'Recommended Emission Factors'!$A$5:$A$11,'Recommended Emission Factors'!$K$5:$K$11)</f>
        <v>7.9500352038191775E-11</v>
      </c>
      <c r="D143" s="13">
        <f t="shared" si="26"/>
        <v>7.9500352038191775E-11</v>
      </c>
      <c r="E143" s="13">
        <f t="shared" si="24"/>
        <v>5.7240253467498076E-5</v>
      </c>
      <c r="F143" s="13">
        <f t="shared" si="25"/>
        <v>2.9415130254130957E-7</v>
      </c>
      <c r="G143">
        <v>0</v>
      </c>
      <c r="H143" s="12">
        <v>0</v>
      </c>
      <c r="I143" s="25">
        <f t="shared" si="19"/>
        <v>5.7240253467498076E-5</v>
      </c>
      <c r="J143" s="25">
        <f t="shared" si="20"/>
        <v>2.9415130254130957E-7</v>
      </c>
    </row>
    <row r="144" spans="1:10" x14ac:dyDescent="0.2">
      <c r="A144" s="515">
        <v>401</v>
      </c>
      <c r="B144" t="s">
        <v>689</v>
      </c>
      <c r="C144" s="13">
        <f>_xlfn.XLOOKUP(B144,'Recommended Emission Factors'!$A$5:$A$11,'Recommended Emission Factors'!$K$5:$K$11)</f>
        <v>4.3582356341166588E-6</v>
      </c>
      <c r="D144" s="13">
        <f t="shared" si="26"/>
        <v>4.3582356341166588E-6</v>
      </c>
      <c r="E144" s="13">
        <f t="shared" si="24"/>
        <v>3.1379296565639945</v>
      </c>
      <c r="F144" s="13">
        <f t="shared" si="25"/>
        <v>1.6125471846231639E-2</v>
      </c>
      <c r="G144">
        <v>0</v>
      </c>
      <c r="H144" s="12">
        <v>0</v>
      </c>
      <c r="I144" s="25">
        <f t="shared" si="19"/>
        <v>3.1379296565639945</v>
      </c>
      <c r="J144" s="25">
        <f t="shared" si="20"/>
        <v>1.6125471846231639E-2</v>
      </c>
    </row>
    <row r="145" spans="1:11" x14ac:dyDescent="0.2">
      <c r="A145" s="515" t="s">
        <v>107</v>
      </c>
      <c r="B145" t="s">
        <v>19</v>
      </c>
      <c r="C145" s="13">
        <f>_xlfn.XLOOKUP(B145,'Recommended Emission Factors'!$A$5:$A$11,'Recommended Emission Factors'!$K$5:$K$11)</f>
        <v>4.539360571263579E-4</v>
      </c>
      <c r="D145" s="13">
        <f t="shared" si="26"/>
        <v>4.539360571263579E-4</v>
      </c>
      <c r="E145" s="13">
        <f t="shared" si="24"/>
        <v>326.83396113097768</v>
      </c>
      <c r="F145" s="13">
        <f t="shared" si="25"/>
        <v>1.6795634113675242</v>
      </c>
      <c r="G145">
        <v>0</v>
      </c>
      <c r="H145" s="12">
        <v>0</v>
      </c>
      <c r="I145" s="25">
        <f t="shared" si="19"/>
        <v>326.83396113097768</v>
      </c>
      <c r="J145" s="25">
        <f t="shared" si="20"/>
        <v>1.6795634113675242</v>
      </c>
    </row>
    <row r="146" spans="1:11" x14ac:dyDescent="0.2">
      <c r="A146" s="515" t="s">
        <v>192</v>
      </c>
      <c r="B146" t="s">
        <v>223</v>
      </c>
      <c r="C146" s="13">
        <f>_xlfn.XLOOKUP(B146,'Recommended Emission Factors'!$A$5:$A$11,'Recommended Emission Factors'!$K$5:$K$11)</f>
        <v>3.0796446228572507E-7</v>
      </c>
      <c r="D146" s="13">
        <f t="shared" si="26"/>
        <v>3.0796446228572507E-7</v>
      </c>
      <c r="E146" s="13">
        <f t="shared" si="24"/>
        <v>0.22173441284572204</v>
      </c>
      <c r="F146" s="13">
        <f t="shared" si="25"/>
        <v>1.1394685104571829E-3</v>
      </c>
      <c r="G146">
        <v>0</v>
      </c>
      <c r="H146" s="12">
        <v>0</v>
      </c>
      <c r="I146" s="25">
        <f t="shared" si="19"/>
        <v>0.22173441284572204</v>
      </c>
      <c r="J146" s="25">
        <f t="shared" si="20"/>
        <v>1.1394685104571829E-3</v>
      </c>
    </row>
    <row r="147" spans="1:11" x14ac:dyDescent="0.2">
      <c r="A147" s="515" t="s">
        <v>686</v>
      </c>
      <c r="B147" t="s">
        <v>655</v>
      </c>
      <c r="C147" s="13">
        <f>_xlfn.XLOOKUP(B147,'Recommended Emission Factors'!$A$5:$A$11,'Recommended Emission Factors'!$K$5:$K$11)</f>
        <v>1.1127801469450018E-6</v>
      </c>
      <c r="D147" s="13">
        <f t="shared" si="26"/>
        <v>1.1127801469450018E-6</v>
      </c>
      <c r="E147" s="13">
        <f t="shared" si="24"/>
        <v>0.80120170580040129</v>
      </c>
      <c r="F147" s="13">
        <f t="shared" si="25"/>
        <v>4.1172865436965066E-3</v>
      </c>
      <c r="G147">
        <v>0</v>
      </c>
      <c r="H147" s="12">
        <v>0</v>
      </c>
      <c r="I147" s="25">
        <f t="shared" si="19"/>
        <v>0.80120170580040129</v>
      </c>
      <c r="J147" s="25">
        <f t="shared" si="20"/>
        <v>4.1172865436965066E-3</v>
      </c>
    </row>
    <row r="148" spans="1:11" x14ac:dyDescent="0.2">
      <c r="A148" s="515">
        <v>447</v>
      </c>
      <c r="B148" t="s">
        <v>661</v>
      </c>
      <c r="C148" s="13">
        <f>_xlfn.XLOOKUP(B148,'Recommended Emission Factors'!$A$5:$A$11,'Recommended Emission Factors'!$K$5:$K$11)</f>
        <v>1.2351859631089521E-7</v>
      </c>
      <c r="D148" s="13">
        <f t="shared" si="26"/>
        <v>1.2351859631089521E-7</v>
      </c>
      <c r="E148" s="13">
        <f t="shared" si="24"/>
        <v>8.8933389343844552E-2</v>
      </c>
      <c r="F148" s="13">
        <f t="shared" si="25"/>
        <v>4.5701880635031227E-4</v>
      </c>
      <c r="G148">
        <v>0</v>
      </c>
      <c r="H148" s="12">
        <v>0</v>
      </c>
      <c r="I148" s="25">
        <f t="shared" si="19"/>
        <v>8.8933389343844552E-2</v>
      </c>
      <c r="J148" s="25">
        <f t="shared" si="20"/>
        <v>4.5701880635031227E-4</v>
      </c>
    </row>
    <row r="149" spans="1:11" x14ac:dyDescent="0.2">
      <c r="A149" s="519">
        <v>239</v>
      </c>
      <c r="B149" s="477" t="s">
        <v>104</v>
      </c>
      <c r="C149" s="478">
        <v>3.5000000000000001E-3</v>
      </c>
      <c r="D149" s="478">
        <f>C149</f>
        <v>3.5000000000000001E-3</v>
      </c>
      <c r="E149" s="13">
        <f>C149*$B$42*B48</f>
        <v>420.84000000000003</v>
      </c>
      <c r="F149" s="13">
        <f>D149*$B$41*B48</f>
        <v>2.1626500000000002</v>
      </c>
      <c r="G149">
        <v>0</v>
      </c>
      <c r="H149" s="12">
        <v>0</v>
      </c>
      <c r="I149" s="25">
        <f t="shared" si="19"/>
        <v>420.84000000000003</v>
      </c>
      <c r="J149" s="25">
        <f t="shared" si="20"/>
        <v>2.1626500000000002</v>
      </c>
    </row>
    <row r="153" spans="1:11" x14ac:dyDescent="0.2">
      <c r="K153" s="13"/>
    </row>
    <row r="161" spans="1:14" ht="19" x14ac:dyDescent="0.25">
      <c r="A161" s="521" t="s">
        <v>343</v>
      </c>
    </row>
    <row r="162" spans="1:14" x14ac:dyDescent="0.2">
      <c r="C162" s="547" t="s">
        <v>333</v>
      </c>
      <c r="D162" s="547"/>
      <c r="E162" s="547"/>
      <c r="F162" s="547"/>
      <c r="G162" s="547"/>
      <c r="H162" s="547"/>
    </row>
    <row r="163" spans="1:14" ht="51" x14ac:dyDescent="0.2">
      <c r="A163" s="522" t="s">
        <v>209</v>
      </c>
      <c r="B163" s="29" t="s">
        <v>208</v>
      </c>
      <c r="C163" s="29" t="s">
        <v>348</v>
      </c>
      <c r="D163" s="29" t="s">
        <v>349</v>
      </c>
      <c r="E163" s="29" t="s">
        <v>350</v>
      </c>
      <c r="F163" s="29" t="s">
        <v>351</v>
      </c>
      <c r="G163" s="29"/>
      <c r="H163" s="29"/>
      <c r="I163" s="29"/>
      <c r="J163" s="29"/>
    </row>
    <row r="164" spans="1:14" x14ac:dyDescent="0.2">
      <c r="A164" s="516" t="s">
        <v>82</v>
      </c>
      <c r="B164" t="s">
        <v>245</v>
      </c>
      <c r="C164" s="13">
        <f>IFERROR(VLOOKUP(B164,Filter_Analysis!$B$43:$I$54,8,FALSE),0)</f>
        <v>7.1265661927330916E-5</v>
      </c>
      <c r="D164" s="13">
        <f>C164</f>
        <v>7.1265661927330916E-5</v>
      </c>
      <c r="E164" s="13">
        <f t="shared" ref="E164:E193" si="27">C164*$B$42</f>
        <v>51.311276587678257</v>
      </c>
      <c r="F164" s="13">
        <f>D164*$B$41</f>
        <v>0.26368294913112439</v>
      </c>
      <c r="G164" s="13"/>
      <c r="H164" s="13"/>
      <c r="I164" s="25"/>
      <c r="J164" s="25"/>
      <c r="L164" s="11"/>
      <c r="M164" s="11"/>
    </row>
    <row r="165" spans="1:14" x14ac:dyDescent="0.2">
      <c r="A165" s="516" t="s">
        <v>174</v>
      </c>
      <c r="B165" t="s">
        <v>246</v>
      </c>
      <c r="C165" s="13">
        <f>IFERROR(VLOOKUP(B165,Filter_Analysis!$B$43:$I$54,8,FALSE),0)</f>
        <v>0</v>
      </c>
      <c r="D165" s="13">
        <f t="shared" ref="D165:D179" si="28">C165</f>
        <v>0</v>
      </c>
      <c r="E165" s="13">
        <f t="shared" si="27"/>
        <v>0</v>
      </c>
      <c r="F165" s="13">
        <f t="shared" ref="F165:F200" si="29">D165*$B$41</f>
        <v>0</v>
      </c>
      <c r="G165" s="13"/>
      <c r="H165" s="13"/>
      <c r="I165" s="25"/>
      <c r="J165" s="25"/>
      <c r="L165" s="11"/>
      <c r="M165" s="11"/>
    </row>
    <row r="166" spans="1:14" x14ac:dyDescent="0.2">
      <c r="A166" s="516" t="s">
        <v>83</v>
      </c>
      <c r="B166" t="s">
        <v>247</v>
      </c>
      <c r="C166" s="13">
        <f>IFERROR(VLOOKUP(B166,Filter_Analysis!$B$43:$I$54,8,FALSE),0)</f>
        <v>0</v>
      </c>
      <c r="D166" s="13">
        <f t="shared" si="28"/>
        <v>0</v>
      </c>
      <c r="E166" s="13">
        <f t="shared" si="27"/>
        <v>0</v>
      </c>
      <c r="F166" s="13">
        <f t="shared" si="29"/>
        <v>0</v>
      </c>
      <c r="G166" s="13"/>
      <c r="H166" s="13"/>
      <c r="I166" s="25"/>
      <c r="J166" s="25"/>
      <c r="L166" s="11"/>
      <c r="M166" s="11"/>
    </row>
    <row r="167" spans="1:14" x14ac:dyDescent="0.2">
      <c r="A167" s="515" t="s">
        <v>93</v>
      </c>
      <c r="B167" t="s">
        <v>248</v>
      </c>
      <c r="C167" s="13">
        <f>IFERROR(VLOOKUP(B167,Filter_Analysis!$B$43:$I$54,8,FALSE),0)</f>
        <v>0</v>
      </c>
      <c r="D167" s="13">
        <f t="shared" si="28"/>
        <v>0</v>
      </c>
      <c r="E167" s="13">
        <f t="shared" si="27"/>
        <v>0</v>
      </c>
      <c r="F167" s="13">
        <f t="shared" si="29"/>
        <v>0</v>
      </c>
      <c r="G167" s="13"/>
      <c r="H167" s="13"/>
      <c r="I167" s="25"/>
      <c r="J167" s="25"/>
      <c r="L167" s="11"/>
      <c r="M167" s="11"/>
    </row>
    <row r="168" spans="1:14" x14ac:dyDescent="0.2">
      <c r="A168" s="516" t="s">
        <v>84</v>
      </c>
      <c r="B168" t="s">
        <v>253</v>
      </c>
      <c r="C168" s="13">
        <f>IFERROR(VLOOKUP(B168,Filter_Analysis!$B$43:$I$54,8,FALSE),0)</f>
        <v>0</v>
      </c>
      <c r="D168" s="13">
        <f t="shared" si="28"/>
        <v>0</v>
      </c>
      <c r="E168" s="13">
        <f t="shared" si="27"/>
        <v>0</v>
      </c>
      <c r="F168" s="13">
        <f t="shared" si="29"/>
        <v>0</v>
      </c>
      <c r="G168" s="13"/>
      <c r="H168" s="13"/>
      <c r="I168" s="25"/>
      <c r="J168" s="25"/>
      <c r="L168" s="11"/>
      <c r="M168" s="11"/>
    </row>
    <row r="169" spans="1:14" x14ac:dyDescent="0.2">
      <c r="A169" s="516" t="s">
        <v>85</v>
      </c>
      <c r="B169" t="s">
        <v>215</v>
      </c>
      <c r="C169" s="13">
        <f>IFERROR(VLOOKUP(B169,Filter_Analysis!$B$43:$I$54,8,FALSE),0)*$B$44*$B$46</f>
        <v>9.9109035253081598E-8</v>
      </c>
      <c r="D169" s="13">
        <f>C169/$B$46*$B$45</f>
        <v>4.8052865577251684E-6</v>
      </c>
      <c r="E169" s="13">
        <f t="shared" si="27"/>
        <v>7.1358505382218745E-2</v>
      </c>
      <c r="F169" s="13">
        <f t="shared" si="29"/>
        <v>1.7779560263583124E-2</v>
      </c>
      <c r="G169" s="13"/>
      <c r="H169" s="13"/>
      <c r="I169" s="25"/>
      <c r="J169" s="25"/>
      <c r="K169" s="13"/>
      <c r="L169" s="11"/>
      <c r="M169" s="11"/>
      <c r="N169" s="13"/>
    </row>
    <row r="170" spans="1:14" x14ac:dyDescent="0.2">
      <c r="A170" s="516" t="s">
        <v>86</v>
      </c>
      <c r="B170" t="s">
        <v>249</v>
      </c>
      <c r="C170" s="13">
        <f>IFERROR(VLOOKUP(B170,Filter_Analysis!$B$43:$I$54,8,FALSE),0)</f>
        <v>0</v>
      </c>
      <c r="D170" s="13">
        <f t="shared" si="28"/>
        <v>0</v>
      </c>
      <c r="E170" s="13">
        <f t="shared" si="27"/>
        <v>0</v>
      </c>
      <c r="F170" s="13">
        <f t="shared" si="29"/>
        <v>0</v>
      </c>
      <c r="G170" s="13"/>
      <c r="H170" s="13"/>
      <c r="I170" s="25"/>
      <c r="J170" s="25"/>
      <c r="L170" s="11"/>
      <c r="M170" s="11"/>
    </row>
    <row r="171" spans="1:14" x14ac:dyDescent="0.2">
      <c r="A171" s="516" t="s">
        <v>87</v>
      </c>
      <c r="B171" t="s">
        <v>214</v>
      </c>
      <c r="C171" s="13">
        <f>IFERROR(VLOOKUP(B171,Filter_Analysis!$B$43:$I$54,8,FALSE),0)</f>
        <v>0</v>
      </c>
      <c r="D171" s="13">
        <f t="shared" si="28"/>
        <v>0</v>
      </c>
      <c r="E171" s="13">
        <f t="shared" si="27"/>
        <v>0</v>
      </c>
      <c r="F171" s="13">
        <f t="shared" si="29"/>
        <v>0</v>
      </c>
      <c r="G171" s="13"/>
      <c r="H171" s="13"/>
      <c r="I171" s="25"/>
      <c r="J171" s="25"/>
      <c r="L171" s="11"/>
      <c r="M171" s="11"/>
    </row>
    <row r="172" spans="1:14" x14ac:dyDescent="0.2">
      <c r="A172" s="516" t="s">
        <v>88</v>
      </c>
      <c r="B172" t="s">
        <v>216</v>
      </c>
      <c r="C172" s="13">
        <f>IFERROR(VLOOKUP(B172,Filter_Analysis!$B$43:$I$54,8,FALSE),0)</f>
        <v>3.140520695102718E-6</v>
      </c>
      <c r="D172" s="13">
        <f t="shared" si="28"/>
        <v>3.140520695102718E-6</v>
      </c>
      <c r="E172" s="13">
        <f t="shared" si="27"/>
        <v>2.2611749004739572</v>
      </c>
      <c r="F172" s="13">
        <f t="shared" si="29"/>
        <v>1.1619926571880056E-2</v>
      </c>
      <c r="G172" s="13"/>
      <c r="H172" s="13"/>
      <c r="I172" s="25"/>
      <c r="J172" s="25"/>
      <c r="L172" s="11"/>
      <c r="M172" s="11"/>
    </row>
    <row r="173" spans="1:14" x14ac:dyDescent="0.2">
      <c r="A173" s="516" t="s">
        <v>89</v>
      </c>
      <c r="B173" t="s">
        <v>213</v>
      </c>
      <c r="C173" s="13">
        <f>IFERROR(VLOOKUP(B173,Filter_Analysis!$B$43:$I$54,8,FALSE),0)</f>
        <v>5.1939380726698815E-6</v>
      </c>
      <c r="D173" s="13">
        <f t="shared" si="28"/>
        <v>5.1939380726698815E-6</v>
      </c>
      <c r="E173" s="13">
        <f t="shared" si="27"/>
        <v>3.7396354123223148</v>
      </c>
      <c r="F173" s="13">
        <f t="shared" si="29"/>
        <v>1.9217570868878563E-2</v>
      </c>
      <c r="G173" s="13"/>
      <c r="H173" s="13"/>
      <c r="I173" s="25"/>
      <c r="J173" s="25"/>
      <c r="L173" s="11"/>
      <c r="M173" s="11"/>
    </row>
    <row r="174" spans="1:14" x14ac:dyDescent="0.2">
      <c r="A174" s="516" t="s">
        <v>90</v>
      </c>
      <c r="B174" t="s">
        <v>230</v>
      </c>
      <c r="C174" s="13">
        <f>IFERROR(VLOOKUP(B174,Filter_Analysis!$B$43:$I$54,8,FALSE),0)</f>
        <v>5.3992798104265958E-8</v>
      </c>
      <c r="D174" s="13">
        <f t="shared" si="28"/>
        <v>5.3992798104265958E-8</v>
      </c>
      <c r="E174" s="13">
        <f t="shared" si="27"/>
        <v>3.8874814635071489E-2</v>
      </c>
      <c r="F174" s="13">
        <f t="shared" si="29"/>
        <v>1.9977335298578403E-4</v>
      </c>
      <c r="G174" s="13"/>
      <c r="H174" s="13"/>
      <c r="I174" s="25"/>
      <c r="J174" s="25"/>
      <c r="L174" s="11"/>
      <c r="M174" s="11"/>
    </row>
    <row r="175" spans="1:14" x14ac:dyDescent="0.2">
      <c r="A175" s="515">
        <v>365</v>
      </c>
      <c r="B175" t="s">
        <v>231</v>
      </c>
      <c r="C175" s="13">
        <f>IFERROR(VLOOKUP(B175,Filter_Analysis!$B$43:$I$54,8,FALSE),0)</f>
        <v>0</v>
      </c>
      <c r="D175" s="13">
        <f t="shared" si="28"/>
        <v>0</v>
      </c>
      <c r="E175" s="13">
        <f t="shared" si="27"/>
        <v>0</v>
      </c>
      <c r="F175" s="13">
        <f t="shared" si="29"/>
        <v>0</v>
      </c>
      <c r="G175" s="13"/>
      <c r="H175" s="13"/>
      <c r="I175" s="25"/>
      <c r="J175" s="25"/>
      <c r="L175" s="11"/>
      <c r="M175" s="11"/>
    </row>
    <row r="176" spans="1:14" x14ac:dyDescent="0.2">
      <c r="A176" s="515">
        <v>504</v>
      </c>
      <c r="B176" t="s">
        <v>254</v>
      </c>
      <c r="C176" s="13">
        <f>IFERROR(VLOOKUP(B176,Filter_Analysis!$B$43:$I$54,8,FALSE),0)</f>
        <v>0</v>
      </c>
      <c r="D176" s="13">
        <f t="shared" si="28"/>
        <v>0</v>
      </c>
      <c r="E176" s="13">
        <f t="shared" si="27"/>
        <v>0</v>
      </c>
      <c r="F176" s="13">
        <f t="shared" si="29"/>
        <v>0</v>
      </c>
      <c r="G176" s="13"/>
      <c r="H176" s="13"/>
      <c r="I176" s="25"/>
      <c r="J176" s="25"/>
      <c r="L176" s="11"/>
      <c r="M176" s="11"/>
    </row>
    <row r="177" spans="1:13" x14ac:dyDescent="0.2">
      <c r="A177" s="516" t="s">
        <v>91</v>
      </c>
      <c r="B177" t="s">
        <v>251</v>
      </c>
      <c r="C177" s="13">
        <f>IFERROR(VLOOKUP(B177,Filter_Analysis!$B$43:$I$54,8,FALSE),0)</f>
        <v>0</v>
      </c>
      <c r="D177" s="13">
        <f t="shared" si="28"/>
        <v>0</v>
      </c>
      <c r="E177" s="13">
        <f t="shared" si="27"/>
        <v>0</v>
      </c>
      <c r="F177" s="13">
        <f t="shared" si="29"/>
        <v>0</v>
      </c>
      <c r="G177" s="13"/>
      <c r="H177" s="13"/>
      <c r="I177" s="25"/>
      <c r="J177" s="25"/>
      <c r="L177" s="11"/>
      <c r="M177" s="11"/>
    </row>
    <row r="178" spans="1:13" x14ac:dyDescent="0.2">
      <c r="A178" s="516" t="s">
        <v>92</v>
      </c>
      <c r="B178" t="s">
        <v>197</v>
      </c>
      <c r="C178" s="13">
        <f>IFERROR(VLOOKUP(B178,Filter_Analysis!$B$43:$I$54,8,FALSE),0)</f>
        <v>0</v>
      </c>
      <c r="D178" s="13">
        <f t="shared" si="28"/>
        <v>0</v>
      </c>
      <c r="E178" s="13">
        <f t="shared" si="27"/>
        <v>0</v>
      </c>
      <c r="F178" s="13">
        <f t="shared" si="29"/>
        <v>0</v>
      </c>
      <c r="G178" s="13"/>
      <c r="H178" s="13"/>
      <c r="I178" s="25"/>
      <c r="J178" s="25"/>
      <c r="L178" s="11"/>
      <c r="M178" s="11"/>
    </row>
    <row r="179" spans="1:13" x14ac:dyDescent="0.2">
      <c r="A179" s="516" t="s">
        <v>94</v>
      </c>
      <c r="B179" t="s">
        <v>252</v>
      </c>
      <c r="C179" s="13">
        <f>IFERROR(VLOOKUP(B179,Filter_Analysis!$B$43:$I$54,8,FALSE),0)</f>
        <v>3.8410983886256321E-5</v>
      </c>
      <c r="D179" s="13">
        <f t="shared" si="28"/>
        <v>3.8410983886256321E-5</v>
      </c>
      <c r="E179" s="13">
        <f t="shared" si="27"/>
        <v>27.65590839810455</v>
      </c>
      <c r="F179" s="13">
        <f t="shared" si="29"/>
        <v>0.1421206403791484</v>
      </c>
      <c r="G179" s="13"/>
      <c r="H179" s="13"/>
      <c r="I179" s="25"/>
      <c r="J179" s="25"/>
      <c r="L179" s="11"/>
      <c r="M179" s="11"/>
    </row>
    <row r="180" spans="1:13" x14ac:dyDescent="0.2">
      <c r="A180" s="516" t="s">
        <v>100</v>
      </c>
      <c r="B180" t="s">
        <v>15</v>
      </c>
      <c r="C180" s="13">
        <f>VLOOKUP(B180,'Organic TAC EFs'!$B$4:$J$58,9,FALSE)</f>
        <v>1.1615846338535413E-3</v>
      </c>
      <c r="D180" s="13">
        <f>C180</f>
        <v>1.1615846338535413E-3</v>
      </c>
      <c r="E180" s="13">
        <f t="shared" si="27"/>
        <v>836.34093637454976</v>
      </c>
      <c r="F180" s="13">
        <f t="shared" si="29"/>
        <v>4.2978631452581029</v>
      </c>
      <c r="G180" s="13"/>
      <c r="H180" s="13"/>
      <c r="I180" s="25"/>
      <c r="J180" s="25"/>
      <c r="L180" s="11"/>
      <c r="M180" s="11"/>
    </row>
    <row r="181" spans="1:13" x14ac:dyDescent="0.2">
      <c r="A181" s="516" t="s">
        <v>102</v>
      </c>
      <c r="B181" t="s">
        <v>226</v>
      </c>
      <c r="C181" s="13">
        <f>VLOOKUP(B181,'Organic TAC EFs'!$B$4:$J$58,9,FALSE)</f>
        <v>6.174450329347967E-5</v>
      </c>
      <c r="D181" s="13">
        <f t="shared" ref="D181:D193" si="30">C181</f>
        <v>6.174450329347967E-5</v>
      </c>
      <c r="E181" s="13">
        <f t="shared" si="27"/>
        <v>44.456042371305365</v>
      </c>
      <c r="F181" s="13">
        <f t="shared" si="29"/>
        <v>0.22845466218587479</v>
      </c>
      <c r="G181" s="13"/>
      <c r="H181" s="13"/>
      <c r="I181" s="25"/>
      <c r="J181" s="25"/>
      <c r="L181" s="11"/>
      <c r="M181" s="11"/>
    </row>
    <row r="182" spans="1:13" x14ac:dyDescent="0.2">
      <c r="A182" s="516" t="s">
        <v>108</v>
      </c>
      <c r="B182" t="s">
        <v>20</v>
      </c>
      <c r="C182" s="13">
        <f>VLOOKUP(B182,'Organic TAC EFs'!$B$4:$J$58,9,FALSE)</f>
        <v>1.196488223561448E-4</v>
      </c>
      <c r="D182" s="13">
        <f t="shared" si="30"/>
        <v>1.196488223561448E-4</v>
      </c>
      <c r="E182" s="13">
        <f t="shared" si="27"/>
        <v>86.14715209642425</v>
      </c>
      <c r="F182" s="13">
        <f t="shared" si="29"/>
        <v>0.44270064271773574</v>
      </c>
      <c r="G182" s="13"/>
      <c r="H182" s="13"/>
      <c r="I182" s="25"/>
      <c r="J182" s="25"/>
      <c r="L182" s="11"/>
      <c r="M182" s="11"/>
    </row>
    <row r="183" spans="1:13" x14ac:dyDescent="0.2">
      <c r="A183" s="516" t="s">
        <v>109</v>
      </c>
      <c r="B183" t="s">
        <v>21</v>
      </c>
      <c r="C183" s="13">
        <f>VLOOKUP(B183,'Organic TAC EFs'!$B$4:$J$58,9,FALSE)</f>
        <v>1.6403738479549808E-4</v>
      </c>
      <c r="D183" s="13">
        <f t="shared" si="30"/>
        <v>1.6403738479549808E-4</v>
      </c>
      <c r="E183" s="13">
        <f t="shared" si="27"/>
        <v>118.10691705275862</v>
      </c>
      <c r="F183" s="13">
        <f t="shared" si="29"/>
        <v>0.60693832374334289</v>
      </c>
      <c r="G183" s="13"/>
      <c r="H183" s="13"/>
      <c r="I183" s="25"/>
      <c r="J183" s="25"/>
      <c r="L183" s="11"/>
      <c r="M183" s="11"/>
    </row>
    <row r="184" spans="1:13" x14ac:dyDescent="0.2">
      <c r="A184" s="516" t="s">
        <v>111</v>
      </c>
      <c r="B184" t="s">
        <v>234</v>
      </c>
      <c r="C184" s="13">
        <f>VLOOKUP(B184,'Organic TAC EFs'!$B$4:$J$58,9,FALSE)</f>
        <v>3.9369018434471975E-5</v>
      </c>
      <c r="D184" s="13">
        <f t="shared" si="30"/>
        <v>3.9369018434471975E-5</v>
      </c>
      <c r="E184" s="13">
        <f t="shared" si="27"/>
        <v>28.345693272819823</v>
      </c>
      <c r="F184" s="13">
        <f t="shared" si="29"/>
        <v>0.1456653682075463</v>
      </c>
      <c r="G184" s="13"/>
      <c r="H184" s="13"/>
      <c r="I184" s="25"/>
      <c r="J184" s="25"/>
      <c r="L184" s="11"/>
      <c r="M184" s="11"/>
    </row>
    <row r="185" spans="1:13" x14ac:dyDescent="0.2">
      <c r="A185" s="516" t="s">
        <v>101</v>
      </c>
      <c r="B185" t="s">
        <v>16</v>
      </c>
      <c r="C185" s="13">
        <f>VLOOKUP(B185,'Organic TAC EFs'!$B$4:$J$58,9,FALSE)</f>
        <v>1.4211444722706676E-5</v>
      </c>
      <c r="D185" s="13">
        <f t="shared" si="30"/>
        <v>1.4211444722706676E-5</v>
      </c>
      <c r="E185" s="13">
        <f t="shared" si="27"/>
        <v>10.232240200348807</v>
      </c>
      <c r="F185" s="13">
        <f t="shared" si="29"/>
        <v>5.2582345474014698E-2</v>
      </c>
      <c r="G185" s="13"/>
      <c r="H185" s="13"/>
      <c r="I185" s="25"/>
      <c r="J185" s="25"/>
      <c r="L185" s="11"/>
      <c r="M185" s="11"/>
    </row>
    <row r="186" spans="1:13" x14ac:dyDescent="0.2">
      <c r="A186" s="516" t="s">
        <v>103</v>
      </c>
      <c r="B186" t="s">
        <v>32</v>
      </c>
      <c r="C186" s="13">
        <f>VLOOKUP(B186,'Organic TAC EFs'!$B$4:$J$58,9,FALSE)</f>
        <v>2.2697694446545349E-5</v>
      </c>
      <c r="D186" s="13">
        <f t="shared" si="30"/>
        <v>2.2697694446545349E-5</v>
      </c>
      <c r="E186" s="13">
        <f t="shared" si="27"/>
        <v>16.342340001512653</v>
      </c>
      <c r="F186" s="13">
        <f t="shared" si="29"/>
        <v>8.3981469452217794E-2</v>
      </c>
      <c r="G186" s="13"/>
      <c r="H186" s="13"/>
      <c r="I186" s="25"/>
      <c r="J186" s="25"/>
      <c r="L186" s="11"/>
      <c r="M186" s="11"/>
    </row>
    <row r="187" spans="1:13" x14ac:dyDescent="0.2">
      <c r="A187" s="516" t="s">
        <v>110</v>
      </c>
      <c r="B187" t="s">
        <v>541</v>
      </c>
      <c r="C187" s="13">
        <f>VLOOKUP(B187,'Organic TAC EFs'!$B$4:$J$58,9,FALSE)</f>
        <v>8.9028187877969616E-6</v>
      </c>
      <c r="D187" s="13">
        <f t="shared" si="30"/>
        <v>8.9028187877969616E-6</v>
      </c>
      <c r="E187" s="13">
        <f t="shared" si="27"/>
        <v>6.4100295272138128</v>
      </c>
      <c r="F187" s="13">
        <f t="shared" si="29"/>
        <v>3.2940429514848761E-2</v>
      </c>
      <c r="G187" s="13"/>
      <c r="H187" s="13"/>
      <c r="I187" s="25"/>
      <c r="J187" s="25"/>
      <c r="L187" s="11"/>
      <c r="M187" s="11"/>
    </row>
    <row r="188" spans="1:13" x14ac:dyDescent="0.2">
      <c r="A188" s="516" t="s">
        <v>503</v>
      </c>
      <c r="B188" t="s">
        <v>542</v>
      </c>
      <c r="C188" s="13">
        <f>VLOOKUP(B188,'Organic TAC EFs'!$B$4:$J$58,9,FALSE)</f>
        <v>1.2121286798702193E-5</v>
      </c>
      <c r="D188" s="13">
        <f t="shared" si="30"/>
        <v>1.2121286798702193E-5</v>
      </c>
      <c r="E188" s="13">
        <f t="shared" si="27"/>
        <v>8.7273264950655793</v>
      </c>
      <c r="F188" s="13">
        <f t="shared" si="29"/>
        <v>4.4848761155198112E-2</v>
      </c>
      <c r="G188" s="13"/>
      <c r="H188" s="13"/>
      <c r="I188" s="25"/>
      <c r="J188" s="25"/>
      <c r="L188" s="11"/>
      <c r="M188" s="11"/>
    </row>
    <row r="189" spans="1:13" x14ac:dyDescent="0.2">
      <c r="A189" s="516" t="s">
        <v>508</v>
      </c>
      <c r="B189" t="s">
        <v>543</v>
      </c>
      <c r="C189" s="13">
        <f>VLOOKUP(B189,'Organic TAC EFs'!$B$4:$J$58,9,FALSE)</f>
        <v>2.4303854027658042E-5</v>
      </c>
      <c r="D189" s="13">
        <f t="shared" si="30"/>
        <v>2.4303854027658042E-5</v>
      </c>
      <c r="E189" s="13">
        <f t="shared" si="27"/>
        <v>17.498774899913791</v>
      </c>
      <c r="F189" s="13">
        <f t="shared" si="29"/>
        <v>8.9924259902334755E-2</v>
      </c>
      <c r="G189" s="13"/>
      <c r="H189" s="13"/>
      <c r="I189" s="25"/>
      <c r="J189" s="25"/>
      <c r="L189" s="11"/>
      <c r="M189" s="11"/>
    </row>
    <row r="190" spans="1:13" x14ac:dyDescent="0.2">
      <c r="A190" s="516" t="s">
        <v>513</v>
      </c>
      <c r="B190" t="s">
        <v>544</v>
      </c>
      <c r="C190" s="13">
        <f>VLOOKUP(B190,'Organic TAC EFs'!$B$4:$J$58,9,FALSE)</f>
        <v>1.0862321090584443E-5</v>
      </c>
      <c r="D190" s="13">
        <f t="shared" si="30"/>
        <v>1.0862321090584443E-5</v>
      </c>
      <c r="E190" s="13">
        <f t="shared" si="27"/>
        <v>7.820871185220799</v>
      </c>
      <c r="F190" s="13">
        <f t="shared" si="29"/>
        <v>4.0190588035162442E-2</v>
      </c>
      <c r="G190" s="13"/>
      <c r="H190" s="13"/>
      <c r="I190" s="25"/>
      <c r="J190" s="25"/>
      <c r="L190" s="11"/>
      <c r="M190" s="11"/>
    </row>
    <row r="191" spans="1:13" x14ac:dyDescent="0.2">
      <c r="A191" s="516" t="s">
        <v>518</v>
      </c>
      <c r="B191" t="s">
        <v>545</v>
      </c>
      <c r="C191" s="13">
        <f>VLOOKUP(B191,'Organic TAC EFs'!$B$4:$J$58,9,FALSE)</f>
        <v>2.4047134126498542E-5</v>
      </c>
      <c r="D191" s="13">
        <f t="shared" si="30"/>
        <v>2.4047134126498542E-5</v>
      </c>
      <c r="E191" s="13">
        <f t="shared" si="27"/>
        <v>17.313936571078951</v>
      </c>
      <c r="F191" s="13">
        <f t="shared" si="29"/>
        <v>8.8974396268044598E-2</v>
      </c>
      <c r="G191" s="13"/>
      <c r="H191" s="13"/>
      <c r="I191" s="25"/>
      <c r="J191" s="25"/>
      <c r="L191" s="11"/>
      <c r="M191" s="11"/>
    </row>
    <row r="192" spans="1:13" x14ac:dyDescent="0.2">
      <c r="A192" s="516" t="s">
        <v>523</v>
      </c>
      <c r="B192" t="s">
        <v>546</v>
      </c>
      <c r="C192" s="13">
        <f>VLOOKUP(B192,'Organic TAC EFs'!$B$4:$J$58,9,FALSE)</f>
        <v>1.493147154893382E-5</v>
      </c>
      <c r="D192" s="13">
        <f t="shared" si="30"/>
        <v>1.493147154893382E-5</v>
      </c>
      <c r="E192" s="13">
        <f t="shared" si="27"/>
        <v>10.75065951523235</v>
      </c>
      <c r="F192" s="13">
        <f t="shared" si="29"/>
        <v>5.5246444731055132E-2</v>
      </c>
      <c r="G192" s="13"/>
      <c r="H192" s="13"/>
      <c r="I192" s="25"/>
      <c r="J192" s="25"/>
      <c r="L192" s="11"/>
      <c r="M192" s="11"/>
    </row>
    <row r="193" spans="1:13" x14ac:dyDescent="0.2">
      <c r="A193" s="516" t="s">
        <v>528</v>
      </c>
      <c r="B193" t="s">
        <v>547</v>
      </c>
      <c r="C193" s="13">
        <f>VLOOKUP(B193,'Organic TAC EFs'!$B$4:$J$58,9,FALSE)</f>
        <v>2.5715142404455676E-5</v>
      </c>
      <c r="D193" s="13">
        <f t="shared" si="30"/>
        <v>2.5715142404455676E-5</v>
      </c>
      <c r="E193" s="13">
        <f t="shared" si="27"/>
        <v>18.514902531208087</v>
      </c>
      <c r="F193" s="13">
        <f t="shared" si="29"/>
        <v>9.5146026896486005E-2</v>
      </c>
      <c r="G193" s="13"/>
      <c r="H193" s="13"/>
      <c r="I193" s="25"/>
      <c r="J193" s="25"/>
      <c r="L193" s="11"/>
      <c r="M193" s="11"/>
    </row>
    <row r="194" spans="1:13" x14ac:dyDescent="0.2">
      <c r="A194" s="515" t="s">
        <v>1930</v>
      </c>
      <c r="B194" t="s">
        <v>681</v>
      </c>
      <c r="C194" s="13">
        <f>_xlfn.XLOOKUP(B194,'Recommended Emission Factors'!$A$5:$A$11,'Recommended Emission Factors'!$L$5:$L$11)</f>
        <v>1.8967587034813927E-10</v>
      </c>
      <c r="D194" s="13">
        <f t="shared" ref="D194:D200" si="31">C194</f>
        <v>1.8967587034813927E-10</v>
      </c>
      <c r="E194" s="13">
        <f t="shared" ref="E194:E200" si="32">C194*$B$42</f>
        <v>1.3656662665066028E-4</v>
      </c>
      <c r="F194" s="13">
        <f t="shared" si="29"/>
        <v>7.0180072028811525E-7</v>
      </c>
      <c r="G194" s="13"/>
      <c r="H194" s="13"/>
      <c r="I194" s="25"/>
      <c r="J194" s="25"/>
      <c r="L194" s="11"/>
      <c r="M194" s="11"/>
    </row>
    <row r="195" spans="1:13" x14ac:dyDescent="0.2">
      <c r="A195" s="515" t="s">
        <v>1931</v>
      </c>
      <c r="B195" t="s">
        <v>680</v>
      </c>
      <c r="C195" s="13">
        <f>_xlfn.XLOOKUP(B195,'Recommended Emission Factors'!$A$5:$A$11,'Recommended Emission Factors'!$L$5:$L$11)</f>
        <v>4.7605001220474117E-11</v>
      </c>
      <c r="D195" s="13">
        <f t="shared" si="31"/>
        <v>4.7605001220474117E-11</v>
      </c>
      <c r="E195" s="13">
        <f t="shared" si="32"/>
        <v>3.4275600878741362E-5</v>
      </c>
      <c r="F195" s="13">
        <f t="shared" si="29"/>
        <v>1.7613850451575422E-7</v>
      </c>
      <c r="H195" s="13"/>
      <c r="I195" s="25"/>
      <c r="J195" s="25"/>
      <c r="L195" s="11"/>
      <c r="M195" s="11"/>
    </row>
    <row r="196" spans="1:13" x14ac:dyDescent="0.2">
      <c r="A196" s="515" t="s">
        <v>1932</v>
      </c>
      <c r="B196" t="s">
        <v>689</v>
      </c>
      <c r="C196" s="13">
        <f>_xlfn.XLOOKUP(B196,'Recommended Emission Factors'!$A$5:$A$11,'Recommended Emission Factors'!$L$5:$L$11)</f>
        <v>2.6097219365968018E-6</v>
      </c>
      <c r="D196" s="13">
        <f t="shared" si="31"/>
        <v>2.6097219365968018E-6</v>
      </c>
      <c r="E196" s="13">
        <f t="shared" si="32"/>
        <v>1.8789997943496972</v>
      </c>
      <c r="F196" s="13">
        <f t="shared" si="29"/>
        <v>9.6559711654081674E-3</v>
      </c>
      <c r="H196" s="13"/>
      <c r="I196" s="25"/>
      <c r="J196" s="25"/>
      <c r="L196" s="11"/>
      <c r="M196" s="11"/>
    </row>
    <row r="197" spans="1:13" x14ac:dyDescent="0.2">
      <c r="A197" s="515" t="s">
        <v>107</v>
      </c>
      <c r="B197" t="s">
        <v>19</v>
      </c>
      <c r="C197" s="13">
        <f>_xlfn.XLOOKUP(B197,'Recommended Emission Factors'!$A$5:$A$11,'Recommended Emission Factors'!$L$5:$L$11)</f>
        <v>2.7181799827925618E-4</v>
      </c>
      <c r="D197" s="13">
        <f t="shared" si="31"/>
        <v>2.7181799827925618E-4</v>
      </c>
      <c r="E197" s="13">
        <f t="shared" si="32"/>
        <v>195.70895876106445</v>
      </c>
      <c r="F197" s="13">
        <f t="shared" si="29"/>
        <v>1.0057265936332478</v>
      </c>
      <c r="H197" s="13"/>
      <c r="I197" s="25"/>
      <c r="J197" s="25"/>
      <c r="L197" s="11"/>
      <c r="M197" s="11"/>
    </row>
    <row r="198" spans="1:13" x14ac:dyDescent="0.2">
      <c r="A198" s="515" t="s">
        <v>192</v>
      </c>
      <c r="B198" t="s">
        <v>223</v>
      </c>
      <c r="C198" s="13">
        <f>_xlfn.XLOOKUP(B198,'Recommended Emission Factors'!$A$5:$A$11,'Recommended Emission Factors'!$L$5:$L$11)</f>
        <v>1.8440985765612282E-7</v>
      </c>
      <c r="D198" s="13">
        <f t="shared" si="31"/>
        <v>1.8440985765612282E-7</v>
      </c>
      <c r="E198" s="13">
        <f t="shared" si="32"/>
        <v>0.13277509751240843</v>
      </c>
      <c r="F198" s="13">
        <f t="shared" si="29"/>
        <v>6.8231647332765439E-4</v>
      </c>
      <c r="H198" s="13"/>
      <c r="I198" s="25"/>
      <c r="J198" s="25"/>
      <c r="L198" s="11"/>
      <c r="M198" s="11"/>
    </row>
    <row r="199" spans="1:13" x14ac:dyDescent="0.2">
      <c r="A199" s="515" t="s">
        <v>686</v>
      </c>
      <c r="B199" t="s">
        <v>655</v>
      </c>
      <c r="C199" s="13">
        <f>_xlfn.XLOOKUP(B199,'Recommended Emission Factors'!$A$5:$A$11,'Recommended Emission Factors'!$L$5:$L$11)</f>
        <v>6.6633541733233636E-7</v>
      </c>
      <c r="D199" s="13">
        <f t="shared" si="31"/>
        <v>6.6633541733233636E-7</v>
      </c>
      <c r="E199" s="13">
        <f t="shared" si="32"/>
        <v>0.47976150047928218</v>
      </c>
      <c r="F199" s="13">
        <f t="shared" si="29"/>
        <v>2.4654410441296445E-3</v>
      </c>
      <c r="H199" s="13"/>
      <c r="I199" s="25"/>
      <c r="J199" s="25"/>
      <c r="L199" s="11"/>
      <c r="M199" s="11"/>
    </row>
    <row r="200" spans="1:13" x14ac:dyDescent="0.2">
      <c r="A200" s="515" t="s">
        <v>1933</v>
      </c>
      <c r="B200" t="s">
        <v>661</v>
      </c>
      <c r="C200" s="13">
        <f>_xlfn.XLOOKUP(B200,'Recommended Emission Factors'!$A$5:$A$11,'Recommended Emission Factors'!$L$5:$L$11)</f>
        <v>7.3963231323889348E-8</v>
      </c>
      <c r="D200" s="13">
        <f t="shared" si="31"/>
        <v>7.3963231323889348E-8</v>
      </c>
      <c r="E200" s="13">
        <f t="shared" si="32"/>
        <v>5.3253526553200328E-2</v>
      </c>
      <c r="F200" s="13">
        <f t="shared" si="29"/>
        <v>2.7366395589839061E-4</v>
      </c>
      <c r="H200" s="13"/>
      <c r="I200" s="25"/>
      <c r="J200" s="25"/>
      <c r="L200" s="11"/>
      <c r="M200" s="11"/>
    </row>
    <row r="204" spans="1:13" x14ac:dyDescent="0.2">
      <c r="K204" s="13"/>
      <c r="M204" s="13"/>
    </row>
    <row r="205" spans="1:13" x14ac:dyDescent="0.2">
      <c r="M205" s="13"/>
    </row>
    <row r="212" spans="1:7" ht="19" x14ac:dyDescent="0.25">
      <c r="A212" s="521" t="s">
        <v>359</v>
      </c>
    </row>
    <row r="214" spans="1:7" ht="51" x14ac:dyDescent="0.2">
      <c r="A214" s="522" t="s">
        <v>209</v>
      </c>
      <c r="B214" s="29" t="s">
        <v>208</v>
      </c>
      <c r="C214" s="29" t="s">
        <v>357</v>
      </c>
      <c r="D214" s="29" t="s">
        <v>358</v>
      </c>
      <c r="E214" s="29" t="s">
        <v>355</v>
      </c>
      <c r="F214" s="29" t="s">
        <v>356</v>
      </c>
    </row>
    <row r="215" spans="1:7" x14ac:dyDescent="0.2">
      <c r="A215" s="516" t="s">
        <v>82</v>
      </c>
      <c r="B215" t="s">
        <v>245</v>
      </c>
      <c r="C215" s="13">
        <f>IFERROR(VLOOKUP(B215,'RM Summary'!$B$3:$E$17,4,FALSE),0)</f>
        <v>1.2495558566714793E-3</v>
      </c>
      <c r="D215" s="13">
        <f>C215</f>
        <v>1.2495558566714793E-3</v>
      </c>
      <c r="E215" s="25">
        <f t="shared" ref="E215:E229" si="33">C215*$B$42</f>
        <v>899.6802168034651</v>
      </c>
      <c r="F215" s="25">
        <f>D215*$B$41</f>
        <v>4.6233566696844735</v>
      </c>
    </row>
    <row r="216" spans="1:7" x14ac:dyDescent="0.2">
      <c r="A216" s="516" t="s">
        <v>174</v>
      </c>
      <c r="B216" t="s">
        <v>246</v>
      </c>
      <c r="C216" s="13">
        <f>IFERROR(VLOOKUP(B216,'RM Summary'!$B$3:$E$17,4,FALSE),0)</f>
        <v>3.295274407672407E-6</v>
      </c>
      <c r="D216" s="13">
        <f t="shared" ref="D216:D229" si="34">C216</f>
        <v>3.295274407672407E-6</v>
      </c>
      <c r="E216" s="25">
        <f t="shared" si="33"/>
        <v>2.3725975735241329</v>
      </c>
      <c r="F216" s="25">
        <f t="shared" ref="F216:F229" si="35">D216*$B$41</f>
        <v>1.2192515308387906E-2</v>
      </c>
    </row>
    <row r="217" spans="1:7" x14ac:dyDescent="0.2">
      <c r="A217" s="516" t="s">
        <v>83</v>
      </c>
      <c r="B217" t="s">
        <v>247</v>
      </c>
      <c r="C217" s="13">
        <f>IFERROR(VLOOKUP(B217,'RM Summary'!$B$3:$E$17,4,FALSE),0)</f>
        <v>5.8613547291817884E-6</v>
      </c>
      <c r="D217" s="13">
        <f t="shared" si="34"/>
        <v>5.8613547291817884E-6</v>
      </c>
      <c r="E217" s="25">
        <f t="shared" si="33"/>
        <v>4.2201754050108873</v>
      </c>
      <c r="F217" s="25">
        <f t="shared" si="35"/>
        <v>2.1687012497972617E-2</v>
      </c>
    </row>
    <row r="218" spans="1:7" x14ac:dyDescent="0.2">
      <c r="A218" s="515" t="s">
        <v>93</v>
      </c>
      <c r="B218" t="s">
        <v>248</v>
      </c>
      <c r="C218" s="13">
        <f>IFERROR(VLOOKUP(B218,'RM Summary'!$B$3:$E$17,4,FALSE),0)</f>
        <v>0</v>
      </c>
      <c r="D218" s="13">
        <f t="shared" si="34"/>
        <v>0</v>
      </c>
      <c r="E218" s="25">
        <f t="shared" si="33"/>
        <v>0</v>
      </c>
      <c r="F218" s="25">
        <f t="shared" si="35"/>
        <v>0</v>
      </c>
    </row>
    <row r="219" spans="1:7" x14ac:dyDescent="0.2">
      <c r="A219" s="516" t="s">
        <v>84</v>
      </c>
      <c r="B219" t="s">
        <v>253</v>
      </c>
      <c r="C219" s="13">
        <f>IFERROR(VLOOKUP(B219,'RM Summary'!$B$3:$E$17,4,FALSE),0)</f>
        <v>4.4485441743042429E-7</v>
      </c>
      <c r="D219" s="13">
        <f t="shared" si="34"/>
        <v>4.4485441743042429E-7</v>
      </c>
      <c r="E219" s="25">
        <f t="shared" si="33"/>
        <v>0.32029518054990547</v>
      </c>
      <c r="F219" s="25">
        <f t="shared" si="35"/>
        <v>1.6459613444925699E-3</v>
      </c>
    </row>
    <row r="220" spans="1:7" x14ac:dyDescent="0.2">
      <c r="A220" s="516" t="s">
        <v>85</v>
      </c>
      <c r="B220" t="s">
        <v>215</v>
      </c>
      <c r="C220" s="13">
        <f>IFERROR(VLOOKUP(B220,'RM Summary'!$B$3:$E$17,4,FALSE),0)*B44*B46</f>
        <v>2.989356135825218E-6</v>
      </c>
      <c r="D220" s="13">
        <f>C220/B46*B45</f>
        <v>1.4493847931273783E-4</v>
      </c>
      <c r="E220" s="25">
        <f t="shared" si="33"/>
        <v>2.1523364177941571</v>
      </c>
      <c r="F220" s="25">
        <f t="shared" si="35"/>
        <v>0.53627237345712997</v>
      </c>
      <c r="G220" s="13"/>
    </row>
    <row r="221" spans="1:7" x14ac:dyDescent="0.2">
      <c r="A221" s="516" t="s">
        <v>86</v>
      </c>
      <c r="B221" t="s">
        <v>249</v>
      </c>
      <c r="C221" s="13">
        <f>IFERROR(VLOOKUP(B221,'RM Summary'!$B$3:$E$17,4,FALSE),0)</f>
        <v>3.3132470932010284E-6</v>
      </c>
      <c r="D221" s="13">
        <f t="shared" si="34"/>
        <v>3.3132470932010284E-6</v>
      </c>
      <c r="E221" s="25">
        <f t="shared" si="33"/>
        <v>2.3855379071047405</v>
      </c>
      <c r="F221" s="25">
        <f t="shared" si="35"/>
        <v>1.2259014244843805E-2</v>
      </c>
    </row>
    <row r="222" spans="1:7" x14ac:dyDescent="0.2">
      <c r="A222" s="516" t="s">
        <v>87</v>
      </c>
      <c r="B222" t="s">
        <v>214</v>
      </c>
      <c r="C222" s="13">
        <f>IFERROR(VLOOKUP(B222,'RM Summary'!$B$3:$E$17,4,FALSE),0)</f>
        <v>1.4157965546488841E-4</v>
      </c>
      <c r="D222" s="13">
        <f t="shared" si="34"/>
        <v>1.4157965546488841E-4</v>
      </c>
      <c r="E222" s="25">
        <f t="shared" si="33"/>
        <v>101.93735193471966</v>
      </c>
      <c r="F222" s="25">
        <f t="shared" si="35"/>
        <v>0.52384472522008718</v>
      </c>
    </row>
    <row r="223" spans="1:7" x14ac:dyDescent="0.2">
      <c r="A223" s="516" t="s">
        <v>88</v>
      </c>
      <c r="B223" t="s">
        <v>216</v>
      </c>
      <c r="C223" s="13">
        <f>IFERROR(VLOOKUP(B223,'RM Summary'!$B$3:$E$17,4,FALSE),0)</f>
        <v>2.4534061329270593E-4</v>
      </c>
      <c r="D223" s="13">
        <f t="shared" si="34"/>
        <v>2.4534061329270593E-4</v>
      </c>
      <c r="E223" s="25">
        <f t="shared" si="33"/>
        <v>176.64524157074828</v>
      </c>
      <c r="F223" s="25">
        <f t="shared" si="35"/>
        <v>0.907760269183012</v>
      </c>
    </row>
    <row r="224" spans="1:7" x14ac:dyDescent="0.2">
      <c r="A224" s="516" t="s">
        <v>89</v>
      </c>
      <c r="B224" t="s">
        <v>213</v>
      </c>
      <c r="C224" s="13">
        <f>IFERROR(VLOOKUP(B224,'RM Summary'!$B$3:$E$17,4,FALSE),0)</f>
        <v>1.9034543912406507E-3</v>
      </c>
      <c r="D224" s="13">
        <f t="shared" si="34"/>
        <v>1.9034543912406507E-3</v>
      </c>
      <c r="E224" s="25">
        <f t="shared" si="33"/>
        <v>1370.4871616932685</v>
      </c>
      <c r="F224" s="25">
        <f t="shared" si="35"/>
        <v>7.0427812475904075</v>
      </c>
    </row>
    <row r="225" spans="1:6" x14ac:dyDescent="0.2">
      <c r="A225" s="515">
        <v>365</v>
      </c>
      <c r="B225" t="s">
        <v>231</v>
      </c>
      <c r="C225" s="13">
        <f>IFERROR(VLOOKUP(B225,'RM Summary'!$B$3:$E$17,4,FALSE),0)</f>
        <v>1.8874318334702646E-5</v>
      </c>
      <c r="D225" s="13">
        <f t="shared" si="34"/>
        <v>1.8874318334702646E-5</v>
      </c>
      <c r="E225" s="25">
        <f t="shared" si="33"/>
        <v>13.589509200985905</v>
      </c>
      <c r="F225" s="25">
        <f t="shared" si="35"/>
        <v>6.9834977838399787E-2</v>
      </c>
    </row>
    <row r="226" spans="1:6" x14ac:dyDescent="0.2">
      <c r="A226" s="515">
        <v>504</v>
      </c>
      <c r="B226" t="s">
        <v>254</v>
      </c>
      <c r="C226" s="13">
        <f>IFERROR(VLOOKUP(B226,'RM Summary'!$B$3:$E$17,4,FALSE),0)</f>
        <v>3.386806336595755E-5</v>
      </c>
      <c r="D226" s="13">
        <f t="shared" si="34"/>
        <v>3.386806336595755E-5</v>
      </c>
      <c r="E226" s="25">
        <f t="shared" si="33"/>
        <v>24.385005623489437</v>
      </c>
      <c r="F226" s="25">
        <f t="shared" si="35"/>
        <v>0.12531183445404293</v>
      </c>
    </row>
    <row r="227" spans="1:6" x14ac:dyDescent="0.2">
      <c r="A227" s="516" t="s">
        <v>91</v>
      </c>
      <c r="B227" t="s">
        <v>251</v>
      </c>
      <c r="C227" s="13">
        <f>IFERROR(VLOOKUP(B227,'RM Summary'!$B$3:$E$17,4,FALSE),0)</f>
        <v>6.0218199366659483E-6</v>
      </c>
      <c r="D227" s="13">
        <f t="shared" si="34"/>
        <v>6.0218199366659483E-6</v>
      </c>
      <c r="E227" s="25">
        <f t="shared" si="33"/>
        <v>4.3357103543994828</v>
      </c>
      <c r="F227" s="25">
        <f t="shared" si="35"/>
        <v>2.2280733765664008E-2</v>
      </c>
    </row>
    <row r="228" spans="1:6" x14ac:dyDescent="0.2">
      <c r="A228" s="516" t="s">
        <v>92</v>
      </c>
      <c r="B228" t="s">
        <v>197</v>
      </c>
      <c r="C228" s="13">
        <f>IFERROR(VLOOKUP(B228,'RM Summary'!$B$3:$E$17,4,FALSE),0)</f>
        <v>5.6696871319140342E-6</v>
      </c>
      <c r="D228" s="13">
        <f t="shared" si="34"/>
        <v>5.6696871319140342E-6</v>
      </c>
      <c r="E228" s="25">
        <f t="shared" si="33"/>
        <v>4.0821747349781043</v>
      </c>
      <c r="F228" s="25">
        <f t="shared" si="35"/>
        <v>2.0977842388081928E-2</v>
      </c>
    </row>
    <row r="229" spans="1:6" x14ac:dyDescent="0.2">
      <c r="A229" s="516" t="s">
        <v>94</v>
      </c>
      <c r="B229" t="s">
        <v>252</v>
      </c>
      <c r="C229" s="13">
        <f>IFERROR(VLOOKUP(B229,'RM Summary'!$B$3:$E$17,4,FALSE),0)</f>
        <v>1.5423214774754653E-3</v>
      </c>
      <c r="D229" s="13">
        <f t="shared" si="34"/>
        <v>1.5423214774754653E-3</v>
      </c>
      <c r="E229" s="25">
        <f t="shared" si="33"/>
        <v>1110.4714637823351</v>
      </c>
      <c r="F229" s="25">
        <f t="shared" si="35"/>
        <v>5.7065894666592216</v>
      </c>
    </row>
    <row r="230" spans="1:6" x14ac:dyDescent="0.2">
      <c r="A230" s="516" t="s">
        <v>90</v>
      </c>
      <c r="B230" t="s">
        <v>230</v>
      </c>
      <c r="C230" s="13">
        <f>0.068*0.88*0.0000043</f>
        <v>2.5731200000000002E-7</v>
      </c>
      <c r="D230" s="13">
        <f>C230</f>
        <v>2.5731200000000002E-7</v>
      </c>
      <c r="E230" s="25">
        <f t="shared" ref="E230" si="36">C230*$B$42</f>
        <v>0.18526464000000001</v>
      </c>
      <c r="F230" s="25">
        <f t="shared" ref="F230" si="37">D230*$B$41</f>
        <v>9.5205440000000006E-4</v>
      </c>
    </row>
    <row r="244" spans="1:10" ht="19" x14ac:dyDescent="0.25">
      <c r="A244" s="521" t="s">
        <v>1896</v>
      </c>
    </row>
    <row r="245" spans="1:10" x14ac:dyDescent="0.2">
      <c r="E245" s="547" t="s">
        <v>333</v>
      </c>
      <c r="F245" s="547"/>
      <c r="G245" s="547" t="s">
        <v>334</v>
      </c>
      <c r="H245" s="547"/>
      <c r="I245" s="547" t="s">
        <v>548</v>
      </c>
      <c r="J245" s="547"/>
    </row>
    <row r="246" spans="1:10" ht="51" x14ac:dyDescent="0.2">
      <c r="A246" s="522" t="s">
        <v>209</v>
      </c>
      <c r="B246" s="29" t="s">
        <v>208</v>
      </c>
      <c r="C246" s="29" t="s">
        <v>360</v>
      </c>
      <c r="D246" s="29" t="s">
        <v>361</v>
      </c>
      <c r="E246" s="29" t="s">
        <v>321</v>
      </c>
      <c r="F246" s="29" t="s">
        <v>322</v>
      </c>
      <c r="G246" s="29" t="s">
        <v>321</v>
      </c>
      <c r="H246" s="29" t="s">
        <v>322</v>
      </c>
      <c r="I246" s="29" t="s">
        <v>1897</v>
      </c>
      <c r="J246" s="29" t="s">
        <v>1898</v>
      </c>
    </row>
    <row r="247" spans="1:10" x14ac:dyDescent="0.2">
      <c r="A247" s="516" t="s">
        <v>82</v>
      </c>
      <c r="B247" t="s">
        <v>245</v>
      </c>
      <c r="C247" s="13">
        <f t="shared" ref="C247:C262" si="38">VLOOKUP(B247,$B$215:$D$230,2,FALSE)*0.05</f>
        <v>6.2477792833573971E-5</v>
      </c>
      <c r="D247" s="13">
        <f t="shared" ref="D247:D262" si="39">VLOOKUP(B247,$B$215:$D$230,3,FALSE)*0.05</f>
        <v>6.2477792833573971E-5</v>
      </c>
      <c r="E247" s="25">
        <f t="shared" ref="E247:E261" si="40">C247*$B$42</f>
        <v>44.984010840173262</v>
      </c>
      <c r="F247" s="25">
        <f>D247*$B$41</f>
        <v>0.23116783348422371</v>
      </c>
      <c r="G247" s="13">
        <f>VLOOKUP(B247,Tabl_B4_Scrap_Billet_Cut!$B$66:$E$80,3,FALSE)</f>
        <v>0.2175872246922074</v>
      </c>
      <c r="H247" s="13">
        <f>VLOOKUP(B247,Tabl_B4_Scrap_Billet_Cut!$B$66:$E$80,4,FALSE)</f>
        <v>9.0115021305090968E-4</v>
      </c>
      <c r="I247" s="25">
        <f>E247+G247</f>
        <v>45.201598064865472</v>
      </c>
      <c r="J247" s="25">
        <f>MAXA(F247,H247)</f>
        <v>0.23116783348422371</v>
      </c>
    </row>
    <row r="248" spans="1:10" x14ac:dyDescent="0.2">
      <c r="A248" s="516" t="s">
        <v>174</v>
      </c>
      <c r="B248" t="s">
        <v>246</v>
      </c>
      <c r="C248" s="13">
        <f t="shared" si="38"/>
        <v>1.6476372038362037E-7</v>
      </c>
      <c r="D248" s="13">
        <f t="shared" si="39"/>
        <v>1.6476372038362037E-7</v>
      </c>
      <c r="E248" s="25">
        <f t="shared" si="40"/>
        <v>0.11862987867620667</v>
      </c>
      <c r="F248" s="25">
        <f t="shared" ref="F248:F261" si="41">D248*$B$41</f>
        <v>6.0962576541939532E-4</v>
      </c>
      <c r="G248" s="13">
        <f>VLOOKUP(B248,Tabl_B4_Scrap_Billet_Cut!$B$66:$E$80,3,FALSE)</f>
        <v>1.2541356877648985E-2</v>
      </c>
      <c r="H248" s="13">
        <f>VLOOKUP(B248,Tabl_B4_Scrap_Billet_Cut!$B$66:$E$80,4,FALSE)</f>
        <v>5.1940762782501849E-5</v>
      </c>
      <c r="I248" s="25">
        <f t="shared" ref="I248:I284" si="42">E248+G248</f>
        <v>0.13117123555385565</v>
      </c>
      <c r="J248" s="25">
        <f t="shared" ref="J248:J284" si="43">MAXA(F248,H248)</f>
        <v>6.0962576541939532E-4</v>
      </c>
    </row>
    <row r="249" spans="1:10" x14ac:dyDescent="0.2">
      <c r="A249" s="516" t="s">
        <v>83</v>
      </c>
      <c r="B249" t="s">
        <v>247</v>
      </c>
      <c r="C249" s="13">
        <f t="shared" si="38"/>
        <v>2.9306773645908943E-7</v>
      </c>
      <c r="D249" s="13">
        <f t="shared" si="39"/>
        <v>2.9306773645908943E-7</v>
      </c>
      <c r="E249" s="25">
        <f t="shared" si="40"/>
        <v>0.2110087702505444</v>
      </c>
      <c r="F249" s="25">
        <f t="shared" si="41"/>
        <v>1.0843506248986309E-3</v>
      </c>
      <c r="G249" s="13">
        <f>VLOOKUP(B249,Tabl_B4_Scrap_Billet_Cut!$B$66:$E$80,3,FALSE)</f>
        <v>3.6977079110104852E-2</v>
      </c>
      <c r="H249" s="13">
        <f>VLOOKUP(B249,Tabl_B4_Scrap_Billet_Cut!$B$66:$E$80,4,FALSE)</f>
        <v>1.5314273512706241E-4</v>
      </c>
      <c r="I249" s="25">
        <f t="shared" si="42"/>
        <v>0.24798584936064927</v>
      </c>
      <c r="J249" s="25">
        <f t="shared" si="43"/>
        <v>1.0843506248986309E-3</v>
      </c>
    </row>
    <row r="250" spans="1:10" x14ac:dyDescent="0.2">
      <c r="A250" s="515" t="s">
        <v>93</v>
      </c>
      <c r="B250" t="s">
        <v>248</v>
      </c>
      <c r="C250" s="13">
        <f t="shared" si="38"/>
        <v>0</v>
      </c>
      <c r="D250" s="13">
        <f t="shared" si="39"/>
        <v>0</v>
      </c>
      <c r="E250" s="25">
        <f t="shared" si="40"/>
        <v>0</v>
      </c>
      <c r="F250" s="25">
        <f t="shared" si="41"/>
        <v>0</v>
      </c>
      <c r="G250" s="13">
        <f>VLOOKUP(B250,Tabl_B4_Scrap_Billet_Cut!$B$66:$E$80,3,FALSE)</f>
        <v>0</v>
      </c>
      <c r="H250" s="13">
        <f>VLOOKUP(B250,Tabl_B4_Scrap_Billet_Cut!$B$66:$E$80,4,FALSE)</f>
        <v>0</v>
      </c>
      <c r="I250" s="25">
        <f t="shared" si="42"/>
        <v>0</v>
      </c>
      <c r="J250" s="25">
        <f t="shared" si="43"/>
        <v>0</v>
      </c>
    </row>
    <row r="251" spans="1:10" x14ac:dyDescent="0.2">
      <c r="A251" s="516" t="s">
        <v>84</v>
      </c>
      <c r="B251" t="s">
        <v>253</v>
      </c>
      <c r="C251" s="13">
        <f t="shared" si="38"/>
        <v>2.2242720871521215E-8</v>
      </c>
      <c r="D251" s="13">
        <f t="shared" si="39"/>
        <v>2.2242720871521215E-8</v>
      </c>
      <c r="E251" s="25">
        <f t="shared" si="40"/>
        <v>1.6014759027495273E-2</v>
      </c>
      <c r="F251" s="25">
        <f t="shared" si="41"/>
        <v>8.2298067224628496E-5</v>
      </c>
      <c r="G251" s="13">
        <f>VLOOKUP(B251,Tabl_B4_Scrap_Billet_Cut!$B$66:$E$80,3,FALSE)</f>
        <v>0</v>
      </c>
      <c r="H251" s="13">
        <f>VLOOKUP(B251,Tabl_B4_Scrap_Billet_Cut!$B$66:$E$80,4,FALSE)</f>
        <v>0</v>
      </c>
      <c r="I251" s="25">
        <f t="shared" si="42"/>
        <v>1.6014759027495273E-2</v>
      </c>
      <c r="J251" s="25">
        <f t="shared" si="43"/>
        <v>8.2298067224628496E-5</v>
      </c>
    </row>
    <row r="252" spans="1:10" x14ac:dyDescent="0.2">
      <c r="A252" s="516" t="s">
        <v>85</v>
      </c>
      <c r="B252" t="s">
        <v>215</v>
      </c>
      <c r="C252" s="13">
        <f t="shared" si="38"/>
        <v>1.4946780679126092E-7</v>
      </c>
      <c r="D252" s="13">
        <f t="shared" si="39"/>
        <v>7.2469239656368921E-6</v>
      </c>
      <c r="E252" s="25">
        <f t="shared" si="40"/>
        <v>0.10761682088970786</v>
      </c>
      <c r="F252" s="25">
        <f t="shared" si="41"/>
        <v>2.6813618672856501E-2</v>
      </c>
      <c r="G252" s="13">
        <f>VLOOKUP(B252,Tabl_B4_Scrap_Billet_Cut!$B$66:$E$80,3,FALSE)</f>
        <v>7.788050653974958E-2</v>
      </c>
      <c r="H252" s="13">
        <f>VLOOKUP(B252,Tabl_B4_Scrap_Billet_Cut!$B$66:$E$80,4,FALSE)</f>
        <v>3.2254667138700621E-4</v>
      </c>
      <c r="I252" s="25">
        <f t="shared" si="42"/>
        <v>0.18549732742945746</v>
      </c>
      <c r="J252" s="25">
        <f t="shared" si="43"/>
        <v>2.6813618672856501E-2</v>
      </c>
    </row>
    <row r="253" spans="1:10" x14ac:dyDescent="0.2">
      <c r="A253" s="516" t="s">
        <v>86</v>
      </c>
      <c r="B253" t="s">
        <v>249</v>
      </c>
      <c r="C253" s="13">
        <f t="shared" si="38"/>
        <v>1.6566235466005144E-7</v>
      </c>
      <c r="D253" s="13">
        <f t="shared" si="39"/>
        <v>1.6566235466005144E-7</v>
      </c>
      <c r="E253" s="25">
        <f t="shared" si="40"/>
        <v>0.11927689535523703</v>
      </c>
      <c r="F253" s="25">
        <f t="shared" si="41"/>
        <v>6.1295071224219027E-4</v>
      </c>
      <c r="G253" s="13">
        <f>VLOOKUP(B253,Tabl_B4_Scrap_Billet_Cut!$B$66:$E$80,3,FALSE)</f>
        <v>1.7750385721313384E-2</v>
      </c>
      <c r="H253" s="13">
        <f>VLOOKUP(B253,Tabl_B4_Scrap_Billet_Cut!$B$66:$E$80,4,FALSE)</f>
        <v>7.3514260302389209E-5</v>
      </c>
      <c r="I253" s="25">
        <f t="shared" si="42"/>
        <v>0.13702728107655041</v>
      </c>
      <c r="J253" s="25">
        <f t="shared" si="43"/>
        <v>6.1295071224219027E-4</v>
      </c>
    </row>
    <row r="254" spans="1:10" x14ac:dyDescent="0.2">
      <c r="A254" s="516" t="s">
        <v>87</v>
      </c>
      <c r="B254" t="s">
        <v>214</v>
      </c>
      <c r="C254" s="13">
        <f t="shared" si="38"/>
        <v>7.0789827732444211E-6</v>
      </c>
      <c r="D254" s="13">
        <f t="shared" si="39"/>
        <v>7.0789827732444211E-6</v>
      </c>
      <c r="E254" s="25">
        <f t="shared" si="40"/>
        <v>5.0968675967359829</v>
      </c>
      <c r="F254" s="25">
        <f t="shared" si="41"/>
        <v>2.6192236261004358E-2</v>
      </c>
      <c r="G254" s="13">
        <f>VLOOKUP(B254,Tabl_B4_Scrap_Billet_Cut!$B$66:$E$80,3,FALSE)</f>
        <v>1.1637397092817567</v>
      </c>
      <c r="H254" s="13">
        <f>VLOOKUP(B254,Tabl_B4_Scrap_Billet_Cut!$B$66:$E$80,4,FALSE)</f>
        <v>4.8196960480493545E-3</v>
      </c>
      <c r="I254" s="25">
        <f t="shared" si="42"/>
        <v>6.2606073060177394</v>
      </c>
      <c r="J254" s="25">
        <f t="shared" si="43"/>
        <v>2.6192236261004358E-2</v>
      </c>
    </row>
    <row r="255" spans="1:10" x14ac:dyDescent="0.2">
      <c r="A255" s="516" t="s">
        <v>88</v>
      </c>
      <c r="B255" t="s">
        <v>216</v>
      </c>
      <c r="C255" s="13">
        <f t="shared" si="38"/>
        <v>1.2267030664635297E-5</v>
      </c>
      <c r="D255" s="13">
        <f t="shared" si="39"/>
        <v>1.2267030664635297E-5</v>
      </c>
      <c r="E255" s="25">
        <f t="shared" si="40"/>
        <v>8.8322620785374131</v>
      </c>
      <c r="F255" s="25">
        <f t="shared" si="41"/>
        <v>4.5388013459150597E-2</v>
      </c>
      <c r="G255" s="13">
        <f>VLOOKUP(B255,Tabl_B4_Scrap_Billet_Cut!$B$66:$E$80,3,FALSE)</f>
        <v>4.2300440037653798E-2</v>
      </c>
      <c r="H255" s="13">
        <f>VLOOKUP(B255,Tabl_B4_Scrap_Billet_Cut!$B$66:$E$80,4,FALSE)</f>
        <v>1.7518974565717752E-4</v>
      </c>
      <c r="I255" s="25">
        <f t="shared" si="42"/>
        <v>8.8745625185750665</v>
      </c>
      <c r="J255" s="25">
        <f t="shared" si="43"/>
        <v>4.5388013459150597E-2</v>
      </c>
    </row>
    <row r="256" spans="1:10" x14ac:dyDescent="0.2">
      <c r="A256" s="516" t="s">
        <v>89</v>
      </c>
      <c r="B256" t="s">
        <v>213</v>
      </c>
      <c r="C256" s="13">
        <f t="shared" si="38"/>
        <v>9.5172719562032547E-5</v>
      </c>
      <c r="D256" s="13">
        <f t="shared" si="39"/>
        <v>9.5172719562032547E-5</v>
      </c>
      <c r="E256" s="25">
        <f t="shared" si="40"/>
        <v>68.524358084663433</v>
      </c>
      <c r="F256" s="25">
        <f t="shared" si="41"/>
        <v>0.35213906237952042</v>
      </c>
      <c r="G256" s="13">
        <f>VLOOKUP(B256,Tabl_B4_Scrap_Billet_Cut!$B$66:$E$80,3,FALSE)</f>
        <v>0.77817006877068673</v>
      </c>
      <c r="H256" s="13">
        <f>VLOOKUP(B256,Tabl_B4_Scrap_Billet_Cut!$B$66:$E$80,4,FALSE)</f>
        <v>3.222836838212863E-3</v>
      </c>
      <c r="I256" s="25">
        <f t="shared" si="42"/>
        <v>69.302528153434125</v>
      </c>
      <c r="J256" s="25">
        <f t="shared" si="43"/>
        <v>0.35213906237952042</v>
      </c>
    </row>
    <row r="257" spans="1:10" x14ac:dyDescent="0.2">
      <c r="A257" s="515">
        <v>365</v>
      </c>
      <c r="B257" t="s">
        <v>231</v>
      </c>
      <c r="C257" s="13">
        <f t="shared" si="38"/>
        <v>9.4371591673513237E-7</v>
      </c>
      <c r="D257" s="13">
        <f t="shared" si="39"/>
        <v>9.4371591673513237E-7</v>
      </c>
      <c r="E257" s="25">
        <f t="shared" si="40"/>
        <v>0.67947546004929527</v>
      </c>
      <c r="F257" s="25">
        <f t="shared" si="41"/>
        <v>3.4917488919199899E-3</v>
      </c>
      <c r="G257" s="13">
        <f>VLOOKUP(B257,Tabl_B4_Scrap_Billet_Cut!$B$66:$E$80,3,FALSE)</f>
        <v>0.17924295874243265</v>
      </c>
      <c r="H257" s="13">
        <f>VLOOKUP(B257,Tabl_B4_Scrap_Billet_Cut!$B$66:$E$80,4,FALSE)</f>
        <v>7.4234519369005677E-4</v>
      </c>
      <c r="I257" s="25">
        <f t="shared" si="42"/>
        <v>0.85871841879172794</v>
      </c>
      <c r="J257" s="25">
        <f t="shared" si="43"/>
        <v>3.4917488919199899E-3</v>
      </c>
    </row>
    <row r="258" spans="1:10" x14ac:dyDescent="0.2">
      <c r="A258" s="515">
        <v>504</v>
      </c>
      <c r="B258" t="s">
        <v>254</v>
      </c>
      <c r="C258" s="13">
        <f t="shared" si="38"/>
        <v>1.6934031682978776E-6</v>
      </c>
      <c r="D258" s="13">
        <f t="shared" si="39"/>
        <v>1.6934031682978776E-6</v>
      </c>
      <c r="E258" s="25">
        <f t="shared" si="40"/>
        <v>1.2192502811744719</v>
      </c>
      <c r="F258" s="25">
        <f t="shared" si="41"/>
        <v>6.2655917227021473E-3</v>
      </c>
      <c r="G258" s="13">
        <f>VLOOKUP(B258,Tabl_B4_Scrap_Billet_Cut!$B$66:$E$80,3,FALSE)</f>
        <v>6.2740958522851706E-2</v>
      </c>
      <c r="H258" s="13">
        <f>VLOOKUP(B258,Tabl_B4_Scrap_Billet_Cut!$B$66:$E$80,4,FALSE)</f>
        <v>2.5984534808909198E-4</v>
      </c>
      <c r="I258" s="25">
        <f t="shared" si="42"/>
        <v>1.2819912396973236</v>
      </c>
      <c r="J258" s="25">
        <f t="shared" si="43"/>
        <v>6.2655917227021473E-3</v>
      </c>
    </row>
    <row r="259" spans="1:10" x14ac:dyDescent="0.2">
      <c r="A259" s="516" t="s">
        <v>91</v>
      </c>
      <c r="B259" t="s">
        <v>251</v>
      </c>
      <c r="C259" s="13">
        <f t="shared" si="38"/>
        <v>3.0109099683329743E-7</v>
      </c>
      <c r="D259" s="13">
        <f t="shared" si="39"/>
        <v>3.0109099683329743E-7</v>
      </c>
      <c r="E259" s="25">
        <f t="shared" si="40"/>
        <v>0.21678551771997415</v>
      </c>
      <c r="F259" s="25">
        <f t="shared" si="41"/>
        <v>1.1140366882832005E-3</v>
      </c>
      <c r="G259" s="13">
        <f>VLOOKUP(B259,Tabl_B4_Scrap_Billet_Cut!$B$66:$E$80,3,FALSE)</f>
        <v>0</v>
      </c>
      <c r="H259" s="13">
        <f>VLOOKUP(B259,Tabl_B4_Scrap_Billet_Cut!$B$66:$E$80,4,FALSE)</f>
        <v>0</v>
      </c>
      <c r="I259" s="25">
        <f t="shared" si="42"/>
        <v>0.21678551771997415</v>
      </c>
      <c r="J259" s="25">
        <f t="shared" si="43"/>
        <v>1.1140366882832005E-3</v>
      </c>
    </row>
    <row r="260" spans="1:10" x14ac:dyDescent="0.2">
      <c r="A260" s="516" t="s">
        <v>92</v>
      </c>
      <c r="B260" t="s">
        <v>197</v>
      </c>
      <c r="C260" s="13">
        <f t="shared" si="38"/>
        <v>2.8348435659570172E-7</v>
      </c>
      <c r="D260" s="13">
        <f t="shared" si="39"/>
        <v>2.8348435659570172E-7</v>
      </c>
      <c r="E260" s="25">
        <f t="shared" si="40"/>
        <v>0.20410873674890523</v>
      </c>
      <c r="F260" s="25">
        <f t="shared" si="41"/>
        <v>1.0488921194040965E-3</v>
      </c>
      <c r="G260" s="13">
        <f>VLOOKUP(B260,Tabl_B4_Scrap_Billet_Cut!$B$66:$E$80,3,FALSE)</f>
        <v>1.3894163202055335E-2</v>
      </c>
      <c r="H260" s="13">
        <f>VLOOKUP(B260,Tabl_B4_Scrap_Billet_Cut!$B$66:$E$80,4,FALSE)</f>
        <v>5.7543489271521967E-5</v>
      </c>
      <c r="I260" s="25">
        <f t="shared" si="42"/>
        <v>0.21800289995096056</v>
      </c>
      <c r="J260" s="25">
        <f t="shared" si="43"/>
        <v>1.0488921194040965E-3</v>
      </c>
    </row>
    <row r="261" spans="1:10" x14ac:dyDescent="0.2">
      <c r="A261" s="516" t="s">
        <v>94</v>
      </c>
      <c r="B261" t="s">
        <v>252</v>
      </c>
      <c r="C261" s="13">
        <f t="shared" si="38"/>
        <v>7.7116073873773267E-5</v>
      </c>
      <c r="D261" s="13">
        <f t="shared" si="39"/>
        <v>7.7116073873773267E-5</v>
      </c>
      <c r="E261" s="25">
        <f t="shared" si="40"/>
        <v>55.523573189116753</v>
      </c>
      <c r="F261" s="25">
        <f t="shared" si="41"/>
        <v>0.2853294733329611</v>
      </c>
      <c r="G261" s="13">
        <f>VLOOKUP(B261,Tabl_B4_Scrap_Billet_Cut!$B$66:$E$80,3,FALSE)</f>
        <v>0.20442308362379466</v>
      </c>
      <c r="H261" s="13">
        <f>VLOOKUP(B261,Tabl_B4_Scrap_Billet_Cut!$B$66:$E$80,4,FALSE)</f>
        <v>8.4663015312913244E-4</v>
      </c>
      <c r="I261" s="25">
        <f t="shared" si="42"/>
        <v>55.727996272740548</v>
      </c>
      <c r="J261" s="25">
        <f t="shared" si="43"/>
        <v>0.2853294733329611</v>
      </c>
    </row>
    <row r="262" spans="1:10" x14ac:dyDescent="0.2">
      <c r="A262" s="516" t="s">
        <v>90</v>
      </c>
      <c r="B262" t="s">
        <v>230</v>
      </c>
      <c r="C262" s="13">
        <f t="shared" si="38"/>
        <v>1.2865600000000002E-8</v>
      </c>
      <c r="D262" s="13">
        <f t="shared" si="39"/>
        <v>1.2865600000000002E-8</v>
      </c>
      <c r="E262" s="25">
        <f t="shared" ref="E262" si="44">C262*$B$42</f>
        <v>9.2632320000000015E-3</v>
      </c>
      <c r="F262" s="25">
        <f t="shared" ref="F262" si="45">D262*$B$41</f>
        <v>4.7602720000000006E-5</v>
      </c>
      <c r="G262" s="13">
        <v>0</v>
      </c>
      <c r="H262" s="13">
        <v>0</v>
      </c>
      <c r="I262" s="25">
        <f t="shared" si="42"/>
        <v>9.2632320000000015E-3</v>
      </c>
      <c r="J262" s="25">
        <f t="shared" si="43"/>
        <v>4.7602720000000006E-5</v>
      </c>
    </row>
    <row r="263" spans="1:10" x14ac:dyDescent="0.2">
      <c r="A263" s="516" t="s">
        <v>100</v>
      </c>
      <c r="B263" t="s">
        <v>15</v>
      </c>
      <c r="C263" s="13">
        <f t="shared" ref="C263:C283" si="46">((C70+C128+C180)/$B$43)*(1-$B$43)</f>
        <v>6.724963669678403E-4</v>
      </c>
      <c r="D263" s="13">
        <f>C263</f>
        <v>6.724963669678403E-4</v>
      </c>
      <c r="E263" s="25">
        <f t="shared" ref="E263:E276" si="47">C263*$B$42</f>
        <v>484.19738421684502</v>
      </c>
      <c r="F263" s="25">
        <f t="shared" ref="F263:F276" si="48">D263*$B$41</f>
        <v>2.4882365577810091</v>
      </c>
      <c r="G263">
        <v>0</v>
      </c>
      <c r="H263">
        <v>0</v>
      </c>
      <c r="I263" s="25">
        <f t="shared" si="42"/>
        <v>484.19738421684502</v>
      </c>
      <c r="J263" s="25">
        <f t="shared" si="43"/>
        <v>2.4882365577810091</v>
      </c>
    </row>
    <row r="264" spans="1:10" x14ac:dyDescent="0.2">
      <c r="A264" s="516" t="s">
        <v>102</v>
      </c>
      <c r="B264" t="s">
        <v>226</v>
      </c>
      <c r="C264" s="13">
        <f t="shared" si="46"/>
        <v>3.5746817696225102E-5</v>
      </c>
      <c r="D264" s="13">
        <f t="shared" ref="D264:D284" si="49">C264</f>
        <v>3.5746817696225102E-5</v>
      </c>
      <c r="E264" s="25">
        <f t="shared" si="47"/>
        <v>25.737708741282074</v>
      </c>
      <c r="F264" s="25">
        <f t="shared" si="48"/>
        <v>0.13226322547603286</v>
      </c>
      <c r="G264">
        <v>0</v>
      </c>
      <c r="H264">
        <v>0</v>
      </c>
      <c r="I264" s="25">
        <f t="shared" si="42"/>
        <v>25.737708741282074</v>
      </c>
      <c r="J264" s="25">
        <f t="shared" si="43"/>
        <v>0.13226322547603286</v>
      </c>
    </row>
    <row r="265" spans="1:10" x14ac:dyDescent="0.2">
      <c r="A265" s="516" t="s">
        <v>108</v>
      </c>
      <c r="B265" t="s">
        <v>20</v>
      </c>
      <c r="C265" s="13">
        <f t="shared" si="46"/>
        <v>6.9270370837768092E-5</v>
      </c>
      <c r="D265" s="13">
        <f t="shared" si="49"/>
        <v>6.9270370837768092E-5</v>
      </c>
      <c r="E265" s="25">
        <f t="shared" si="47"/>
        <v>49.874667003193025</v>
      </c>
      <c r="F265" s="25">
        <f t="shared" si="48"/>
        <v>0.25630037209974194</v>
      </c>
      <c r="G265">
        <v>0</v>
      </c>
      <c r="H265">
        <v>0</v>
      </c>
      <c r="I265" s="25">
        <f t="shared" si="42"/>
        <v>49.874667003193025</v>
      </c>
      <c r="J265" s="25">
        <f t="shared" si="43"/>
        <v>0.25630037209974194</v>
      </c>
    </row>
    <row r="266" spans="1:10" x14ac:dyDescent="0.2">
      <c r="A266" s="516" t="s">
        <v>109</v>
      </c>
      <c r="B266" t="s">
        <v>21</v>
      </c>
      <c r="C266" s="13">
        <f t="shared" si="46"/>
        <v>9.4969012250025286E-5</v>
      </c>
      <c r="D266" s="13">
        <f t="shared" si="49"/>
        <v>9.4969012250025286E-5</v>
      </c>
      <c r="E266" s="25">
        <f t="shared" si="47"/>
        <v>68.377688820018207</v>
      </c>
      <c r="F266" s="25">
        <f t="shared" si="48"/>
        <v>0.35138534532509358</v>
      </c>
      <c r="G266">
        <v>0</v>
      </c>
      <c r="H266">
        <v>0</v>
      </c>
      <c r="I266" s="25">
        <f t="shared" si="42"/>
        <v>68.377688820018207</v>
      </c>
      <c r="J266" s="25">
        <f t="shared" si="43"/>
        <v>0.35138534532509358</v>
      </c>
    </row>
    <row r="267" spans="1:10" x14ac:dyDescent="0.2">
      <c r="A267" s="516" t="s">
        <v>111</v>
      </c>
      <c r="B267" t="s">
        <v>234</v>
      </c>
      <c r="C267" s="13">
        <f t="shared" si="46"/>
        <v>2.2792589619957477E-5</v>
      </c>
      <c r="D267" s="13">
        <f t="shared" si="49"/>
        <v>2.2792589619957477E-5</v>
      </c>
      <c r="E267" s="25">
        <f t="shared" si="47"/>
        <v>16.410664526369384</v>
      </c>
      <c r="F267" s="25">
        <f t="shared" si="48"/>
        <v>8.4332581593842673E-2</v>
      </c>
      <c r="G267">
        <v>0</v>
      </c>
      <c r="H267">
        <v>0</v>
      </c>
      <c r="I267" s="25">
        <f t="shared" si="42"/>
        <v>16.410664526369384</v>
      </c>
      <c r="J267" s="25">
        <f t="shared" si="43"/>
        <v>8.4332581593842673E-2</v>
      </c>
    </row>
    <row r="268" spans="1:10" x14ac:dyDescent="0.2">
      <c r="A268" s="516" t="s">
        <v>101</v>
      </c>
      <c r="B268" t="s">
        <v>16</v>
      </c>
      <c r="C268" s="13">
        <f t="shared" si="46"/>
        <v>8.2276785236722944E-6</v>
      </c>
      <c r="D268" s="13">
        <f t="shared" si="49"/>
        <v>8.2276785236722944E-6</v>
      </c>
      <c r="E268" s="25">
        <f t="shared" si="47"/>
        <v>5.923928537044052</v>
      </c>
      <c r="F268" s="25">
        <f t="shared" si="48"/>
        <v>3.0442410537587488E-2</v>
      </c>
      <c r="G268">
        <v>0</v>
      </c>
      <c r="H268">
        <v>0</v>
      </c>
      <c r="I268" s="25">
        <f t="shared" si="42"/>
        <v>5.923928537044052</v>
      </c>
      <c r="J268" s="25">
        <f t="shared" si="43"/>
        <v>3.0442410537587488E-2</v>
      </c>
    </row>
    <row r="269" spans="1:10" x14ac:dyDescent="0.2">
      <c r="A269" s="516" t="s">
        <v>103</v>
      </c>
      <c r="B269" t="s">
        <v>32</v>
      </c>
      <c r="C269" s="13">
        <f t="shared" si="46"/>
        <v>1.3140770469052583E-5</v>
      </c>
      <c r="D269" s="13">
        <f t="shared" si="49"/>
        <v>1.3140770469052583E-5</v>
      </c>
      <c r="E269" s="25">
        <f t="shared" si="47"/>
        <v>9.4613547377178602</v>
      </c>
      <c r="F269" s="25">
        <f t="shared" si="48"/>
        <v>4.8620850735494554E-2</v>
      </c>
      <c r="G269">
        <v>0</v>
      </c>
      <c r="H269">
        <v>0</v>
      </c>
      <c r="I269" s="25">
        <f t="shared" si="42"/>
        <v>9.4613547377178602</v>
      </c>
      <c r="J269" s="25">
        <f t="shared" si="43"/>
        <v>4.8620850735494554E-2</v>
      </c>
    </row>
    <row r="270" spans="1:10" x14ac:dyDescent="0.2">
      <c r="A270" s="516" t="s">
        <v>110</v>
      </c>
      <c r="B270" t="s">
        <v>541</v>
      </c>
      <c r="C270" s="13">
        <f t="shared" si="46"/>
        <v>5.1542635087245614E-6</v>
      </c>
      <c r="D270" s="13">
        <f t="shared" si="49"/>
        <v>5.1542635087245614E-6</v>
      </c>
      <c r="E270" s="25">
        <f t="shared" si="47"/>
        <v>3.7110697262816843</v>
      </c>
      <c r="F270" s="25">
        <f t="shared" si="48"/>
        <v>1.9070774982280877E-2</v>
      </c>
      <c r="G270">
        <v>0</v>
      </c>
      <c r="H270">
        <v>0</v>
      </c>
      <c r="I270" s="25">
        <f t="shared" si="42"/>
        <v>3.7110697262816843</v>
      </c>
      <c r="J270" s="25">
        <f t="shared" si="43"/>
        <v>1.9070774982280877E-2</v>
      </c>
    </row>
    <row r="271" spans="1:10" x14ac:dyDescent="0.2">
      <c r="A271" s="516" t="s">
        <v>503</v>
      </c>
      <c r="B271" t="s">
        <v>542</v>
      </c>
      <c r="C271" s="13">
        <f t="shared" si="46"/>
        <v>7.0175870939854873E-6</v>
      </c>
      <c r="D271" s="13">
        <f t="shared" si="49"/>
        <v>7.0175870939854873E-6</v>
      </c>
      <c r="E271" s="25">
        <f t="shared" si="47"/>
        <v>5.0526627076695512</v>
      </c>
      <c r="F271" s="25">
        <f t="shared" si="48"/>
        <v>2.5965072247746301E-2</v>
      </c>
      <c r="G271">
        <v>0</v>
      </c>
      <c r="H271">
        <v>0</v>
      </c>
      <c r="I271" s="25">
        <f t="shared" si="42"/>
        <v>5.0526627076695512</v>
      </c>
      <c r="J271" s="25">
        <f t="shared" si="43"/>
        <v>2.5965072247746301E-2</v>
      </c>
    </row>
    <row r="272" spans="1:10" x14ac:dyDescent="0.2">
      <c r="A272" s="516" t="s">
        <v>508</v>
      </c>
      <c r="B272" t="s">
        <v>543</v>
      </c>
      <c r="C272" s="13">
        <f t="shared" si="46"/>
        <v>1.4070652331802036E-5</v>
      </c>
      <c r="D272" s="13">
        <f t="shared" si="49"/>
        <v>1.4070652331802036E-5</v>
      </c>
      <c r="E272" s="25">
        <f t="shared" si="47"/>
        <v>10.130869678897465</v>
      </c>
      <c r="F272" s="25">
        <f t="shared" si="48"/>
        <v>5.206141362766753E-2</v>
      </c>
      <c r="G272">
        <v>0</v>
      </c>
      <c r="H272">
        <v>0</v>
      </c>
      <c r="I272" s="25">
        <f t="shared" si="42"/>
        <v>10.130869678897465</v>
      </c>
      <c r="J272" s="25">
        <f t="shared" si="43"/>
        <v>5.206141362766753E-2</v>
      </c>
    </row>
    <row r="273" spans="1:10" x14ac:dyDescent="0.2">
      <c r="A273" s="516" t="s">
        <v>513</v>
      </c>
      <c r="B273" t="s">
        <v>544</v>
      </c>
      <c r="C273" s="13">
        <f t="shared" si="46"/>
        <v>6.2887122103383664E-6</v>
      </c>
      <c r="D273" s="13">
        <f t="shared" si="49"/>
        <v>6.2887122103383664E-6</v>
      </c>
      <c r="E273" s="25">
        <f t="shared" si="47"/>
        <v>4.5278727914436239</v>
      </c>
      <c r="F273" s="25">
        <f t="shared" si="48"/>
        <v>2.3268235178251957E-2</v>
      </c>
      <c r="G273">
        <v>0</v>
      </c>
      <c r="H273">
        <v>0</v>
      </c>
      <c r="I273" s="25">
        <f t="shared" si="42"/>
        <v>4.5278727914436239</v>
      </c>
      <c r="J273" s="25">
        <f t="shared" si="43"/>
        <v>2.3268235178251957E-2</v>
      </c>
    </row>
    <row r="274" spans="1:10" x14ac:dyDescent="0.2">
      <c r="A274" s="516" t="s">
        <v>518</v>
      </c>
      <c r="B274" t="s">
        <v>545</v>
      </c>
      <c r="C274" s="13">
        <f t="shared" si="46"/>
        <v>1.392202502060443E-5</v>
      </c>
      <c r="D274" s="13">
        <f t="shared" si="49"/>
        <v>1.392202502060443E-5</v>
      </c>
      <c r="E274" s="25">
        <f t="shared" si="47"/>
        <v>10.02385801483519</v>
      </c>
      <c r="F274" s="25">
        <f t="shared" si="48"/>
        <v>5.1511492576236391E-2</v>
      </c>
      <c r="G274">
        <v>0</v>
      </c>
      <c r="H274">
        <v>0</v>
      </c>
      <c r="I274" s="25">
        <f t="shared" si="42"/>
        <v>10.02385801483519</v>
      </c>
      <c r="J274" s="25">
        <f t="shared" si="43"/>
        <v>5.1511492576236391E-2</v>
      </c>
    </row>
    <row r="275" spans="1:10" x14ac:dyDescent="0.2">
      <c r="A275" s="516" t="s">
        <v>523</v>
      </c>
      <c r="B275" t="s">
        <v>546</v>
      </c>
      <c r="C275" s="13">
        <f t="shared" si="46"/>
        <v>8.6445361599090616E-6</v>
      </c>
      <c r="D275" s="13">
        <f t="shared" si="49"/>
        <v>8.6445361599090616E-6</v>
      </c>
      <c r="E275" s="25">
        <f t="shared" si="47"/>
        <v>6.2240660351345243</v>
      </c>
      <c r="F275" s="25">
        <f t="shared" si="48"/>
        <v>3.1984783791663529E-2</v>
      </c>
      <c r="G275">
        <v>0</v>
      </c>
      <c r="H275">
        <v>0</v>
      </c>
      <c r="I275" s="25">
        <f t="shared" si="42"/>
        <v>6.2240660351345243</v>
      </c>
      <c r="J275" s="25">
        <f t="shared" si="43"/>
        <v>3.1984783791663529E-2</v>
      </c>
    </row>
    <row r="276" spans="1:10" x14ac:dyDescent="0.2">
      <c r="A276" s="516" t="s">
        <v>528</v>
      </c>
      <c r="B276" t="s">
        <v>547</v>
      </c>
      <c r="C276" s="13">
        <f t="shared" si="46"/>
        <v>1.4887714023632248E-5</v>
      </c>
      <c r="D276" s="13">
        <f t="shared" si="49"/>
        <v>1.4887714023632248E-5</v>
      </c>
      <c r="E276" s="25">
        <f t="shared" si="47"/>
        <v>10.719154097015219</v>
      </c>
      <c r="F276" s="25">
        <f t="shared" si="48"/>
        <v>5.5084541887439317E-2</v>
      </c>
      <c r="G276">
        <v>0</v>
      </c>
      <c r="H276">
        <v>0</v>
      </c>
      <c r="I276" s="25">
        <f t="shared" si="42"/>
        <v>10.719154097015219</v>
      </c>
      <c r="J276" s="25">
        <f t="shared" si="43"/>
        <v>5.5084541887439317E-2</v>
      </c>
    </row>
    <row r="277" spans="1:10" x14ac:dyDescent="0.2">
      <c r="A277" s="515">
        <v>646</v>
      </c>
      <c r="B277" t="s">
        <v>681</v>
      </c>
      <c r="C277" s="13">
        <f t="shared" si="46"/>
        <v>1.0981234599102811E-10</v>
      </c>
      <c r="D277" s="13">
        <f t="shared" si="49"/>
        <v>1.0981234599102811E-10</v>
      </c>
      <c r="E277" s="25">
        <f t="shared" ref="E277:E283" si="50">C277*$B$42</f>
        <v>7.9064889113540239E-5</v>
      </c>
      <c r="F277" s="25">
        <f t="shared" ref="F277:F283" si="51">D277*$B$41</f>
        <v>4.0630568016680396E-7</v>
      </c>
      <c r="G277">
        <v>0</v>
      </c>
      <c r="H277">
        <v>0</v>
      </c>
      <c r="I277" s="25">
        <f t="shared" si="42"/>
        <v>7.9064889113540239E-5</v>
      </c>
      <c r="J277" s="313">
        <f t="shared" si="43"/>
        <v>4.0630568016680396E-7</v>
      </c>
    </row>
    <row r="278" spans="1:10" x14ac:dyDescent="0.2">
      <c r="A278" s="515">
        <v>645</v>
      </c>
      <c r="B278" t="s">
        <v>680</v>
      </c>
      <c r="C278" s="13">
        <f>((C85+C143+C195)/$B$43)*(1-$B$43)</f>
        <v>2.7560790180274515E-11</v>
      </c>
      <c r="D278" s="13">
        <f t="shared" si="49"/>
        <v>2.7560790180274515E-11</v>
      </c>
      <c r="E278" s="25">
        <f t="shared" si="50"/>
        <v>1.9843768929797652E-5</v>
      </c>
      <c r="F278" s="25">
        <f t="shared" si="51"/>
        <v>1.0197492366701571E-7</v>
      </c>
      <c r="G278">
        <v>0</v>
      </c>
      <c r="H278">
        <v>0</v>
      </c>
      <c r="I278" s="25">
        <f t="shared" si="42"/>
        <v>1.9843768929797652E-5</v>
      </c>
      <c r="J278" s="313">
        <f t="shared" si="43"/>
        <v>1.0197492366701571E-7</v>
      </c>
    </row>
    <row r="279" spans="1:10" x14ac:dyDescent="0.2">
      <c r="A279" s="515">
        <v>401</v>
      </c>
      <c r="B279" t="s">
        <v>689</v>
      </c>
      <c r="C279" s="13">
        <f t="shared" si="46"/>
        <v>1.5108916475034127E-6</v>
      </c>
      <c r="D279" s="13">
        <f t="shared" si="49"/>
        <v>1.5108916475034127E-6</v>
      </c>
      <c r="E279" s="25">
        <f t="shared" si="50"/>
        <v>1.0878419862024571</v>
      </c>
      <c r="F279" s="25">
        <f t="shared" si="51"/>
        <v>5.590299095762627E-3</v>
      </c>
      <c r="G279">
        <v>0</v>
      </c>
      <c r="H279">
        <v>0</v>
      </c>
      <c r="I279" s="25">
        <f t="shared" si="42"/>
        <v>1.0878419862024571</v>
      </c>
      <c r="J279" s="25">
        <f t="shared" si="43"/>
        <v>5.590299095762627E-3</v>
      </c>
    </row>
    <row r="280" spans="1:10" x14ac:dyDescent="0.2">
      <c r="A280" s="515" t="s">
        <v>107</v>
      </c>
      <c r="B280" t="s">
        <v>19</v>
      </c>
      <c r="C280" s="13">
        <f t="shared" si="46"/>
        <v>1.5736831479325374E-4</v>
      </c>
      <c r="D280" s="13">
        <f t="shared" si="49"/>
        <v>1.5736831479325374E-4</v>
      </c>
      <c r="E280" s="25">
        <f t="shared" si="50"/>
        <v>113.30518665114269</v>
      </c>
      <c r="F280" s="25">
        <f t="shared" si="51"/>
        <v>0.5822627647350388</v>
      </c>
      <c r="G280">
        <v>0</v>
      </c>
      <c r="H280">
        <v>0</v>
      </c>
      <c r="I280" s="25">
        <f t="shared" si="42"/>
        <v>113.30518665114269</v>
      </c>
      <c r="J280" s="25">
        <f t="shared" si="43"/>
        <v>0.5822627647350388</v>
      </c>
    </row>
    <row r="281" spans="1:10" x14ac:dyDescent="0.2">
      <c r="A281" s="515" t="s">
        <v>192</v>
      </c>
      <c r="B281" t="s">
        <v>223</v>
      </c>
      <c r="C281" s="13">
        <f t="shared" si="46"/>
        <v>1.067636018009133E-7</v>
      </c>
      <c r="D281" s="13">
        <f t="shared" si="49"/>
        <v>1.067636018009133E-7</v>
      </c>
      <c r="E281" s="25">
        <f t="shared" si="50"/>
        <v>7.6869793296657579E-2</v>
      </c>
      <c r="F281" s="25">
        <f t="shared" si="51"/>
        <v>3.950253266633792E-4</v>
      </c>
      <c r="G281">
        <v>0</v>
      </c>
      <c r="H281">
        <v>0</v>
      </c>
      <c r="I281" s="25">
        <f t="shared" si="42"/>
        <v>7.6869793296657579E-2</v>
      </c>
      <c r="J281" s="25">
        <f t="shared" si="43"/>
        <v>3.950253266633792E-4</v>
      </c>
    </row>
    <row r="282" spans="1:10" x14ac:dyDescent="0.2">
      <c r="A282" s="515" t="s">
        <v>686</v>
      </c>
      <c r="B282" t="s">
        <v>655</v>
      </c>
      <c r="C282" s="13">
        <f t="shared" si="46"/>
        <v>3.8577313635030047E-7</v>
      </c>
      <c r="D282" s="13">
        <f t="shared" si="49"/>
        <v>3.8577313635030047E-7</v>
      </c>
      <c r="E282" s="25">
        <f t="shared" si="50"/>
        <v>0.27775665817221634</v>
      </c>
      <c r="F282" s="25">
        <f t="shared" si="51"/>
        <v>1.4273606044961117E-3</v>
      </c>
      <c r="G282">
        <v>0</v>
      </c>
      <c r="H282">
        <v>0</v>
      </c>
      <c r="I282" s="25">
        <f t="shared" si="42"/>
        <v>0.27775665817221634</v>
      </c>
      <c r="J282" s="25">
        <f t="shared" si="43"/>
        <v>1.4273606044961117E-3</v>
      </c>
    </row>
    <row r="283" spans="1:10" x14ac:dyDescent="0.2">
      <c r="A283" s="515">
        <v>447</v>
      </c>
      <c r="B283" t="s">
        <v>661</v>
      </c>
      <c r="C283" s="13">
        <f t="shared" si="46"/>
        <v>4.2820818134883351E-8</v>
      </c>
      <c r="D283" s="13">
        <f t="shared" si="49"/>
        <v>4.2820818134883351E-8</v>
      </c>
      <c r="E283" s="25">
        <f t="shared" si="50"/>
        <v>3.0830989057116013E-2</v>
      </c>
      <c r="F283" s="25">
        <f t="shared" si="51"/>
        <v>1.5843702709906839E-4</v>
      </c>
      <c r="G283">
        <v>0</v>
      </c>
      <c r="H283">
        <v>0</v>
      </c>
      <c r="I283" s="25">
        <f t="shared" si="42"/>
        <v>3.0830989057116013E-2</v>
      </c>
      <c r="J283" s="25">
        <f t="shared" si="43"/>
        <v>1.5843702709906839E-4</v>
      </c>
    </row>
    <row r="284" spans="1:10" s="477" customFormat="1" x14ac:dyDescent="0.2">
      <c r="A284" s="519">
        <v>239</v>
      </c>
      <c r="B284" s="477" t="s">
        <v>104</v>
      </c>
      <c r="C284" s="478">
        <f>(C91/(1-0.95)*(1-0.95))</f>
        <v>3.5000000000000001E-3</v>
      </c>
      <c r="D284" s="478">
        <f t="shared" si="49"/>
        <v>3.5000000000000001E-3</v>
      </c>
      <c r="E284" s="11">
        <f t="shared" ref="E284" si="52">C284*$B$42</f>
        <v>2520</v>
      </c>
      <c r="F284" s="11">
        <f t="shared" ref="F284" si="53">D284*$B$41</f>
        <v>12.950000000000001</v>
      </c>
      <c r="G284">
        <v>0</v>
      </c>
      <c r="H284">
        <v>0</v>
      </c>
      <c r="I284" s="11">
        <f t="shared" si="42"/>
        <v>2520</v>
      </c>
      <c r="J284" s="11">
        <f t="shared" si="43"/>
        <v>12.950000000000001</v>
      </c>
    </row>
    <row r="295" spans="1:4" ht="19" x14ac:dyDescent="0.25">
      <c r="A295" s="521" t="s">
        <v>364</v>
      </c>
    </row>
    <row r="303" spans="1:4" ht="51" x14ac:dyDescent="0.2">
      <c r="A303" s="523" t="s">
        <v>365</v>
      </c>
      <c r="B303" s="166" t="s">
        <v>366</v>
      </c>
      <c r="C303" s="166" t="s">
        <v>367</v>
      </c>
      <c r="D303" s="166" t="s">
        <v>1790</v>
      </c>
    </row>
    <row r="304" spans="1:4" ht="17" x14ac:dyDescent="0.2">
      <c r="A304" s="524" t="s">
        <v>368</v>
      </c>
      <c r="B304" s="167">
        <v>2</v>
      </c>
      <c r="C304" s="167">
        <v>15</v>
      </c>
      <c r="D304" s="167" t="s">
        <v>1791</v>
      </c>
    </row>
    <row r="305" spans="1:6" ht="17" x14ac:dyDescent="0.2">
      <c r="A305" s="524" t="s">
        <v>369</v>
      </c>
      <c r="B305" s="167">
        <v>1</v>
      </c>
      <c r="C305" s="167">
        <v>7</v>
      </c>
      <c r="D305" s="167" t="s">
        <v>1791</v>
      </c>
    </row>
    <row r="306" spans="1:6" ht="17" x14ac:dyDescent="0.2">
      <c r="A306" s="524" t="s">
        <v>370</v>
      </c>
      <c r="B306" s="167">
        <v>4</v>
      </c>
      <c r="C306" s="167">
        <v>2</v>
      </c>
      <c r="D306" s="167" t="s">
        <v>1792</v>
      </c>
    </row>
    <row r="307" spans="1:6" ht="17" x14ac:dyDescent="0.2">
      <c r="A307" s="524" t="s">
        <v>371</v>
      </c>
      <c r="B307" s="167">
        <v>2</v>
      </c>
      <c r="C307" s="167">
        <v>7.5</v>
      </c>
      <c r="D307" s="167" t="s">
        <v>1792</v>
      </c>
    </row>
    <row r="308" spans="1:6" ht="17" x14ac:dyDescent="0.2">
      <c r="A308" s="524" t="s">
        <v>373</v>
      </c>
      <c r="B308" s="167">
        <v>1</v>
      </c>
      <c r="C308" s="167">
        <v>7.5</v>
      </c>
      <c r="D308" s="167" t="s">
        <v>381</v>
      </c>
    </row>
    <row r="309" spans="1:6" ht="17" x14ac:dyDescent="0.2">
      <c r="A309" s="524" t="s">
        <v>372</v>
      </c>
      <c r="B309" s="167">
        <v>2</v>
      </c>
      <c r="C309" s="167">
        <v>1.5</v>
      </c>
      <c r="D309" s="167" t="s">
        <v>1792</v>
      </c>
    </row>
    <row r="311" spans="1:6" ht="17" x14ac:dyDescent="0.2">
      <c r="A311" s="525" t="s">
        <v>374</v>
      </c>
      <c r="B311" s="1">
        <v>24</v>
      </c>
      <c r="C311" t="s">
        <v>42</v>
      </c>
    </row>
    <row r="312" spans="1:6" ht="17" x14ac:dyDescent="0.2">
      <c r="A312" s="525" t="s">
        <v>375</v>
      </c>
      <c r="B312" s="1">
        <v>8760</v>
      </c>
      <c r="C312" t="s">
        <v>377</v>
      </c>
    </row>
    <row r="313" spans="1:6" ht="17" x14ac:dyDescent="0.2">
      <c r="A313" s="525" t="s">
        <v>376</v>
      </c>
      <c r="B313">
        <v>1020</v>
      </c>
      <c r="C313" t="s">
        <v>378</v>
      </c>
    </row>
    <row r="314" spans="1:6" x14ac:dyDescent="0.2">
      <c r="A314" s="525"/>
    </row>
    <row r="315" spans="1:6" ht="51" x14ac:dyDescent="0.2">
      <c r="A315" s="523" t="s">
        <v>365</v>
      </c>
      <c r="B315" s="29" t="s">
        <v>379</v>
      </c>
      <c r="C315" s="29" t="s">
        <v>380</v>
      </c>
    </row>
    <row r="316" spans="1:6" ht="17" x14ac:dyDescent="0.2">
      <c r="A316" s="525" t="s">
        <v>373</v>
      </c>
      <c r="B316" s="47">
        <f>C308*B312/B313</f>
        <v>64.411764705882348</v>
      </c>
      <c r="C316" s="11">
        <f>C308*B311/B313</f>
        <v>0.17647058823529413</v>
      </c>
      <c r="E316" s="47"/>
    </row>
    <row r="317" spans="1:6" ht="17" x14ac:dyDescent="0.2">
      <c r="A317" s="525" t="s">
        <v>368</v>
      </c>
      <c r="B317" s="47">
        <f>(B304*C304+B305*C305)*B312/B313</f>
        <v>317.76470588235293</v>
      </c>
      <c r="C317" s="11">
        <f>(B304*C304+B305*C305)*B311/B313</f>
        <v>0.87058823529411766</v>
      </c>
      <c r="E317" s="47"/>
    </row>
    <row r="318" spans="1:6" ht="17" x14ac:dyDescent="0.2">
      <c r="A318" s="525" t="s">
        <v>383</v>
      </c>
      <c r="B318" s="47">
        <f>(B306*C306+B309*C309)*B312/B313</f>
        <v>94.470588235294116</v>
      </c>
      <c r="C318" s="11">
        <f>(B306*C306+B309*C309)*B311/B313</f>
        <v>0.25882352941176473</v>
      </c>
      <c r="E318" s="47"/>
      <c r="F318" s="47"/>
    </row>
    <row r="319" spans="1:6" ht="17" x14ac:dyDescent="0.2">
      <c r="A319" s="525" t="s">
        <v>371</v>
      </c>
      <c r="B319" s="47">
        <f>B307*C307*B312/B313</f>
        <v>128.8235294117647</v>
      </c>
      <c r="C319" s="11">
        <f>B307*C307*B311/B313</f>
        <v>0.35294117647058826</v>
      </c>
      <c r="F319" s="47"/>
    </row>
    <row r="321" spans="1:5" ht="19" x14ac:dyDescent="0.25">
      <c r="A321" s="521" t="s">
        <v>363</v>
      </c>
      <c r="D321" t="s">
        <v>1</v>
      </c>
    </row>
    <row r="323" spans="1:5" ht="34" x14ac:dyDescent="0.2">
      <c r="A323" s="522" t="s">
        <v>209</v>
      </c>
      <c r="B323" s="29" t="s">
        <v>208</v>
      </c>
      <c r="C323" s="29" t="s">
        <v>237</v>
      </c>
      <c r="D323" s="29" t="s">
        <v>211</v>
      </c>
      <c r="E323" s="29" t="s">
        <v>212</v>
      </c>
    </row>
    <row r="324" spans="1:5" x14ac:dyDescent="0.2">
      <c r="A324" s="516" t="s">
        <v>100</v>
      </c>
      <c r="B324" t="s">
        <v>15</v>
      </c>
      <c r="C324">
        <v>8.0000000000000002E-3</v>
      </c>
      <c r="D324" s="13">
        <f>C324*$B$316</f>
        <v>0.51529411764705879</v>
      </c>
      <c r="E324" s="13">
        <f>C324*$C$316</f>
        <v>1.411764705882353E-3</v>
      </c>
    </row>
    <row r="325" spans="1:5" x14ac:dyDescent="0.2">
      <c r="A325" s="516" t="s">
        <v>105</v>
      </c>
      <c r="B325" t="s">
        <v>17</v>
      </c>
      <c r="C325">
        <v>1.7000000000000001E-2</v>
      </c>
      <c r="D325" s="13">
        <f t="shared" ref="D325:D350" si="54">C325*$B$316</f>
        <v>1.095</v>
      </c>
      <c r="E325" s="13">
        <f t="shared" ref="E325:E350" si="55">C325*$C$316</f>
        <v>3.0000000000000005E-3</v>
      </c>
    </row>
    <row r="326" spans="1:5" x14ac:dyDescent="0.2">
      <c r="A326" s="515">
        <v>401</v>
      </c>
      <c r="B326" t="s">
        <v>232</v>
      </c>
      <c r="C326">
        <v>1E-4</v>
      </c>
      <c r="D326" s="13">
        <f t="shared" si="54"/>
        <v>6.4411764705882349E-3</v>
      </c>
      <c r="E326" s="13">
        <f t="shared" si="55"/>
        <v>1.7647058823529414E-5</v>
      </c>
    </row>
    <row r="327" spans="1:5" x14ac:dyDescent="0.2">
      <c r="A327" s="516" t="s">
        <v>192</v>
      </c>
      <c r="B327" t="s">
        <v>223</v>
      </c>
      <c r="C327">
        <v>1.1999999999999999E-6</v>
      </c>
      <c r="D327" s="13">
        <f t="shared" si="54"/>
        <v>7.7294117647058811E-5</v>
      </c>
      <c r="E327" s="13">
        <f t="shared" si="55"/>
        <v>2.1176470588235296E-7</v>
      </c>
    </row>
    <row r="328" spans="1:5" x14ac:dyDescent="0.2">
      <c r="A328" s="516" t="s">
        <v>107</v>
      </c>
      <c r="B328" t="s">
        <v>19</v>
      </c>
      <c r="C328">
        <v>2.9999999999999997E-4</v>
      </c>
      <c r="D328" s="13">
        <f t="shared" si="54"/>
        <v>1.9323529411764701E-2</v>
      </c>
      <c r="E328" s="13">
        <f t="shared" si="55"/>
        <v>5.2941176470588237E-5</v>
      </c>
    </row>
    <row r="329" spans="1:5" x14ac:dyDescent="0.2">
      <c r="A329" s="516" t="s">
        <v>97</v>
      </c>
      <c r="B329" t="s">
        <v>13</v>
      </c>
      <c r="C329">
        <v>4.3E-3</v>
      </c>
      <c r="D329" s="13">
        <f t="shared" si="54"/>
        <v>0.27697058823529408</v>
      </c>
      <c r="E329" s="13">
        <f t="shared" si="55"/>
        <v>7.588235294117648E-4</v>
      </c>
    </row>
    <row r="330" spans="1:5" x14ac:dyDescent="0.2">
      <c r="A330" s="516" t="s">
        <v>98</v>
      </c>
      <c r="B330" t="s">
        <v>14</v>
      </c>
      <c r="C330">
        <v>2.7000000000000001E-3</v>
      </c>
      <c r="D330" s="13">
        <f t="shared" si="54"/>
        <v>0.17391176470588235</v>
      </c>
      <c r="E330" s="13">
        <f t="shared" si="55"/>
        <v>4.7647058823529418E-4</v>
      </c>
    </row>
    <row r="331" spans="1:5" x14ac:dyDescent="0.2">
      <c r="A331" s="516" t="s">
        <v>99</v>
      </c>
      <c r="B331" t="s">
        <v>33</v>
      </c>
      <c r="C331">
        <v>18</v>
      </c>
      <c r="D331" s="13">
        <f t="shared" si="54"/>
        <v>1159.4117647058822</v>
      </c>
      <c r="E331" s="13">
        <f t="shared" si="55"/>
        <v>3.1764705882352944</v>
      </c>
    </row>
    <row r="332" spans="1:5" x14ac:dyDescent="0.2">
      <c r="A332" s="516" t="s">
        <v>83</v>
      </c>
      <c r="B332" t="s">
        <v>221</v>
      </c>
      <c r="C332">
        <v>2.0000000000000001E-4</v>
      </c>
      <c r="D332" s="13">
        <f t="shared" si="54"/>
        <v>1.288235294117647E-2</v>
      </c>
      <c r="E332" s="13">
        <f t="shared" si="55"/>
        <v>3.5294117647058827E-5</v>
      </c>
    </row>
    <row r="333" spans="1:5" x14ac:dyDescent="0.2">
      <c r="A333" s="516" t="s">
        <v>95</v>
      </c>
      <c r="B333" t="s">
        <v>222</v>
      </c>
      <c r="C333">
        <v>4.4000000000000003E-3</v>
      </c>
      <c r="D333" s="13">
        <f t="shared" si="54"/>
        <v>0.28341176470588236</v>
      </c>
      <c r="E333" s="13">
        <f t="shared" si="55"/>
        <v>7.7647058823529427E-4</v>
      </c>
    </row>
    <row r="334" spans="1:5" x14ac:dyDescent="0.2">
      <c r="A334" s="516" t="s">
        <v>93</v>
      </c>
      <c r="B334" t="s">
        <v>224</v>
      </c>
      <c r="C334">
        <v>1.2E-5</v>
      </c>
      <c r="D334" s="13">
        <f t="shared" si="54"/>
        <v>7.7294117647058822E-4</v>
      </c>
      <c r="E334" s="13">
        <f t="shared" si="55"/>
        <v>2.1176470588235296E-6</v>
      </c>
    </row>
    <row r="335" spans="1:5" x14ac:dyDescent="0.2">
      <c r="A335" s="516" t="s">
        <v>84</v>
      </c>
      <c r="B335" t="s">
        <v>225</v>
      </c>
      <c r="C335">
        <v>1.1000000000000001E-3</v>
      </c>
      <c r="D335" s="13">
        <f t="shared" si="54"/>
        <v>7.0852941176470591E-2</v>
      </c>
      <c r="E335" s="13">
        <f t="shared" si="55"/>
        <v>1.9411764705882357E-4</v>
      </c>
    </row>
    <row r="336" spans="1:5" x14ac:dyDescent="0.2">
      <c r="A336" s="516" t="s">
        <v>85</v>
      </c>
      <c r="B336" t="s">
        <v>215</v>
      </c>
      <c r="C336">
        <v>1.4E-3</v>
      </c>
      <c r="D336" s="13">
        <f t="shared" si="54"/>
        <v>9.0176470588235288E-2</v>
      </c>
      <c r="E336" s="13">
        <f t="shared" si="55"/>
        <v>2.470588235294118E-4</v>
      </c>
    </row>
    <row r="337" spans="1:5" x14ac:dyDescent="0.2">
      <c r="A337" s="516" t="s">
        <v>86</v>
      </c>
      <c r="B337" t="s">
        <v>227</v>
      </c>
      <c r="C337">
        <v>8.3999999999999995E-5</v>
      </c>
      <c r="D337" s="13">
        <f t="shared" si="54"/>
        <v>5.4105882352941167E-3</v>
      </c>
      <c r="E337" s="13">
        <f t="shared" si="55"/>
        <v>1.4823529411764705E-5</v>
      </c>
    </row>
    <row r="338" spans="1:5" x14ac:dyDescent="0.2">
      <c r="A338" s="516" t="s">
        <v>87</v>
      </c>
      <c r="B338" t="s">
        <v>194</v>
      </c>
      <c r="C338">
        <v>8.4999999999999995E-4</v>
      </c>
      <c r="D338" s="13">
        <f t="shared" si="54"/>
        <v>5.4749999999999993E-2</v>
      </c>
      <c r="E338" s="13">
        <f t="shared" si="55"/>
        <v>1.5000000000000001E-4</v>
      </c>
    </row>
    <row r="339" spans="1:5" x14ac:dyDescent="0.2">
      <c r="A339" s="516" t="s">
        <v>103</v>
      </c>
      <c r="B339" t="s">
        <v>32</v>
      </c>
      <c r="C339">
        <v>9.4999999999999998E-3</v>
      </c>
      <c r="D339" s="13">
        <f t="shared" si="54"/>
        <v>0.61191176470588227</v>
      </c>
      <c r="E339" s="13">
        <f t="shared" si="55"/>
        <v>1.6764705882352942E-3</v>
      </c>
    </row>
    <row r="340" spans="1:5" x14ac:dyDescent="0.2">
      <c r="A340" s="516" t="s">
        <v>106</v>
      </c>
      <c r="B340" t="s">
        <v>18</v>
      </c>
      <c r="C340">
        <v>6.3E-3</v>
      </c>
      <c r="D340" s="13">
        <f t="shared" si="54"/>
        <v>0.40579411764705881</v>
      </c>
      <c r="E340" s="13">
        <f t="shared" si="55"/>
        <v>1.1117647058823531E-3</v>
      </c>
    </row>
    <row r="341" spans="1:5" x14ac:dyDescent="0.2">
      <c r="A341" s="516" t="s">
        <v>88</v>
      </c>
      <c r="B341" t="s">
        <v>228</v>
      </c>
      <c r="C341">
        <v>5.0000000000000001E-4</v>
      </c>
      <c r="D341" s="13">
        <f t="shared" si="54"/>
        <v>3.2205882352941174E-2</v>
      </c>
      <c r="E341" s="13">
        <f t="shared" si="55"/>
        <v>8.8235294117647065E-5</v>
      </c>
    </row>
    <row r="342" spans="1:5" x14ac:dyDescent="0.2">
      <c r="A342" s="516" t="s">
        <v>89</v>
      </c>
      <c r="B342" t="s">
        <v>229</v>
      </c>
      <c r="C342">
        <v>3.8000000000000002E-4</v>
      </c>
      <c r="D342" s="13">
        <f t="shared" si="54"/>
        <v>2.4476470588235294E-2</v>
      </c>
      <c r="E342" s="13">
        <f t="shared" si="55"/>
        <v>6.7058823529411772E-5</v>
      </c>
    </row>
    <row r="343" spans="1:5" x14ac:dyDescent="0.2">
      <c r="A343" s="516" t="s">
        <v>90</v>
      </c>
      <c r="B343" t="s">
        <v>230</v>
      </c>
      <c r="C343">
        <v>2.5999999999999998E-4</v>
      </c>
      <c r="D343" s="13">
        <f t="shared" si="54"/>
        <v>1.674705882352941E-2</v>
      </c>
      <c r="E343" s="13">
        <f t="shared" si="55"/>
        <v>4.5882352941176467E-5</v>
      </c>
    </row>
    <row r="344" spans="1:5" x14ac:dyDescent="0.2">
      <c r="A344" s="516" t="s">
        <v>96</v>
      </c>
      <c r="B344" t="s">
        <v>196</v>
      </c>
      <c r="C344">
        <v>1.65E-3</v>
      </c>
      <c r="D344" s="13">
        <f t="shared" si="54"/>
        <v>0.10627941176470587</v>
      </c>
      <c r="E344" s="13">
        <f t="shared" si="55"/>
        <v>2.911764705882353E-4</v>
      </c>
    </row>
    <row r="345" spans="1:5" x14ac:dyDescent="0.2">
      <c r="A345" s="515">
        <v>365</v>
      </c>
      <c r="B345" t="s">
        <v>231</v>
      </c>
      <c r="C345">
        <v>2.0999999999999999E-3</v>
      </c>
      <c r="D345" s="13">
        <f t="shared" si="54"/>
        <v>0.13526470588235293</v>
      </c>
      <c r="E345" s="13">
        <f t="shared" si="55"/>
        <v>3.7058823529411767E-4</v>
      </c>
    </row>
    <row r="346" spans="1:5" x14ac:dyDescent="0.2">
      <c r="A346" s="516" t="s">
        <v>91</v>
      </c>
      <c r="B346" t="s">
        <v>233</v>
      </c>
      <c r="C346">
        <v>2.4000000000000001E-5</v>
      </c>
      <c r="D346" s="13">
        <f t="shared" si="54"/>
        <v>1.5458823529411764E-3</v>
      </c>
      <c r="E346" s="13">
        <f t="shared" si="55"/>
        <v>4.2352941176470591E-6</v>
      </c>
    </row>
    <row r="347" spans="1:5" x14ac:dyDescent="0.2">
      <c r="A347" s="516" t="s">
        <v>109</v>
      </c>
      <c r="B347" t="s">
        <v>21</v>
      </c>
      <c r="C347">
        <v>3.6600000000000001E-2</v>
      </c>
      <c r="D347" s="13">
        <f t="shared" si="54"/>
        <v>2.357470588235294</v>
      </c>
      <c r="E347" s="13">
        <f t="shared" si="55"/>
        <v>6.4588235294117651E-3</v>
      </c>
    </row>
    <row r="348" spans="1:5" x14ac:dyDescent="0.2">
      <c r="A348" s="516" t="s">
        <v>92</v>
      </c>
      <c r="B348" t="s">
        <v>197</v>
      </c>
      <c r="C348">
        <v>2.3E-3</v>
      </c>
      <c r="D348" s="13">
        <f t="shared" si="54"/>
        <v>0.14814705882352941</v>
      </c>
      <c r="E348" s="13">
        <f t="shared" si="55"/>
        <v>4.0588235294117649E-4</v>
      </c>
    </row>
    <row r="349" spans="1:5" x14ac:dyDescent="0.2">
      <c r="A349" s="516" t="s">
        <v>111</v>
      </c>
      <c r="B349" t="s">
        <v>234</v>
      </c>
      <c r="C349">
        <v>2.7199999999999998E-2</v>
      </c>
      <c r="D349" s="13">
        <f t="shared" si="54"/>
        <v>1.7519999999999998</v>
      </c>
      <c r="E349" s="13">
        <f t="shared" si="55"/>
        <v>4.8000000000000004E-3</v>
      </c>
    </row>
    <row r="350" spans="1:5" x14ac:dyDescent="0.2">
      <c r="A350" s="516" t="s">
        <v>94</v>
      </c>
      <c r="B350" t="s">
        <v>235</v>
      </c>
      <c r="C350">
        <v>2.9000000000000001E-2</v>
      </c>
      <c r="D350" s="13">
        <f t="shared" si="54"/>
        <v>1.8679411764705882</v>
      </c>
      <c r="E350" s="13">
        <f t="shared" si="55"/>
        <v>5.1176470588235297E-3</v>
      </c>
    </row>
    <row r="357" spans="1:16" ht="19" x14ac:dyDescent="0.25">
      <c r="A357" s="521" t="s">
        <v>1793</v>
      </c>
    </row>
    <row r="358" spans="1:16" ht="17" customHeight="1" x14ac:dyDescent="0.25">
      <c r="A358" s="521"/>
    </row>
    <row r="359" spans="1:16" ht="17" customHeight="1" x14ac:dyDescent="0.25">
      <c r="A359" s="521"/>
      <c r="F359" s="546">
        <f>1-H359</f>
        <v>0.83299999999999996</v>
      </c>
      <c r="G359" s="547"/>
      <c r="H359" s="548">
        <v>0.16700000000000001</v>
      </c>
      <c r="I359" s="548"/>
      <c r="J359" s="547" t="s">
        <v>1945</v>
      </c>
      <c r="K359" s="547"/>
      <c r="L359" s="547"/>
      <c r="M359" s="547"/>
    </row>
    <row r="360" spans="1:16" ht="17" customHeight="1" x14ac:dyDescent="0.2">
      <c r="F360" s="547" t="s">
        <v>335</v>
      </c>
      <c r="G360" s="547"/>
      <c r="H360" s="547" t="s">
        <v>382</v>
      </c>
      <c r="I360" s="547"/>
      <c r="J360" s="547" t="s">
        <v>335</v>
      </c>
      <c r="K360" s="547"/>
      <c r="L360" s="547" t="s">
        <v>382</v>
      </c>
      <c r="M360" s="547"/>
    </row>
    <row r="361" spans="1:16" ht="51" x14ac:dyDescent="0.2">
      <c r="A361" s="522" t="s">
        <v>209</v>
      </c>
      <c r="B361" s="29" t="s">
        <v>208</v>
      </c>
      <c r="C361" s="29" t="s">
        <v>237</v>
      </c>
      <c r="D361" s="29" t="s">
        <v>211</v>
      </c>
      <c r="E361" s="29" t="s">
        <v>212</v>
      </c>
      <c r="F361" s="29" t="s">
        <v>211</v>
      </c>
      <c r="G361" s="29" t="s">
        <v>212</v>
      </c>
      <c r="H361" s="29" t="s">
        <v>211</v>
      </c>
      <c r="I361" s="29" t="s">
        <v>212</v>
      </c>
      <c r="J361" s="29" t="s">
        <v>211</v>
      </c>
      <c r="K361" s="29" t="s">
        <v>212</v>
      </c>
      <c r="L361" s="29" t="s">
        <v>211</v>
      </c>
      <c r="M361" s="29" t="s">
        <v>212</v>
      </c>
    </row>
    <row r="362" spans="1:16" x14ac:dyDescent="0.2">
      <c r="A362" s="516" t="s">
        <v>100</v>
      </c>
      <c r="B362" t="s">
        <v>15</v>
      </c>
      <c r="C362">
        <v>8.0000000000000002E-3</v>
      </c>
      <c r="D362" s="13">
        <f>C362*$B$317</f>
        <v>2.5421176470588236</v>
      </c>
      <c r="E362" s="13">
        <f>C362*$C$317</f>
        <v>6.9647058823529414E-3</v>
      </c>
      <c r="F362" s="13">
        <f>D362*$F$359</f>
        <v>2.1175839999999999</v>
      </c>
      <c r="G362" s="13">
        <f>E362*$F$359</f>
        <v>5.8015999999999996E-3</v>
      </c>
      <c r="H362" s="13">
        <f>D362*$H$359</f>
        <v>0.42453364705882357</v>
      </c>
      <c r="I362" s="13">
        <f>E362*$H$359</f>
        <v>1.1631058823529414E-3</v>
      </c>
      <c r="J362" s="13">
        <f>F362+_xlfn.XLOOKUP($B362,Tabl_B1_Scrap!$B$91:$B$117,Tabl_B1_Scrap!F$91:F$117,0)+_xlfn.XLOOKUP($B362,Tabl_B4_Scrap_Billet_Cut!$B$87:$B$101,Tabl_B4_Scrap_Billet_Cut!F$87:F$101,0)</f>
        <v>2.1180496252753596</v>
      </c>
      <c r="K362" s="13">
        <f>G362+_xlfn.XLOOKUP($B362,Tabl_B1_Scrap!$B$91:$B$117,Tabl_B1_Scrap!G$91:G$117,0)+_xlfn.XLOOKUP($B362,Tabl_B4_Scrap_Billet_Cut!$B$87:$B$101,Tabl_B4_Scrap_Billet_Cut!G$87:G$101,0)</f>
        <v>5.8046387840000003E-3</v>
      </c>
      <c r="L362" s="13">
        <f>H362+_xlfn.XLOOKUP($B362,Tabl_B1_Scrap!$B$91:$B$117,Tabl_B1_Scrap!H$91:H$117,0)+_xlfn.XLOOKUP($B362,Tabl_B4_Scrap_Billet_Cut!$B$87:$B$101,Tabl_B4_Scrap_Billet_Cut!H$87:H$101,0)</f>
        <v>0.42462699570346357</v>
      </c>
      <c r="M362" s="13">
        <f>I362+_xlfn.XLOOKUP($B362,Tabl_B1_Scrap!$B$91:$B$117,Tabl_B1_Scrap!I$91:I$117,0)+_xlfn.XLOOKUP($B362,Tabl_B4_Scrap_Billet_Cut!$B$87:$B$101,Tabl_B4_Scrap_Billet_Cut!I$87:I$101,0)</f>
        <v>1.1637150983529413E-3</v>
      </c>
      <c r="P362" s="539"/>
    </row>
    <row r="363" spans="1:16" x14ac:dyDescent="0.2">
      <c r="A363" s="516" t="s">
        <v>105</v>
      </c>
      <c r="B363" t="s">
        <v>17</v>
      </c>
      <c r="C363">
        <v>1.7000000000000001E-2</v>
      </c>
      <c r="D363" s="13">
        <f t="shared" ref="D363:D388" si="56">C363*$B$317</f>
        <v>5.4020000000000001</v>
      </c>
      <c r="E363" s="13">
        <f t="shared" ref="E363:E388" si="57">C363*$C$317</f>
        <v>1.4800000000000001E-2</v>
      </c>
      <c r="F363" s="13">
        <f t="shared" ref="F363:F388" si="58">D363*$F$359</f>
        <v>4.4998659999999999</v>
      </c>
      <c r="G363" s="13">
        <f t="shared" ref="G363:G388" si="59">E363*$F$359</f>
        <v>1.23284E-2</v>
      </c>
      <c r="H363" s="13">
        <f t="shared" ref="H363:H388" si="60">D363*$H$359</f>
        <v>0.9021340000000001</v>
      </c>
      <c r="I363" s="13">
        <f t="shared" ref="I363:I388" si="61">E363*$H$359</f>
        <v>2.4716000000000004E-3</v>
      </c>
      <c r="J363" s="13">
        <f>F363+_xlfn.XLOOKUP($B363,Tabl_B1_Scrap!$B$91:$B$117,Tabl_B1_Scrap!F$91:F$117,0)+_xlfn.XLOOKUP($B363,Tabl_B4_Scrap_Billet_Cut!$B$87:$B$101,Tabl_B4_Scrap_Billet_Cut!F$87:F$101,0)</f>
        <v>4.5008554537101393</v>
      </c>
      <c r="K363" s="13">
        <f>G363+_xlfn.XLOOKUP($B363,Tabl_B1_Scrap!$B$91:$B$117,Tabl_B1_Scrap!G$91:G$117,0)+_xlfn.XLOOKUP($B363,Tabl_B4_Scrap_Billet_Cut!$B$87:$B$101,Tabl_B4_Scrap_Billet_Cut!G$87:G$101,0)</f>
        <v>1.2334857415999999E-2</v>
      </c>
      <c r="L363" s="13">
        <f>H363+_xlfn.XLOOKUP($B363,Tabl_B1_Scrap!$B$91:$B$117,Tabl_B1_Scrap!H$91:H$117,0)+_xlfn.XLOOKUP($B363,Tabl_B4_Scrap_Billet_Cut!$B$87:$B$101,Tabl_B4_Scrap_Billet_Cut!H$87:H$101,0)</f>
        <v>0.9023323658698601</v>
      </c>
      <c r="M363" s="13">
        <f>I363+_xlfn.XLOOKUP($B363,Tabl_B1_Scrap!$B$91:$B$117,Tabl_B1_Scrap!I$91:I$117,0)+_xlfn.XLOOKUP($B363,Tabl_B4_Scrap_Billet_Cut!$B$87:$B$101,Tabl_B4_Scrap_Billet_Cut!I$87:I$101,0)</f>
        <v>2.4728945840000005E-3</v>
      </c>
    </row>
    <row r="364" spans="1:16" x14ac:dyDescent="0.2">
      <c r="A364" s="515">
        <v>401</v>
      </c>
      <c r="B364" t="s">
        <v>232</v>
      </c>
      <c r="C364">
        <v>1E-4</v>
      </c>
      <c r="D364" s="13">
        <f t="shared" si="56"/>
        <v>3.1776470588235295E-2</v>
      </c>
      <c r="E364" s="13">
        <f t="shared" si="57"/>
        <v>8.7058823529411771E-5</v>
      </c>
      <c r="F364" s="13">
        <f t="shared" si="58"/>
        <v>2.6469799999999998E-2</v>
      </c>
      <c r="G364" s="13">
        <f t="shared" si="59"/>
        <v>7.2520000000000004E-5</v>
      </c>
      <c r="H364" s="13">
        <f t="shared" si="60"/>
        <v>5.306670588235295E-3</v>
      </c>
      <c r="I364" s="13">
        <f t="shared" si="61"/>
        <v>1.4538823529411767E-5</v>
      </c>
      <c r="J364" s="13">
        <f>F364+_xlfn.XLOOKUP($B364,Tabl_B1_Scrap!$B$91:$B$117,Tabl_B1_Scrap!F$91:F$117,0)+_xlfn.XLOOKUP($B364,Tabl_B4_Scrap_Billet_Cut!$B$87:$B$101,Tabl_B4_Scrap_Billet_Cut!F$87:F$101,0)</f>
        <v>2.6475620315942E-2</v>
      </c>
      <c r="K364" s="13">
        <f>G364+_xlfn.XLOOKUP($B364,Tabl_B1_Scrap!$B$91:$B$117,Tabl_B1_Scrap!G$91:G$117,0)+_xlfn.XLOOKUP($B364,Tabl_B4_Scrap_Billet_Cut!$B$87:$B$101,Tabl_B4_Scrap_Billet_Cut!G$87:G$101,0)</f>
        <v>7.2557984800000001E-5</v>
      </c>
      <c r="L364" s="13">
        <f>H364+_xlfn.XLOOKUP($B364,Tabl_B1_Scrap!$B$91:$B$117,Tabl_B1_Scrap!H$91:H$117,0)+_xlfn.XLOOKUP($B364,Tabl_B4_Scrap_Billet_Cut!$B$87:$B$101,Tabl_B4_Scrap_Billet_Cut!H$87:H$101,0)</f>
        <v>5.307837446293295E-3</v>
      </c>
      <c r="M364" s="13">
        <f>I364+_xlfn.XLOOKUP($B364,Tabl_B1_Scrap!$B$91:$B$117,Tabl_B1_Scrap!I$91:I$117,0)+_xlfn.XLOOKUP($B364,Tabl_B4_Scrap_Billet_Cut!$B$87:$B$101,Tabl_B4_Scrap_Billet_Cut!I$87:I$101,0)</f>
        <v>1.4546438729411768E-5</v>
      </c>
    </row>
    <row r="365" spans="1:16" x14ac:dyDescent="0.2">
      <c r="A365" s="516" t="s">
        <v>192</v>
      </c>
      <c r="B365" t="s">
        <v>223</v>
      </c>
      <c r="C365">
        <v>1.1999999999999999E-6</v>
      </c>
      <c r="D365" s="13">
        <f t="shared" si="56"/>
        <v>3.8131764705882351E-4</v>
      </c>
      <c r="E365" s="13">
        <f t="shared" si="57"/>
        <v>1.0447058823529411E-6</v>
      </c>
      <c r="F365" s="13">
        <f t="shared" si="58"/>
        <v>3.1763759999999994E-4</v>
      </c>
      <c r="G365" s="13">
        <f t="shared" si="59"/>
        <v>8.7023999999999988E-7</v>
      </c>
      <c r="H365" s="13">
        <f t="shared" si="60"/>
        <v>6.3680047058823526E-5</v>
      </c>
      <c r="I365" s="13">
        <f t="shared" si="61"/>
        <v>1.7446588235294118E-7</v>
      </c>
      <c r="J365" s="13">
        <f>F365+_xlfn.XLOOKUP($B365,Tabl_B1_Scrap!$B$91:$B$117,Tabl_B1_Scrap!F$91:F$117,0)+_xlfn.XLOOKUP($B365,Tabl_B4_Scrap_Billet_Cut!$B$87:$B$101,Tabl_B4_Scrap_Billet_Cut!F$87:F$101,0)</f>
        <v>3.1770744379130397E-4</v>
      </c>
      <c r="K365" s="13">
        <f>G365+_xlfn.XLOOKUP($B365,Tabl_B1_Scrap!$B$91:$B$117,Tabl_B1_Scrap!G$91:G$117,0)+_xlfn.XLOOKUP($B365,Tabl_B4_Scrap_Billet_Cut!$B$87:$B$101,Tabl_B4_Scrap_Billet_Cut!G$87:G$101,0)</f>
        <v>8.7069581759999987E-7</v>
      </c>
      <c r="L365" s="13">
        <f>H365+_xlfn.XLOOKUP($B365,Tabl_B1_Scrap!$B$91:$B$117,Tabl_B1_Scrap!H$91:H$117,0)+_xlfn.XLOOKUP($B365,Tabl_B4_Scrap_Billet_Cut!$B$87:$B$101,Tabl_B4_Scrap_Billet_Cut!H$87:H$101,0)</f>
        <v>6.3694049355519526E-5</v>
      </c>
      <c r="M365" s="13">
        <f>I365+_xlfn.XLOOKUP($B365,Tabl_B1_Scrap!$B$91:$B$117,Tabl_B1_Scrap!I$91:I$117,0)+_xlfn.XLOOKUP($B365,Tabl_B4_Scrap_Billet_Cut!$B$87:$B$101,Tabl_B4_Scrap_Billet_Cut!I$87:I$101,0)</f>
        <v>1.7455726475294119E-7</v>
      </c>
    </row>
    <row r="366" spans="1:16" x14ac:dyDescent="0.2">
      <c r="A366" s="516" t="s">
        <v>107</v>
      </c>
      <c r="B366" t="s">
        <v>19</v>
      </c>
      <c r="C366">
        <v>2.9999999999999997E-4</v>
      </c>
      <c r="D366" s="13">
        <f t="shared" si="56"/>
        <v>9.5329411764705871E-2</v>
      </c>
      <c r="E366" s="13">
        <f t="shared" si="57"/>
        <v>2.6117647058823527E-4</v>
      </c>
      <c r="F366" s="13">
        <f t="shared" si="58"/>
        <v>7.9409399999999991E-2</v>
      </c>
      <c r="G366" s="13">
        <f t="shared" si="59"/>
        <v>2.1755999999999997E-4</v>
      </c>
      <c r="H366" s="13">
        <f t="shared" si="60"/>
        <v>1.592001176470588E-2</v>
      </c>
      <c r="I366" s="13">
        <f t="shared" si="61"/>
        <v>4.3616470588235294E-5</v>
      </c>
      <c r="J366" s="13">
        <f>F366+_xlfn.XLOOKUP($B366,Tabl_B1_Scrap!$B$91:$B$117,Tabl_B1_Scrap!F$91:F$117,0)+_xlfn.XLOOKUP($B366,Tabl_B4_Scrap_Billet_Cut!$B$87:$B$101,Tabl_B4_Scrap_Billet_Cut!F$87:F$101,0)</f>
        <v>7.9426860947825986E-2</v>
      </c>
      <c r="K366" s="13">
        <f>G366+_xlfn.XLOOKUP($B366,Tabl_B1_Scrap!$B$91:$B$117,Tabl_B1_Scrap!G$91:G$117,0)+_xlfn.XLOOKUP($B366,Tabl_B4_Scrap_Billet_Cut!$B$87:$B$101,Tabl_B4_Scrap_Billet_Cut!G$87:G$101,0)</f>
        <v>2.1767395439999996E-4</v>
      </c>
      <c r="L366" s="13">
        <f>H366+_xlfn.XLOOKUP($B366,Tabl_B1_Scrap!$B$91:$B$117,Tabl_B1_Scrap!H$91:H$117,0)+_xlfn.XLOOKUP($B366,Tabl_B4_Scrap_Billet_Cut!$B$87:$B$101,Tabl_B4_Scrap_Billet_Cut!H$87:H$101,0)</f>
        <v>1.592351233887988E-2</v>
      </c>
      <c r="M366" s="13">
        <f>I366+_xlfn.XLOOKUP($B366,Tabl_B1_Scrap!$B$91:$B$117,Tabl_B1_Scrap!I$91:I$117,0)+_xlfn.XLOOKUP($B366,Tabl_B4_Scrap_Billet_Cut!$B$87:$B$101,Tabl_B4_Scrap_Billet_Cut!I$87:I$101,0)</f>
        <v>4.3639316188235289E-5</v>
      </c>
    </row>
    <row r="367" spans="1:16" x14ac:dyDescent="0.2">
      <c r="A367" s="516" t="s">
        <v>97</v>
      </c>
      <c r="B367" t="s">
        <v>13</v>
      </c>
      <c r="C367">
        <v>4.3E-3</v>
      </c>
      <c r="D367" s="13">
        <f t="shared" si="56"/>
        <v>1.3663882352941177</v>
      </c>
      <c r="E367" s="13">
        <f t="shared" si="57"/>
        <v>3.7435294117647059E-3</v>
      </c>
      <c r="F367" s="13">
        <f t="shared" si="58"/>
        <v>1.1382014</v>
      </c>
      <c r="G367" s="13">
        <f t="shared" si="59"/>
        <v>3.1183599999999997E-3</v>
      </c>
      <c r="H367" s="13">
        <f t="shared" si="60"/>
        <v>0.22818683529411768</v>
      </c>
      <c r="I367" s="13">
        <f t="shared" si="61"/>
        <v>6.2516941176470595E-4</v>
      </c>
      <c r="J367" s="13">
        <f>F367+_xlfn.XLOOKUP($B367,Tabl_B1_Scrap!$B$91:$B$117,Tabl_B1_Scrap!F$91:F$117,0)+_xlfn.XLOOKUP($B367,Tabl_B4_Scrap_Billet_Cut!$B$87:$B$101,Tabl_B4_Scrap_Billet_Cut!F$87:F$101,0)</f>
        <v>1.1384516735855059</v>
      </c>
      <c r="K367" s="13">
        <f>G367+_xlfn.XLOOKUP($B367,Tabl_B1_Scrap!$B$91:$B$117,Tabl_B1_Scrap!G$91:G$117,0)+_xlfn.XLOOKUP($B367,Tabl_B4_Scrap_Billet_Cut!$B$87:$B$101,Tabl_B4_Scrap_Billet_Cut!G$87:G$101,0)</f>
        <v>3.1199933463999996E-3</v>
      </c>
      <c r="L367" s="13">
        <f>H367+_xlfn.XLOOKUP($B367,Tabl_B1_Scrap!$B$91:$B$117,Tabl_B1_Scrap!H$91:H$117,0)+_xlfn.XLOOKUP($B367,Tabl_B4_Scrap_Billet_Cut!$B$87:$B$101,Tabl_B4_Scrap_Billet_Cut!H$87:H$101,0)</f>
        <v>0.22823701019061168</v>
      </c>
      <c r="M367" s="13">
        <f>I367+_xlfn.XLOOKUP($B367,Tabl_B1_Scrap!$B$91:$B$117,Tabl_B1_Scrap!I$91:I$117,0)+_xlfn.XLOOKUP($B367,Tabl_B4_Scrap_Billet_Cut!$B$87:$B$101,Tabl_B4_Scrap_Billet_Cut!I$87:I$101,0)</f>
        <v>6.2549686536470602E-4</v>
      </c>
    </row>
    <row r="368" spans="1:16" x14ac:dyDescent="0.2">
      <c r="A368" s="516" t="s">
        <v>98</v>
      </c>
      <c r="B368" t="s">
        <v>14</v>
      </c>
      <c r="C368">
        <v>2.7000000000000001E-3</v>
      </c>
      <c r="D368" s="13">
        <f t="shared" si="56"/>
        <v>0.85796470588235296</v>
      </c>
      <c r="E368" s="13">
        <f t="shared" si="57"/>
        <v>2.3505882352941178E-3</v>
      </c>
      <c r="F368" s="13">
        <f t="shared" si="58"/>
        <v>0.7146846</v>
      </c>
      <c r="G368" s="13">
        <f t="shared" si="59"/>
        <v>1.9580399999999999E-3</v>
      </c>
      <c r="H368" s="13">
        <f t="shared" si="60"/>
        <v>0.14328010588235296</v>
      </c>
      <c r="I368" s="13">
        <f t="shared" si="61"/>
        <v>3.9254823529411768E-4</v>
      </c>
      <c r="J368" s="13">
        <f>F368+_xlfn.XLOOKUP($B368,Tabl_B1_Scrap!$B$91:$B$117,Tabl_B1_Scrap!F$91:F$117,0)+_xlfn.XLOOKUP($B368,Tabl_B4_Scrap_Billet_Cut!$B$87:$B$101,Tabl_B4_Scrap_Billet_Cut!F$87:F$101,0)</f>
        <v>0.71484174853043403</v>
      </c>
      <c r="K368" s="13">
        <f>G368+_xlfn.XLOOKUP($B368,Tabl_B1_Scrap!$B$91:$B$117,Tabl_B1_Scrap!G$91:G$117,0)+_xlfn.XLOOKUP($B368,Tabl_B4_Scrap_Billet_Cut!$B$87:$B$101,Tabl_B4_Scrap_Billet_Cut!G$87:G$101,0)</f>
        <v>1.9590655895999998E-3</v>
      </c>
      <c r="L368" s="13">
        <f>H368+_xlfn.XLOOKUP($B368,Tabl_B1_Scrap!$B$91:$B$117,Tabl_B1_Scrap!H$91:H$117,0)+_xlfn.XLOOKUP($B368,Tabl_B4_Scrap_Billet_Cut!$B$87:$B$101,Tabl_B4_Scrap_Billet_Cut!H$87:H$101,0)</f>
        <v>0.14331161104991896</v>
      </c>
      <c r="M368" s="13">
        <f>I368+_xlfn.XLOOKUP($B368,Tabl_B1_Scrap!$B$91:$B$117,Tabl_B1_Scrap!I$91:I$117,0)+_xlfn.XLOOKUP($B368,Tabl_B4_Scrap_Billet_Cut!$B$87:$B$101,Tabl_B4_Scrap_Billet_Cut!I$87:I$101,0)</f>
        <v>3.9275384569411773E-4</v>
      </c>
    </row>
    <row r="369" spans="1:16" x14ac:dyDescent="0.2">
      <c r="A369" s="516" t="s">
        <v>99</v>
      </c>
      <c r="B369" t="s">
        <v>33</v>
      </c>
      <c r="C369">
        <v>18</v>
      </c>
      <c r="D369" s="13">
        <f t="shared" si="56"/>
        <v>5719.7647058823532</v>
      </c>
      <c r="E369" s="13">
        <f t="shared" si="57"/>
        <v>15.670588235294119</v>
      </c>
      <c r="F369" s="13">
        <f t="shared" si="58"/>
        <v>4764.5640000000003</v>
      </c>
      <c r="G369" s="13">
        <f t="shared" si="59"/>
        <v>13.053600000000001</v>
      </c>
      <c r="H369" s="13">
        <f t="shared" si="60"/>
        <v>955.20070588235308</v>
      </c>
      <c r="I369" s="13">
        <f t="shared" si="61"/>
        <v>2.6169882352941181</v>
      </c>
      <c r="J369" s="13">
        <f>F369+_xlfn.XLOOKUP($B369,Tabl_B1_Scrap!$B$91:$B$117,Tabl_B1_Scrap!F$91:F$117,0)+_xlfn.XLOOKUP($B369,Tabl_B4_Scrap_Billet_Cut!$B$87:$B$101,Tabl_B4_Scrap_Billet_Cut!F$87:F$101,0)</f>
        <v>4765.6116568695606</v>
      </c>
      <c r="K369" s="13">
        <f>G369+_xlfn.XLOOKUP($B369,Tabl_B1_Scrap!$B$91:$B$117,Tabl_B1_Scrap!G$91:G$117,0)+_xlfn.XLOOKUP($B369,Tabl_B4_Scrap_Billet_Cut!$B$87:$B$101,Tabl_B4_Scrap_Billet_Cut!G$87:G$101,0)</f>
        <v>13.060437264000003</v>
      </c>
      <c r="L369" s="13">
        <f>H369+_xlfn.XLOOKUP($B369,Tabl_B1_Scrap!$B$91:$B$117,Tabl_B1_Scrap!H$91:H$117,0)+_xlfn.XLOOKUP($B369,Tabl_B4_Scrap_Billet_Cut!$B$87:$B$101,Tabl_B4_Scrap_Billet_Cut!H$87:H$101,0)</f>
        <v>955.41074033279313</v>
      </c>
      <c r="M369" s="13">
        <f>I369+_xlfn.XLOOKUP($B369,Tabl_B1_Scrap!$B$91:$B$117,Tabl_B1_Scrap!I$91:I$117,0)+_xlfn.XLOOKUP($B369,Tabl_B4_Scrap_Billet_Cut!$B$87:$B$101,Tabl_B4_Scrap_Billet_Cut!I$87:I$101,0)</f>
        <v>2.6183589712941182</v>
      </c>
      <c r="O369" s="540"/>
      <c r="P369" s="538"/>
    </row>
    <row r="370" spans="1:16" x14ac:dyDescent="0.2">
      <c r="A370" s="516" t="s">
        <v>83</v>
      </c>
      <c r="B370" t="s">
        <v>221</v>
      </c>
      <c r="C370">
        <v>2.0000000000000001E-4</v>
      </c>
      <c r="D370" s="13">
        <f t="shared" si="56"/>
        <v>6.355294117647059E-2</v>
      </c>
      <c r="E370" s="13">
        <f t="shared" si="57"/>
        <v>1.7411764705882354E-4</v>
      </c>
      <c r="F370" s="13">
        <f t="shared" si="58"/>
        <v>5.2939599999999996E-2</v>
      </c>
      <c r="G370" s="13">
        <f t="shared" si="59"/>
        <v>1.4504000000000001E-4</v>
      </c>
      <c r="H370" s="13">
        <f t="shared" si="60"/>
        <v>1.061334117647059E-2</v>
      </c>
      <c r="I370" s="13">
        <f t="shared" si="61"/>
        <v>2.9077647058823534E-5</v>
      </c>
      <c r="J370" s="13">
        <f>F370+_xlfn.XLOOKUP($B370,Tabl_B1_Scrap!$B$91:$B$117,Tabl_B1_Scrap!F$91:F$117,0)+_xlfn.XLOOKUP($B370,Tabl_B4_Scrap_Billet_Cut!$B$87:$B$101,Tabl_B4_Scrap_Billet_Cut!F$87:F$101,0)</f>
        <v>5.2942069012E-2</v>
      </c>
      <c r="K370" s="13">
        <f>G370+_xlfn.XLOOKUP($B370,Tabl_B1_Scrap!$B$91:$B$117,Tabl_B1_Scrap!G$91:G$117,0)+_xlfn.XLOOKUP($B370,Tabl_B4_Scrap_Billet_Cut!$B$87:$B$101,Tabl_B4_Scrap_Billet_Cut!G$87:G$101,0)</f>
        <v>1.450779848E-4</v>
      </c>
      <c r="L370" s="13">
        <f>H370+_xlfn.XLOOKUP($B370,Tabl_B1_Scrap!$B$91:$B$117,Tabl_B1_Scrap!H$91:H$117,0)+_xlfn.XLOOKUP($B370,Tabl_B4_Scrap_Billet_Cut!$B$87:$B$101,Tabl_B4_Scrap_Billet_Cut!H$87:H$101,0)</f>
        <v>1.061383616447059E-2</v>
      </c>
      <c r="M370" s="13">
        <f>I370+_xlfn.XLOOKUP($B370,Tabl_B1_Scrap!$B$91:$B$117,Tabl_B1_Scrap!I$91:I$117,0)+_xlfn.XLOOKUP($B370,Tabl_B4_Scrap_Billet_Cut!$B$87:$B$101,Tabl_B4_Scrap_Billet_Cut!I$87:I$101,0)</f>
        <v>2.9085262258823535E-5</v>
      </c>
    </row>
    <row r="371" spans="1:16" x14ac:dyDescent="0.2">
      <c r="A371" s="516" t="s">
        <v>95</v>
      </c>
      <c r="B371" t="s">
        <v>222</v>
      </c>
      <c r="C371">
        <v>4.4000000000000003E-3</v>
      </c>
      <c r="D371" s="13">
        <f t="shared" si="56"/>
        <v>1.398164705882353</v>
      </c>
      <c r="E371" s="13">
        <f t="shared" si="57"/>
        <v>3.8305882352941177E-3</v>
      </c>
      <c r="F371" s="13">
        <f t="shared" si="58"/>
        <v>1.1646711999999999</v>
      </c>
      <c r="G371" s="13">
        <f t="shared" si="59"/>
        <v>3.1908800000000001E-3</v>
      </c>
      <c r="H371" s="13">
        <f t="shared" si="60"/>
        <v>0.23349350588235296</v>
      </c>
      <c r="I371" s="13">
        <f t="shared" si="61"/>
        <v>6.3970823529411775E-4</v>
      </c>
      <c r="J371" s="13">
        <f>F371+_xlfn.XLOOKUP($B371,Tabl_B1_Scrap!$B$91:$B$117,Tabl_B1_Scrap!F$91:F$117,0)+_xlfn.XLOOKUP($B371,Tabl_B4_Scrap_Billet_Cut!$B$87:$B$101,Tabl_B4_Scrap_Billet_Cut!F$87:F$101,0)</f>
        <v>1.1649272939014479</v>
      </c>
      <c r="K371" s="13">
        <f>G371+_xlfn.XLOOKUP($B371,Tabl_B1_Scrap!$B$91:$B$117,Tabl_B1_Scrap!G$91:G$117,0)+_xlfn.XLOOKUP($B371,Tabl_B4_Scrap_Billet_Cut!$B$87:$B$101,Tabl_B4_Scrap_Billet_Cut!G$87:G$101,0)</f>
        <v>3.1925513311999998E-3</v>
      </c>
      <c r="L371" s="13">
        <f>H371+_xlfn.XLOOKUP($B371,Tabl_B1_Scrap!$B$91:$B$117,Tabl_B1_Scrap!H$91:H$117,0)+_xlfn.XLOOKUP($B371,Tabl_B4_Scrap_Billet_Cut!$B$87:$B$101,Tabl_B4_Scrap_Billet_Cut!H$87:H$101,0)</f>
        <v>0.23354484763690495</v>
      </c>
      <c r="M371" s="13">
        <f>I371+_xlfn.XLOOKUP($B371,Tabl_B1_Scrap!$B$91:$B$117,Tabl_B1_Scrap!I$91:I$117,0)+_xlfn.XLOOKUP($B371,Tabl_B4_Scrap_Billet_Cut!$B$87:$B$101,Tabl_B4_Scrap_Billet_Cut!I$87:I$101,0)</f>
        <v>6.400433040941177E-4</v>
      </c>
    </row>
    <row r="372" spans="1:16" x14ac:dyDescent="0.2">
      <c r="A372" s="516" t="s">
        <v>93</v>
      </c>
      <c r="B372" t="s">
        <v>224</v>
      </c>
      <c r="C372">
        <v>1.2E-5</v>
      </c>
      <c r="D372" s="13">
        <f t="shared" si="56"/>
        <v>3.8131764705882352E-3</v>
      </c>
      <c r="E372" s="13">
        <f t="shared" si="57"/>
        <v>1.0447058823529411E-5</v>
      </c>
      <c r="F372" s="13">
        <f t="shared" si="58"/>
        <v>3.1763759999999999E-3</v>
      </c>
      <c r="G372" s="13">
        <f t="shared" si="59"/>
        <v>8.7023999999999999E-6</v>
      </c>
      <c r="H372" s="13">
        <f t="shared" si="60"/>
        <v>6.3680047058823535E-4</v>
      </c>
      <c r="I372" s="13">
        <f t="shared" si="61"/>
        <v>1.7446588235294117E-6</v>
      </c>
      <c r="J372" s="13">
        <f>F372+_xlfn.XLOOKUP($B372,Tabl_B1_Scrap!$B$91:$B$117,Tabl_B1_Scrap!F$91:F$117,0)+_xlfn.XLOOKUP($B372,Tabl_B4_Scrap_Billet_Cut!$B$87:$B$101,Tabl_B4_Scrap_Billet_Cut!F$87:F$101,0)</f>
        <v>3.1765241407199999E-3</v>
      </c>
      <c r="K372" s="13">
        <f>G372+_xlfn.XLOOKUP($B372,Tabl_B1_Scrap!$B$91:$B$117,Tabl_B1_Scrap!G$91:G$117,0)+_xlfn.XLOOKUP($B372,Tabl_B4_Scrap_Billet_Cut!$B$87:$B$101,Tabl_B4_Scrap_Billet_Cut!G$87:G$101,0)</f>
        <v>8.7046790880000002E-6</v>
      </c>
      <c r="L372" s="13">
        <f>H372+_xlfn.XLOOKUP($B372,Tabl_B1_Scrap!$B$91:$B$117,Tabl_B1_Scrap!H$91:H$117,0)+_xlfn.XLOOKUP($B372,Tabl_B4_Scrap_Billet_Cut!$B$87:$B$101,Tabl_B4_Scrap_Billet_Cut!H$87:H$101,0)</f>
        <v>6.3683016986823538E-4</v>
      </c>
      <c r="M372" s="13">
        <f>I372+_xlfn.XLOOKUP($B372,Tabl_B1_Scrap!$B$91:$B$117,Tabl_B1_Scrap!I$91:I$117,0)+_xlfn.XLOOKUP($B372,Tabl_B4_Scrap_Billet_Cut!$B$87:$B$101,Tabl_B4_Scrap_Billet_Cut!I$87:I$101,0)</f>
        <v>1.7451157355294117E-6</v>
      </c>
    </row>
    <row r="373" spans="1:16" x14ac:dyDescent="0.2">
      <c r="A373" s="516" t="s">
        <v>84</v>
      </c>
      <c r="B373" t="s">
        <v>225</v>
      </c>
      <c r="C373">
        <v>1.1000000000000001E-3</v>
      </c>
      <c r="D373" s="13">
        <f t="shared" si="56"/>
        <v>0.34954117647058824</v>
      </c>
      <c r="E373" s="13">
        <f t="shared" si="57"/>
        <v>9.5764705882352944E-4</v>
      </c>
      <c r="F373" s="13">
        <f t="shared" si="58"/>
        <v>0.29116779999999998</v>
      </c>
      <c r="G373" s="13">
        <f t="shared" si="59"/>
        <v>7.9772000000000003E-4</v>
      </c>
      <c r="H373" s="13">
        <f t="shared" si="60"/>
        <v>5.837337647058824E-2</v>
      </c>
      <c r="I373" s="13">
        <f t="shared" si="61"/>
        <v>1.5992705882352944E-4</v>
      </c>
      <c r="J373" s="13">
        <f>F373+_xlfn.XLOOKUP($B373,Tabl_B1_Scrap!$B$91:$B$117,Tabl_B1_Scrap!F$91:F$117,0)+_xlfn.XLOOKUP($B373,Tabl_B4_Scrap_Billet_Cut!$B$87:$B$101,Tabl_B4_Scrap_Billet_Cut!F$87:F$101,0)</f>
        <v>0.29118137956599999</v>
      </c>
      <c r="K373" s="13">
        <f>G373+_xlfn.XLOOKUP($B373,Tabl_B1_Scrap!$B$91:$B$117,Tabl_B1_Scrap!G$91:G$117,0)+_xlfn.XLOOKUP($B373,Tabl_B4_Scrap_Billet_Cut!$B$87:$B$101,Tabl_B4_Scrap_Billet_Cut!G$87:G$101,0)</f>
        <v>7.9792891639999999E-4</v>
      </c>
      <c r="L373" s="13">
        <f>H373+_xlfn.XLOOKUP($B373,Tabl_B1_Scrap!$B$91:$B$117,Tabl_B1_Scrap!H$91:H$117,0)+_xlfn.XLOOKUP($B373,Tabl_B4_Scrap_Billet_Cut!$B$87:$B$101,Tabl_B4_Scrap_Billet_Cut!H$87:H$101,0)</f>
        <v>5.8376098904588239E-2</v>
      </c>
      <c r="M373" s="13">
        <f>I373+_xlfn.XLOOKUP($B373,Tabl_B1_Scrap!$B$91:$B$117,Tabl_B1_Scrap!I$91:I$117,0)+_xlfn.XLOOKUP($B373,Tabl_B4_Scrap_Billet_Cut!$B$87:$B$101,Tabl_B4_Scrap_Billet_Cut!I$87:I$101,0)</f>
        <v>1.5996894242352943E-4</v>
      </c>
    </row>
    <row r="374" spans="1:16" x14ac:dyDescent="0.2">
      <c r="A374" s="516" t="s">
        <v>85</v>
      </c>
      <c r="B374" t="s">
        <v>215</v>
      </c>
      <c r="C374">
        <v>1.4E-3</v>
      </c>
      <c r="D374" s="13">
        <f t="shared" si="56"/>
        <v>0.44487058823529407</v>
      </c>
      <c r="E374" s="13">
        <f t="shared" si="57"/>
        <v>1.2188235294117648E-3</v>
      </c>
      <c r="F374" s="13">
        <f t="shared" si="58"/>
        <v>0.37057719999999994</v>
      </c>
      <c r="G374" s="13">
        <f t="shared" si="59"/>
        <v>1.0152800000000001E-3</v>
      </c>
      <c r="H374" s="13">
        <f t="shared" si="60"/>
        <v>7.4293388235294119E-2</v>
      </c>
      <c r="I374" s="13">
        <f t="shared" si="61"/>
        <v>2.0354352941176474E-4</v>
      </c>
      <c r="J374" s="13">
        <f>F374+_xlfn.XLOOKUP($B374,Tabl_B1_Scrap!$B$91:$B$117,Tabl_B1_Scrap!F$91:F$117,0)+_xlfn.XLOOKUP($B374,Tabl_B4_Scrap_Billet_Cut!$B$87:$B$101,Tabl_B4_Scrap_Billet_Cut!F$87:F$101,0)</f>
        <v>0.37059448308399995</v>
      </c>
      <c r="K374" s="13">
        <f>G374+_xlfn.XLOOKUP($B374,Tabl_B1_Scrap!$B$91:$B$117,Tabl_B1_Scrap!G$91:G$117,0)+_xlfn.XLOOKUP($B374,Tabl_B4_Scrap_Billet_Cut!$B$87:$B$101,Tabl_B4_Scrap_Billet_Cut!G$87:G$101,0)</f>
        <v>1.0155458936000001E-3</v>
      </c>
      <c r="L374" s="13">
        <f>H374+_xlfn.XLOOKUP($B374,Tabl_B1_Scrap!$B$91:$B$117,Tabl_B1_Scrap!H$91:H$117,0)+_xlfn.XLOOKUP($B374,Tabl_B4_Scrap_Billet_Cut!$B$87:$B$101,Tabl_B4_Scrap_Billet_Cut!H$87:H$101,0)</f>
        <v>7.4296853151294126E-2</v>
      </c>
      <c r="M374" s="13">
        <f>I374+_xlfn.XLOOKUP($B374,Tabl_B1_Scrap!$B$91:$B$117,Tabl_B1_Scrap!I$91:I$117,0)+_xlfn.XLOOKUP($B374,Tabl_B4_Scrap_Billet_Cut!$B$87:$B$101,Tabl_B4_Scrap_Billet_Cut!I$87:I$101,0)</f>
        <v>2.0359683581176475E-4</v>
      </c>
    </row>
    <row r="375" spans="1:16" x14ac:dyDescent="0.2">
      <c r="A375" s="516" t="s">
        <v>86</v>
      </c>
      <c r="B375" t="s">
        <v>227</v>
      </c>
      <c r="C375">
        <v>8.3999999999999995E-5</v>
      </c>
      <c r="D375" s="13">
        <f t="shared" si="56"/>
        <v>2.6692235294117645E-2</v>
      </c>
      <c r="E375" s="13">
        <f t="shared" si="57"/>
        <v>7.312941176470588E-5</v>
      </c>
      <c r="F375" s="13">
        <f t="shared" si="58"/>
        <v>2.2234631999999997E-2</v>
      </c>
      <c r="G375" s="13">
        <f t="shared" si="59"/>
        <v>6.0916799999999992E-5</v>
      </c>
      <c r="H375" s="13">
        <f t="shared" si="60"/>
        <v>4.457603294117647E-3</v>
      </c>
      <c r="I375" s="13">
        <f t="shared" si="61"/>
        <v>1.2212611764705882E-5</v>
      </c>
      <c r="J375" s="13">
        <f>F375+_xlfn.XLOOKUP($B375,Tabl_B1_Scrap!$B$91:$B$117,Tabl_B1_Scrap!F$91:F$117,0)+_xlfn.XLOOKUP($B375,Tabl_B4_Scrap_Billet_Cut!$B$87:$B$101,Tabl_B4_Scrap_Billet_Cut!F$87:F$101,0)</f>
        <v>2.2235668985039998E-2</v>
      </c>
      <c r="K375" s="13">
        <f>G375+_xlfn.XLOOKUP($B375,Tabl_B1_Scrap!$B$91:$B$117,Tabl_B1_Scrap!G$91:G$117,0)+_xlfn.XLOOKUP($B375,Tabl_B4_Scrap_Billet_Cut!$B$87:$B$101,Tabl_B4_Scrap_Billet_Cut!G$87:G$101,0)</f>
        <v>6.0932753615999993E-5</v>
      </c>
      <c r="L375" s="13">
        <f>H375+_xlfn.XLOOKUP($B375,Tabl_B1_Scrap!$B$91:$B$117,Tabl_B1_Scrap!H$91:H$117,0)+_xlfn.XLOOKUP($B375,Tabl_B4_Scrap_Billet_Cut!$B$87:$B$101,Tabl_B4_Scrap_Billet_Cut!H$87:H$101,0)</f>
        <v>4.4578111890776467E-3</v>
      </c>
      <c r="M375" s="13">
        <f>I375+_xlfn.XLOOKUP($B375,Tabl_B1_Scrap!$B$91:$B$117,Tabl_B1_Scrap!I$91:I$117,0)+_xlfn.XLOOKUP($B375,Tabl_B4_Scrap_Billet_Cut!$B$87:$B$101,Tabl_B4_Scrap_Billet_Cut!I$87:I$101,0)</f>
        <v>1.2215810148705882E-5</v>
      </c>
    </row>
    <row r="376" spans="1:16" x14ac:dyDescent="0.2">
      <c r="A376" s="516" t="s">
        <v>87</v>
      </c>
      <c r="B376" t="s">
        <v>194</v>
      </c>
      <c r="C376">
        <v>8.4999999999999995E-4</v>
      </c>
      <c r="D376" s="13">
        <f t="shared" si="56"/>
        <v>0.27009999999999995</v>
      </c>
      <c r="E376" s="13">
        <f t="shared" si="57"/>
        <v>7.3999999999999999E-4</v>
      </c>
      <c r="F376" s="13">
        <f t="shared" si="58"/>
        <v>0.22499329999999995</v>
      </c>
      <c r="G376" s="13">
        <f t="shared" si="59"/>
        <v>6.1642000000000001E-4</v>
      </c>
      <c r="H376" s="13">
        <f t="shared" si="60"/>
        <v>4.5106699999999993E-2</v>
      </c>
      <c r="I376" s="13">
        <f t="shared" si="61"/>
        <v>1.2358000000000001E-4</v>
      </c>
      <c r="J376" s="13">
        <f>F376+_xlfn.XLOOKUP($B376,Tabl_B1_Scrap!$B$91:$B$117,Tabl_B1_Scrap!F$91:F$117,0)+_xlfn.XLOOKUP($B376,Tabl_B4_Scrap_Billet_Cut!$B$87:$B$101,Tabl_B4_Scrap_Billet_Cut!F$87:F$101,0)</f>
        <v>0.22500379330099995</v>
      </c>
      <c r="K376" s="13">
        <f>G376+_xlfn.XLOOKUP($B376,Tabl_B1_Scrap!$B$91:$B$117,Tabl_B1_Scrap!G$91:G$117,0)+_xlfn.XLOOKUP($B376,Tabl_B4_Scrap_Billet_Cut!$B$87:$B$101,Tabl_B4_Scrap_Billet_Cut!G$87:G$101,0)</f>
        <v>6.1658143539999996E-4</v>
      </c>
      <c r="L376" s="13">
        <f>H376+_xlfn.XLOOKUP($B376,Tabl_B1_Scrap!$B$91:$B$117,Tabl_B1_Scrap!H$91:H$117,0)+_xlfn.XLOOKUP($B376,Tabl_B4_Scrap_Billet_Cut!$B$87:$B$101,Tabl_B4_Scrap_Billet_Cut!H$87:H$101,0)</f>
        <v>4.5108803698999993E-2</v>
      </c>
      <c r="M376" s="13">
        <f>I376+_xlfn.XLOOKUP($B376,Tabl_B1_Scrap!$B$91:$B$117,Tabl_B1_Scrap!I$91:I$117,0)+_xlfn.XLOOKUP($B376,Tabl_B4_Scrap_Billet_Cut!$B$87:$B$101,Tabl_B4_Scrap_Billet_Cut!I$87:I$101,0)</f>
        <v>1.2361236460000001E-4</v>
      </c>
    </row>
    <row r="377" spans="1:16" x14ac:dyDescent="0.2">
      <c r="A377" s="516" t="s">
        <v>103</v>
      </c>
      <c r="B377" t="s">
        <v>32</v>
      </c>
      <c r="C377">
        <v>9.4999999999999998E-3</v>
      </c>
      <c r="D377" s="13">
        <f t="shared" si="56"/>
        <v>3.0187647058823526</v>
      </c>
      <c r="E377" s="13">
        <f t="shared" si="57"/>
        <v>8.2705882352941181E-3</v>
      </c>
      <c r="F377" s="13">
        <f t="shared" si="58"/>
        <v>2.5146309999999996</v>
      </c>
      <c r="G377" s="13">
        <f t="shared" si="59"/>
        <v>6.8894000000000004E-3</v>
      </c>
      <c r="H377" s="13">
        <f t="shared" si="60"/>
        <v>0.50413370588235296</v>
      </c>
      <c r="I377" s="13">
        <f t="shared" si="61"/>
        <v>1.3811882352941177E-3</v>
      </c>
      <c r="J377" s="13">
        <f>F377+_xlfn.XLOOKUP($B377,Tabl_B1_Scrap!$B$91:$B$117,Tabl_B1_Scrap!F$91:F$117,0)+_xlfn.XLOOKUP($B377,Tabl_B4_Scrap_Billet_Cut!$B$87:$B$101,Tabl_B4_Scrap_Billet_Cut!F$87:F$101,0)</f>
        <v>2.5151839300144894</v>
      </c>
      <c r="K377" s="13">
        <f>G377+_xlfn.XLOOKUP($B377,Tabl_B1_Scrap!$B$91:$B$117,Tabl_B1_Scrap!G$91:G$117,0)+_xlfn.XLOOKUP($B377,Tabl_B4_Scrap_Billet_Cut!$B$87:$B$101,Tabl_B4_Scrap_Billet_Cut!G$87:G$101,0)</f>
        <v>6.8930085560000003E-3</v>
      </c>
      <c r="L377" s="13">
        <f>H377+_xlfn.XLOOKUP($B377,Tabl_B1_Scrap!$B$91:$B$117,Tabl_B1_Scrap!H$91:H$117,0)+_xlfn.XLOOKUP($B377,Tabl_B4_Scrap_Billet_Cut!$B$87:$B$101,Tabl_B4_Scrap_Billet_Cut!H$87:H$101,0)</f>
        <v>0.504244557397863</v>
      </c>
      <c r="M377" s="13">
        <f>I377+_xlfn.XLOOKUP($B377,Tabl_B1_Scrap!$B$91:$B$117,Tabl_B1_Scrap!I$91:I$117,0)+_xlfn.XLOOKUP($B377,Tabl_B4_Scrap_Billet_Cut!$B$87:$B$101,Tabl_B4_Scrap_Billet_Cut!I$87:I$101,0)</f>
        <v>1.3819116792941179E-3</v>
      </c>
    </row>
    <row r="378" spans="1:16" x14ac:dyDescent="0.2">
      <c r="A378" s="516" t="s">
        <v>106</v>
      </c>
      <c r="B378" t="s">
        <v>18</v>
      </c>
      <c r="C378">
        <v>6.3E-3</v>
      </c>
      <c r="D378" s="13">
        <f t="shared" si="56"/>
        <v>2.0019176470588236</v>
      </c>
      <c r="E378" s="13">
        <f t="shared" si="57"/>
        <v>5.484705882352941E-3</v>
      </c>
      <c r="F378" s="13">
        <f t="shared" si="58"/>
        <v>1.6675974</v>
      </c>
      <c r="G378" s="13">
        <f t="shared" si="59"/>
        <v>4.5687599999999998E-3</v>
      </c>
      <c r="H378" s="13">
        <f t="shared" si="60"/>
        <v>0.33432024705882357</v>
      </c>
      <c r="I378" s="13">
        <f t="shared" si="61"/>
        <v>9.1594588235294119E-4</v>
      </c>
      <c r="J378" s="13">
        <f>F378+_xlfn.XLOOKUP($B378,Tabl_B1_Scrap!$B$91:$B$117,Tabl_B1_Scrap!F$91:F$117,0)+_xlfn.XLOOKUP($B378,Tabl_B4_Scrap_Billet_Cut!$B$87:$B$101,Tabl_B4_Scrap_Billet_Cut!F$87:F$101,0)</f>
        <v>1.667964079904346</v>
      </c>
      <c r="K378" s="13">
        <f>G378+_xlfn.XLOOKUP($B378,Tabl_B1_Scrap!$B$91:$B$117,Tabl_B1_Scrap!G$91:G$117,0)+_xlfn.XLOOKUP($B378,Tabl_B4_Scrap_Billet_Cut!$B$87:$B$101,Tabl_B4_Scrap_Billet_Cut!G$87:G$101,0)</f>
        <v>4.5711530423999999E-3</v>
      </c>
      <c r="L378" s="13">
        <f>H378+_xlfn.XLOOKUP($B378,Tabl_B1_Scrap!$B$91:$B$117,Tabl_B1_Scrap!H$91:H$117,0)+_xlfn.XLOOKUP($B378,Tabl_B4_Scrap_Billet_Cut!$B$87:$B$101,Tabl_B4_Scrap_Billet_Cut!H$87:H$101,0)</f>
        <v>0.33439375911647756</v>
      </c>
      <c r="M378" s="13">
        <f>I378+_xlfn.XLOOKUP($B378,Tabl_B1_Scrap!$B$91:$B$117,Tabl_B1_Scrap!I$91:I$117,0)+_xlfn.XLOOKUP($B378,Tabl_B4_Scrap_Billet_Cut!$B$87:$B$101,Tabl_B4_Scrap_Billet_Cut!I$87:I$101,0)</f>
        <v>9.1642563995294113E-4</v>
      </c>
    </row>
    <row r="379" spans="1:16" x14ac:dyDescent="0.2">
      <c r="A379" s="516" t="s">
        <v>88</v>
      </c>
      <c r="B379" t="s">
        <v>228</v>
      </c>
      <c r="C379">
        <v>5.0000000000000001E-4</v>
      </c>
      <c r="D379" s="13">
        <f t="shared" si="56"/>
        <v>0.15888235294117647</v>
      </c>
      <c r="E379" s="13">
        <f t="shared" si="57"/>
        <v>4.3529411764705884E-4</v>
      </c>
      <c r="F379" s="13">
        <f t="shared" si="58"/>
        <v>0.13234899999999999</v>
      </c>
      <c r="G379" s="13">
        <f t="shared" si="59"/>
        <v>3.6259999999999998E-4</v>
      </c>
      <c r="H379" s="13">
        <f t="shared" si="60"/>
        <v>2.6533352941176473E-2</v>
      </c>
      <c r="I379" s="13">
        <f t="shared" si="61"/>
        <v>7.2694117647058835E-5</v>
      </c>
      <c r="J379" s="13">
        <f>F379+_xlfn.XLOOKUP($B379,Tabl_B1_Scrap!$B$91:$B$117,Tabl_B1_Scrap!F$91:F$117,0)+_xlfn.XLOOKUP($B379,Tabl_B4_Scrap_Billet_Cut!$B$87:$B$101,Tabl_B4_Scrap_Billet_Cut!F$87:F$101,0)</f>
        <v>0.13235517252999998</v>
      </c>
      <c r="K379" s="13">
        <f>G379+_xlfn.XLOOKUP($B379,Tabl_B1_Scrap!$B$91:$B$117,Tabl_B1_Scrap!G$91:G$117,0)+_xlfn.XLOOKUP($B379,Tabl_B4_Scrap_Billet_Cut!$B$87:$B$101,Tabl_B4_Scrap_Billet_Cut!G$87:G$101,0)</f>
        <v>3.62694962E-4</v>
      </c>
      <c r="L379" s="13">
        <f>H379+_xlfn.XLOOKUP($B379,Tabl_B1_Scrap!$B$91:$B$117,Tabl_B1_Scrap!H$91:H$117,0)+_xlfn.XLOOKUP($B379,Tabl_B4_Scrap_Billet_Cut!$B$87:$B$101,Tabl_B4_Scrap_Billet_Cut!H$87:H$101,0)</f>
        <v>2.6534590411176472E-2</v>
      </c>
      <c r="M379" s="13">
        <f>I379+_xlfn.XLOOKUP($B379,Tabl_B1_Scrap!$B$91:$B$117,Tabl_B1_Scrap!I$91:I$117,0)+_xlfn.XLOOKUP($B379,Tabl_B4_Scrap_Billet_Cut!$B$87:$B$101,Tabl_B4_Scrap_Billet_Cut!I$87:I$101,0)</f>
        <v>7.2713155647058833E-5</v>
      </c>
    </row>
    <row r="380" spans="1:16" x14ac:dyDescent="0.2">
      <c r="A380" s="516" t="s">
        <v>89</v>
      </c>
      <c r="B380" t="s">
        <v>229</v>
      </c>
      <c r="C380">
        <v>3.8000000000000002E-4</v>
      </c>
      <c r="D380" s="13">
        <f t="shared" si="56"/>
        <v>0.12075058823529412</v>
      </c>
      <c r="E380" s="13">
        <f t="shared" si="57"/>
        <v>3.3082352941176475E-4</v>
      </c>
      <c r="F380" s="13">
        <f t="shared" si="58"/>
        <v>0.10058524000000001</v>
      </c>
      <c r="G380" s="13">
        <f t="shared" si="59"/>
        <v>2.7557600000000003E-4</v>
      </c>
      <c r="H380" s="13">
        <f t="shared" si="60"/>
        <v>2.0165348235294121E-2</v>
      </c>
      <c r="I380" s="13">
        <f t="shared" si="61"/>
        <v>5.524752941176472E-5</v>
      </c>
      <c r="J380" s="13">
        <f>F380+_xlfn.XLOOKUP($B380,Tabl_B1_Scrap!$B$91:$B$117,Tabl_B1_Scrap!F$91:F$117,0)+_xlfn.XLOOKUP($B380,Tabl_B4_Scrap_Billet_Cut!$B$87:$B$101,Tabl_B4_Scrap_Billet_Cut!F$87:F$101,0)</f>
        <v>0.1005899311228</v>
      </c>
      <c r="K380" s="13">
        <f>G380+_xlfn.XLOOKUP($B380,Tabl_B1_Scrap!$B$91:$B$117,Tabl_B1_Scrap!G$91:G$117,0)+_xlfn.XLOOKUP($B380,Tabl_B4_Scrap_Billet_Cut!$B$87:$B$101,Tabl_B4_Scrap_Billet_Cut!G$87:G$101,0)</f>
        <v>2.7564817112000003E-4</v>
      </c>
      <c r="L380" s="13">
        <f>H380+_xlfn.XLOOKUP($B380,Tabl_B1_Scrap!$B$91:$B$117,Tabl_B1_Scrap!H$91:H$117,0)+_xlfn.XLOOKUP($B380,Tabl_B4_Scrap_Billet_Cut!$B$87:$B$101,Tabl_B4_Scrap_Billet_Cut!H$87:H$101,0)</f>
        <v>2.016628871249412E-2</v>
      </c>
      <c r="M380" s="13">
        <f>I380+_xlfn.XLOOKUP($B380,Tabl_B1_Scrap!$B$91:$B$117,Tabl_B1_Scrap!I$91:I$117,0)+_xlfn.XLOOKUP($B380,Tabl_B4_Scrap_Billet_Cut!$B$87:$B$101,Tabl_B4_Scrap_Billet_Cut!I$87:I$101,0)</f>
        <v>5.5261998291764722E-5</v>
      </c>
    </row>
    <row r="381" spans="1:16" x14ac:dyDescent="0.2">
      <c r="A381" s="516" t="s">
        <v>90</v>
      </c>
      <c r="B381" t="s">
        <v>230</v>
      </c>
      <c r="C381">
        <v>2.5999999999999998E-4</v>
      </c>
      <c r="D381" s="13">
        <f t="shared" si="56"/>
        <v>8.2618823529411758E-2</v>
      </c>
      <c r="E381" s="13">
        <f t="shared" si="57"/>
        <v>2.2635294117647058E-4</v>
      </c>
      <c r="F381" s="13">
        <f t="shared" si="58"/>
        <v>6.882147999999999E-2</v>
      </c>
      <c r="G381" s="13">
        <f t="shared" si="59"/>
        <v>1.8855199999999998E-4</v>
      </c>
      <c r="H381" s="13">
        <f t="shared" si="60"/>
        <v>1.3797343529411765E-2</v>
      </c>
      <c r="I381" s="13">
        <f t="shared" si="61"/>
        <v>3.7800941176470592E-5</v>
      </c>
      <c r="J381" s="13">
        <f>F381+_xlfn.XLOOKUP($B381,Tabl_B1_Scrap!$B$91:$B$117,Tabl_B1_Scrap!F$91:F$117,0)+_xlfn.XLOOKUP($B381,Tabl_B4_Scrap_Billet_Cut!$B$87:$B$101,Tabl_B4_Scrap_Billet_Cut!F$87:F$101,0)</f>
        <v>6.8836612821449192E-2</v>
      </c>
      <c r="K381" s="13">
        <f>G381+_xlfn.XLOOKUP($B381,Tabl_B1_Scrap!$B$91:$B$117,Tabl_B1_Scrap!G$91:G$117,0)+_xlfn.XLOOKUP($B381,Tabl_B4_Scrap_Billet_Cut!$B$87:$B$101,Tabl_B4_Scrap_Billet_Cut!G$87:G$101,0)</f>
        <v>1.8865076048E-4</v>
      </c>
      <c r="L381" s="13">
        <f>H381+_xlfn.XLOOKUP($B381,Tabl_B1_Scrap!$B$91:$B$117,Tabl_B1_Scrap!H$91:H$117,0)+_xlfn.XLOOKUP($B381,Tabl_B4_Scrap_Billet_Cut!$B$87:$B$101,Tabl_B4_Scrap_Billet_Cut!H$87:H$101,0)</f>
        <v>1.3800377360362565E-2</v>
      </c>
      <c r="M381" s="13">
        <f>I381+_xlfn.XLOOKUP($B381,Tabl_B1_Scrap!$B$91:$B$117,Tabl_B1_Scrap!I$91:I$117,0)+_xlfn.XLOOKUP($B381,Tabl_B4_Scrap_Billet_Cut!$B$87:$B$101,Tabl_B4_Scrap_Billet_Cut!I$87:I$101,0)</f>
        <v>3.7820740696470589E-5</v>
      </c>
    </row>
    <row r="382" spans="1:16" x14ac:dyDescent="0.2">
      <c r="A382" s="516" t="s">
        <v>96</v>
      </c>
      <c r="B382" t="s">
        <v>196</v>
      </c>
      <c r="C382">
        <v>1.65E-3</v>
      </c>
      <c r="D382" s="13">
        <f t="shared" si="56"/>
        <v>0.52431176470588237</v>
      </c>
      <c r="E382" s="13">
        <f t="shared" si="57"/>
        <v>1.436470588235294E-3</v>
      </c>
      <c r="F382" s="13">
        <f t="shared" si="58"/>
        <v>0.43675169999999996</v>
      </c>
      <c r="G382" s="13">
        <f t="shared" si="59"/>
        <v>1.1965799999999998E-3</v>
      </c>
      <c r="H382" s="13">
        <f t="shared" si="60"/>
        <v>8.7560064705882359E-2</v>
      </c>
      <c r="I382" s="13">
        <f t="shared" si="61"/>
        <v>2.3989058823529412E-4</v>
      </c>
      <c r="J382" s="13">
        <f>F382+_xlfn.XLOOKUP($B382,Tabl_B1_Scrap!$B$91:$B$117,Tabl_B1_Scrap!F$91:F$117,0)+_xlfn.XLOOKUP($B382,Tabl_B4_Scrap_Billet_Cut!$B$87:$B$101,Tabl_B4_Scrap_Billet_Cut!F$87:F$101,0)</f>
        <v>0.43684773521304299</v>
      </c>
      <c r="K382" s="13">
        <f>G382+_xlfn.XLOOKUP($B382,Tabl_B1_Scrap!$B$91:$B$117,Tabl_B1_Scrap!G$91:G$117,0)+_xlfn.XLOOKUP($B382,Tabl_B4_Scrap_Billet_Cut!$B$87:$B$101,Tabl_B4_Scrap_Billet_Cut!G$87:G$101,0)</f>
        <v>1.1972067491999997E-3</v>
      </c>
      <c r="L382" s="13">
        <f>H382+_xlfn.XLOOKUP($B382,Tabl_B1_Scrap!$B$91:$B$117,Tabl_B1_Scrap!H$91:H$117,0)+_xlfn.XLOOKUP($B382,Tabl_B4_Scrap_Billet_Cut!$B$87:$B$101,Tabl_B4_Scrap_Billet_Cut!H$87:H$101,0)</f>
        <v>8.7579317863839365E-2</v>
      </c>
      <c r="M382" s="13">
        <f>I382+_xlfn.XLOOKUP($B382,Tabl_B1_Scrap!$B$91:$B$117,Tabl_B1_Scrap!I$91:I$117,0)+_xlfn.XLOOKUP($B382,Tabl_B4_Scrap_Billet_Cut!$B$87:$B$101,Tabl_B4_Scrap_Billet_Cut!I$87:I$101,0)</f>
        <v>2.4001623903529412E-4</v>
      </c>
    </row>
    <row r="383" spans="1:16" x14ac:dyDescent="0.2">
      <c r="A383" s="515">
        <v>365</v>
      </c>
      <c r="B383" t="s">
        <v>231</v>
      </c>
      <c r="C383">
        <v>2.0999999999999999E-3</v>
      </c>
      <c r="D383" s="13">
        <f t="shared" si="56"/>
        <v>0.66730588235294108</v>
      </c>
      <c r="E383" s="13">
        <f t="shared" si="57"/>
        <v>1.828235294117647E-3</v>
      </c>
      <c r="F383" s="13">
        <f t="shared" si="58"/>
        <v>0.55586579999999985</v>
      </c>
      <c r="G383" s="13">
        <f t="shared" si="59"/>
        <v>1.5229199999999999E-3</v>
      </c>
      <c r="H383" s="13">
        <f t="shared" si="60"/>
        <v>0.11144008235294117</v>
      </c>
      <c r="I383" s="13">
        <f t="shared" si="61"/>
        <v>3.0531529411764708E-4</v>
      </c>
      <c r="J383" s="13">
        <f>F383+_xlfn.XLOOKUP($B383,Tabl_B1_Scrap!$B$91:$B$117,Tabl_B1_Scrap!F$91:F$117,0)+_xlfn.XLOOKUP($B383,Tabl_B4_Scrap_Billet_Cut!$B$87:$B$101,Tabl_B4_Scrap_Billet_Cut!F$87:F$101,0)</f>
        <v>0.55589172462599989</v>
      </c>
      <c r="K383" s="13">
        <f>G383+_xlfn.XLOOKUP($B383,Tabl_B1_Scrap!$B$91:$B$117,Tabl_B1_Scrap!G$91:G$117,0)+_xlfn.XLOOKUP($B383,Tabl_B4_Scrap_Billet_Cut!$B$87:$B$101,Tabl_B4_Scrap_Billet_Cut!G$87:G$101,0)</f>
        <v>1.5233188403999999E-3</v>
      </c>
      <c r="L383" s="13">
        <f>H383+_xlfn.XLOOKUP($B383,Tabl_B1_Scrap!$B$91:$B$117,Tabl_B1_Scrap!H$91:H$117,0)+_xlfn.XLOOKUP($B383,Tabl_B4_Scrap_Billet_Cut!$B$87:$B$101,Tabl_B4_Scrap_Billet_Cut!H$87:H$101,0)</f>
        <v>0.11144527972694117</v>
      </c>
      <c r="M383" s="13">
        <f>I383+_xlfn.XLOOKUP($B383,Tabl_B1_Scrap!$B$91:$B$117,Tabl_B1_Scrap!I$91:I$117,0)+_xlfn.XLOOKUP($B383,Tabl_B4_Scrap_Billet_Cut!$B$87:$B$101,Tabl_B4_Scrap_Billet_Cut!I$87:I$101,0)</f>
        <v>3.0539525371764707E-4</v>
      </c>
    </row>
    <row r="384" spans="1:16" x14ac:dyDescent="0.2">
      <c r="A384" s="516" t="s">
        <v>91</v>
      </c>
      <c r="B384" t="s">
        <v>233</v>
      </c>
      <c r="C384">
        <v>2.4000000000000001E-5</v>
      </c>
      <c r="D384" s="13">
        <f t="shared" si="56"/>
        <v>7.6263529411764704E-3</v>
      </c>
      <c r="E384" s="13">
        <f t="shared" si="57"/>
        <v>2.0894117647058823E-5</v>
      </c>
      <c r="F384" s="13">
        <f t="shared" si="58"/>
        <v>6.3527519999999997E-3</v>
      </c>
      <c r="G384" s="13">
        <f t="shared" si="59"/>
        <v>1.74048E-5</v>
      </c>
      <c r="H384" s="13">
        <f t="shared" si="60"/>
        <v>1.2736009411764707E-3</v>
      </c>
      <c r="I384" s="13">
        <f t="shared" si="61"/>
        <v>3.4893176470588234E-6</v>
      </c>
      <c r="J384" s="13">
        <f>F384+_xlfn.XLOOKUP($B384,Tabl_B1_Scrap!$B$91:$B$117,Tabl_B1_Scrap!F$91:F$117,0)+_xlfn.XLOOKUP($B384,Tabl_B4_Scrap_Billet_Cut!$B$87:$B$101,Tabl_B4_Scrap_Billet_Cut!F$87:F$101,0)</f>
        <v>6.3530482814399998E-3</v>
      </c>
      <c r="K384" s="13">
        <f>G384+_xlfn.XLOOKUP($B384,Tabl_B1_Scrap!$B$91:$B$117,Tabl_B1_Scrap!G$91:G$117,0)+_xlfn.XLOOKUP($B384,Tabl_B4_Scrap_Billet_Cut!$B$87:$B$101,Tabl_B4_Scrap_Billet_Cut!G$87:G$101,0)</f>
        <v>1.7409358176E-5</v>
      </c>
      <c r="L384" s="13">
        <f>H384+_xlfn.XLOOKUP($B384,Tabl_B1_Scrap!$B$91:$B$117,Tabl_B1_Scrap!H$91:H$117,0)+_xlfn.XLOOKUP($B384,Tabl_B4_Scrap_Billet_Cut!$B$87:$B$101,Tabl_B4_Scrap_Billet_Cut!H$87:H$101,0)</f>
        <v>1.2736603397364708E-3</v>
      </c>
      <c r="M384" s="13">
        <f>I384+_xlfn.XLOOKUP($B384,Tabl_B1_Scrap!$B$91:$B$117,Tabl_B1_Scrap!I$91:I$117,0)+_xlfn.XLOOKUP($B384,Tabl_B4_Scrap_Billet_Cut!$B$87:$B$101,Tabl_B4_Scrap_Billet_Cut!I$87:I$101,0)</f>
        <v>3.4902314710588234E-6</v>
      </c>
    </row>
    <row r="385" spans="1:13" x14ac:dyDescent="0.2">
      <c r="A385" s="516" t="s">
        <v>109</v>
      </c>
      <c r="B385" t="s">
        <v>21</v>
      </c>
      <c r="C385">
        <v>3.6600000000000001E-2</v>
      </c>
      <c r="D385" s="13">
        <f t="shared" si="56"/>
        <v>11.630188235294117</v>
      </c>
      <c r="E385" s="13">
        <f t="shared" si="57"/>
        <v>3.1863529411764707E-2</v>
      </c>
      <c r="F385" s="13">
        <f t="shared" si="58"/>
        <v>9.6879467999999989</v>
      </c>
      <c r="G385" s="13">
        <f t="shared" si="59"/>
        <v>2.6542320000000001E-2</v>
      </c>
      <c r="H385" s="13">
        <f t="shared" si="60"/>
        <v>1.9422414352941177</v>
      </c>
      <c r="I385" s="13">
        <f t="shared" si="61"/>
        <v>5.321209411764706E-3</v>
      </c>
      <c r="J385" s="13">
        <f>F385+_xlfn.XLOOKUP($B385,Tabl_B1_Scrap!$B$91:$B$117,Tabl_B1_Scrap!F$91:F$117,0)+_xlfn.XLOOKUP($B385,Tabl_B4_Scrap_Billet_Cut!$B$87:$B$101,Tabl_B4_Scrap_Billet_Cut!F$87:F$101,0)</f>
        <v>9.6900770356347721</v>
      </c>
      <c r="K385" s="13">
        <f>G385+_xlfn.XLOOKUP($B385,Tabl_B1_Scrap!$B$91:$B$117,Tabl_B1_Scrap!G$91:G$117,0)+_xlfn.XLOOKUP($B385,Tabl_B4_Scrap_Billet_Cut!$B$87:$B$101,Tabl_B4_Scrap_Billet_Cut!G$87:G$101,0)</f>
        <v>2.6556222436800003E-2</v>
      </c>
      <c r="L385" s="13">
        <f>H385+_xlfn.XLOOKUP($B385,Tabl_B1_Scrap!$B$91:$B$117,Tabl_B1_Scrap!H$91:H$117,0)+_xlfn.XLOOKUP($B385,Tabl_B4_Scrap_Billet_Cut!$B$87:$B$101,Tabl_B4_Scrap_Billet_Cut!H$87:H$101,0)</f>
        <v>1.9426685053433459</v>
      </c>
      <c r="M385" s="13">
        <f>I385+_xlfn.XLOOKUP($B385,Tabl_B1_Scrap!$B$91:$B$117,Tabl_B1_Scrap!I$91:I$117,0)+_xlfn.XLOOKUP($B385,Tabl_B4_Scrap_Billet_Cut!$B$87:$B$101,Tabl_B4_Scrap_Billet_Cut!I$87:I$101,0)</f>
        <v>5.3239965749647053E-3</v>
      </c>
    </row>
    <row r="386" spans="1:13" x14ac:dyDescent="0.2">
      <c r="A386" s="516" t="s">
        <v>92</v>
      </c>
      <c r="B386" t="s">
        <v>197</v>
      </c>
      <c r="C386">
        <v>2.3E-3</v>
      </c>
      <c r="D386" s="13">
        <f t="shared" si="56"/>
        <v>0.73085882352941167</v>
      </c>
      <c r="E386" s="13">
        <f t="shared" si="57"/>
        <v>2.0023529411764707E-3</v>
      </c>
      <c r="F386" s="13">
        <f t="shared" si="58"/>
        <v>0.60880539999999994</v>
      </c>
      <c r="G386" s="13">
        <f t="shared" si="59"/>
        <v>1.66796E-3</v>
      </c>
      <c r="H386" s="13">
        <f t="shared" si="60"/>
        <v>0.12205342352941176</v>
      </c>
      <c r="I386" s="13">
        <f t="shared" si="61"/>
        <v>3.3439294117647061E-4</v>
      </c>
      <c r="J386" s="13">
        <f>F386+_xlfn.XLOOKUP($B386,Tabl_B1_Scrap!$B$91:$B$117,Tabl_B1_Scrap!F$91:F$117,0)+_xlfn.XLOOKUP($B386,Tabl_B4_Scrap_Billet_Cut!$B$87:$B$101,Tabl_B4_Scrap_Billet_Cut!F$87:F$101,0)</f>
        <v>0.60883379363799994</v>
      </c>
      <c r="K386" s="13">
        <f>G386+_xlfn.XLOOKUP($B386,Tabl_B1_Scrap!$B$91:$B$117,Tabl_B1_Scrap!G$91:G$117,0)+_xlfn.XLOOKUP($B386,Tabl_B4_Scrap_Billet_Cut!$B$87:$B$101,Tabl_B4_Scrap_Billet_Cut!G$87:G$101,0)</f>
        <v>1.6683968252000001E-3</v>
      </c>
      <c r="L386" s="13">
        <f>H386+_xlfn.XLOOKUP($B386,Tabl_B1_Scrap!$B$91:$B$117,Tabl_B1_Scrap!H$91:H$117,0)+_xlfn.XLOOKUP($B386,Tabl_B4_Scrap_Billet_Cut!$B$87:$B$101,Tabl_B4_Scrap_Billet_Cut!H$87:H$101,0)</f>
        <v>0.12205911589141176</v>
      </c>
      <c r="M386" s="13">
        <f>I386+_xlfn.XLOOKUP($B386,Tabl_B1_Scrap!$B$91:$B$117,Tabl_B1_Scrap!I$91:I$117,0)+_xlfn.XLOOKUP($B386,Tabl_B4_Scrap_Billet_Cut!$B$87:$B$101,Tabl_B4_Scrap_Billet_Cut!I$87:I$101,0)</f>
        <v>3.344805159764706E-4</v>
      </c>
    </row>
    <row r="387" spans="1:13" x14ac:dyDescent="0.2">
      <c r="A387" s="516" t="s">
        <v>111</v>
      </c>
      <c r="B387" t="s">
        <v>234</v>
      </c>
      <c r="C387">
        <v>2.7199999999999998E-2</v>
      </c>
      <c r="D387" s="13">
        <f t="shared" si="56"/>
        <v>8.6431999999999984</v>
      </c>
      <c r="E387" s="13">
        <f t="shared" si="57"/>
        <v>2.368E-2</v>
      </c>
      <c r="F387" s="13">
        <f t="shared" si="58"/>
        <v>7.1997855999999985</v>
      </c>
      <c r="G387" s="13">
        <f t="shared" si="59"/>
        <v>1.972544E-2</v>
      </c>
      <c r="H387" s="13">
        <f t="shared" si="60"/>
        <v>1.4434143999999998</v>
      </c>
      <c r="I387" s="13">
        <f t="shared" si="61"/>
        <v>3.9545600000000002E-3</v>
      </c>
      <c r="J387" s="13">
        <f>F387+_xlfn.XLOOKUP($B387,Tabl_B1_Scrap!$B$91:$B$117,Tabl_B1_Scrap!F$91:F$117,0)+_xlfn.XLOOKUP($B387,Tabl_B4_Scrap_Billet_Cut!$B$87:$B$101,Tabl_B4_Scrap_Billet_Cut!F$87:F$101,0)</f>
        <v>7.2013687259362227</v>
      </c>
      <c r="K387" s="13">
        <f>G387+_xlfn.XLOOKUP($B387,Tabl_B1_Scrap!$B$91:$B$117,Tabl_B1_Scrap!G$91:G$117,0)+_xlfn.XLOOKUP($B387,Tabl_B4_Scrap_Billet_Cut!$B$87:$B$101,Tabl_B4_Scrap_Billet_Cut!G$87:G$101,0)</f>
        <v>1.9735771865599997E-2</v>
      </c>
      <c r="L387" s="13">
        <f>H387+_xlfn.XLOOKUP($B387,Tabl_B1_Scrap!$B$91:$B$117,Tabl_B1_Scrap!H$91:H$117,0)+_xlfn.XLOOKUP($B387,Tabl_B4_Scrap_Billet_Cut!$B$87:$B$101,Tabl_B4_Scrap_Billet_Cut!H$87:H$101,0)</f>
        <v>1.4437317853917757</v>
      </c>
      <c r="M387" s="13">
        <f>I387+_xlfn.XLOOKUP($B387,Tabl_B1_Scrap!$B$91:$B$117,Tabl_B1_Scrap!I$91:I$117,0)+_xlfn.XLOOKUP($B387,Tabl_B4_Scrap_Billet_Cut!$B$87:$B$101,Tabl_B4_Scrap_Billet_Cut!I$87:I$101,0)</f>
        <v>3.9566313344000003E-3</v>
      </c>
    </row>
    <row r="388" spans="1:13" x14ac:dyDescent="0.2">
      <c r="A388" s="516" t="s">
        <v>94</v>
      </c>
      <c r="B388" t="s">
        <v>235</v>
      </c>
      <c r="C388">
        <v>2.9000000000000001E-2</v>
      </c>
      <c r="D388" s="13">
        <f t="shared" si="56"/>
        <v>9.2151764705882346</v>
      </c>
      <c r="E388" s="13">
        <f t="shared" si="57"/>
        <v>2.5247058823529414E-2</v>
      </c>
      <c r="F388" s="13">
        <f t="shared" si="58"/>
        <v>7.6762419999999993</v>
      </c>
      <c r="G388" s="13">
        <f t="shared" si="59"/>
        <v>2.1030800000000002E-2</v>
      </c>
      <c r="H388" s="13">
        <f t="shared" si="60"/>
        <v>1.5389344705882353</v>
      </c>
      <c r="I388" s="13">
        <f t="shared" si="61"/>
        <v>4.2162588235294127E-3</v>
      </c>
      <c r="J388" s="13">
        <f>F388+_xlfn.XLOOKUP($B388,Tabl_B1_Scrap!$B$91:$B$117,Tabl_B1_Scrap!F$91:F$117,0)+_xlfn.XLOOKUP($B388,Tabl_B4_Scrap_Billet_Cut!$B$87:$B$101,Tabl_B4_Scrap_Billet_Cut!F$87:F$101,0)</f>
        <v>7.6766000067399993</v>
      </c>
      <c r="K388" s="13">
        <f>G388+_xlfn.XLOOKUP($B388,Tabl_B1_Scrap!$B$91:$B$117,Tabl_B1_Scrap!G$91:G$117,0)+_xlfn.XLOOKUP($B388,Tabl_B4_Scrap_Billet_Cut!$B$87:$B$101,Tabl_B4_Scrap_Billet_Cut!G$87:G$101,0)</f>
        <v>2.1036307796000003E-2</v>
      </c>
      <c r="L388" s="13">
        <f>H388+_xlfn.XLOOKUP($B388,Tabl_B1_Scrap!$B$91:$B$117,Tabl_B1_Scrap!H$91:H$117,0)+_xlfn.XLOOKUP($B388,Tabl_B4_Scrap_Billet_Cut!$B$87:$B$101,Tabl_B4_Scrap_Billet_Cut!H$87:H$101,0)</f>
        <v>1.5390062438482353</v>
      </c>
      <c r="M388" s="13">
        <f>I388+_xlfn.XLOOKUP($B388,Tabl_B1_Scrap!$B$91:$B$117,Tabl_B1_Scrap!I$91:I$117,0)+_xlfn.XLOOKUP($B388,Tabl_B4_Scrap_Billet_Cut!$B$87:$B$101,Tabl_B4_Scrap_Billet_Cut!I$87:I$101,0)</f>
        <v>4.2173630275294128E-3</v>
      </c>
    </row>
    <row r="396" spans="1:13" ht="19" x14ac:dyDescent="0.25">
      <c r="A396" s="521" t="s">
        <v>384</v>
      </c>
      <c r="D396" t="s">
        <v>395</v>
      </c>
    </row>
    <row r="398" spans="1:13" ht="34" x14ac:dyDescent="0.2">
      <c r="A398" s="522" t="s">
        <v>209</v>
      </c>
      <c r="B398" s="29" t="s">
        <v>208</v>
      </c>
      <c r="C398" s="29" t="s">
        <v>237</v>
      </c>
      <c r="D398" s="29" t="s">
        <v>211</v>
      </c>
      <c r="E398" s="29" t="s">
        <v>212</v>
      </c>
    </row>
    <row r="399" spans="1:13" x14ac:dyDescent="0.2">
      <c r="A399" s="516" t="s">
        <v>100</v>
      </c>
      <c r="B399" t="s">
        <v>15</v>
      </c>
      <c r="C399">
        <v>8.0000000000000002E-3</v>
      </c>
      <c r="D399" s="13">
        <f>C399*SUM($B$318:$B$319)</f>
        <v>1.7863529411764705</v>
      </c>
      <c r="E399" s="13">
        <f>C399*SUM($C$318:$C$319)</f>
        <v>4.894117647058824E-3</v>
      </c>
      <c r="G399" s="11"/>
      <c r="H399" s="11"/>
    </row>
    <row r="400" spans="1:13" x14ac:dyDescent="0.2">
      <c r="A400" s="516" t="s">
        <v>105</v>
      </c>
      <c r="B400" t="s">
        <v>17</v>
      </c>
      <c r="C400">
        <v>1.7000000000000001E-2</v>
      </c>
      <c r="D400" s="13">
        <f t="shared" ref="D400:D425" si="62">C400*SUM($B$318:$B$319)</f>
        <v>3.7960000000000003</v>
      </c>
      <c r="E400" s="13">
        <f t="shared" ref="E400:E425" si="63">C400*SUM($C$318:$C$319)</f>
        <v>1.0400000000000001E-2</v>
      </c>
      <c r="G400" s="11"/>
      <c r="H400" s="11"/>
    </row>
    <row r="401" spans="1:8" x14ac:dyDescent="0.2">
      <c r="A401" s="515">
        <v>401</v>
      </c>
      <c r="B401" t="s">
        <v>232</v>
      </c>
      <c r="C401">
        <v>1E-4</v>
      </c>
      <c r="D401" s="13">
        <f t="shared" si="62"/>
        <v>2.2329411764705882E-2</v>
      </c>
      <c r="E401" s="13">
        <f t="shared" si="63"/>
        <v>6.1176470588235302E-5</v>
      </c>
      <c r="G401" s="11"/>
      <c r="H401" s="11"/>
    </row>
    <row r="402" spans="1:8" x14ac:dyDescent="0.2">
      <c r="A402" s="516" t="s">
        <v>192</v>
      </c>
      <c r="B402" t="s">
        <v>223</v>
      </c>
      <c r="C402">
        <v>1.1999999999999999E-6</v>
      </c>
      <c r="D402" s="13">
        <f t="shared" si="62"/>
        <v>2.6795294117647054E-4</v>
      </c>
      <c r="E402" s="13">
        <f t="shared" si="63"/>
        <v>7.3411764705882353E-7</v>
      </c>
      <c r="G402" s="11"/>
      <c r="H402" s="11"/>
    </row>
    <row r="403" spans="1:8" x14ac:dyDescent="0.2">
      <c r="A403" s="516" t="s">
        <v>107</v>
      </c>
      <c r="B403" t="s">
        <v>19</v>
      </c>
      <c r="C403">
        <v>2.9999999999999997E-4</v>
      </c>
      <c r="D403" s="13">
        <f t="shared" si="62"/>
        <v>6.698823529411764E-2</v>
      </c>
      <c r="E403" s="13">
        <f t="shared" si="63"/>
        <v>1.8352941176470589E-4</v>
      </c>
      <c r="G403" s="11"/>
      <c r="H403" s="11"/>
    </row>
    <row r="404" spans="1:8" x14ac:dyDescent="0.2">
      <c r="A404" s="516" t="s">
        <v>97</v>
      </c>
      <c r="B404" t="s">
        <v>13</v>
      </c>
      <c r="C404">
        <v>4.3E-3</v>
      </c>
      <c r="D404" s="13">
        <f t="shared" si="62"/>
        <v>0.96016470588235292</v>
      </c>
      <c r="E404" s="13">
        <f t="shared" si="63"/>
        <v>2.6305882352941181E-3</v>
      </c>
      <c r="G404" s="11"/>
      <c r="H404" s="11"/>
    </row>
    <row r="405" spans="1:8" x14ac:dyDescent="0.2">
      <c r="A405" s="516" t="s">
        <v>98</v>
      </c>
      <c r="B405" t="s">
        <v>14</v>
      </c>
      <c r="C405">
        <v>2.7000000000000001E-3</v>
      </c>
      <c r="D405" s="13">
        <f t="shared" si="62"/>
        <v>0.6028941176470588</v>
      </c>
      <c r="E405" s="13">
        <f t="shared" si="63"/>
        <v>1.6517647058823532E-3</v>
      </c>
      <c r="G405" s="11"/>
      <c r="H405" s="11"/>
    </row>
    <row r="406" spans="1:8" x14ac:dyDescent="0.2">
      <c r="A406" s="516" t="s">
        <v>99</v>
      </c>
      <c r="B406" t="s">
        <v>33</v>
      </c>
      <c r="C406">
        <v>18</v>
      </c>
      <c r="D406" s="13">
        <f t="shared" si="62"/>
        <v>4019.2941176470586</v>
      </c>
      <c r="E406" s="13">
        <f t="shared" si="63"/>
        <v>11.011764705882353</v>
      </c>
      <c r="G406" s="11"/>
      <c r="H406" s="11"/>
    </row>
    <row r="407" spans="1:8" x14ac:dyDescent="0.2">
      <c r="A407" s="516" t="s">
        <v>83</v>
      </c>
      <c r="B407" t="s">
        <v>221</v>
      </c>
      <c r="C407">
        <v>2.0000000000000001E-4</v>
      </c>
      <c r="D407" s="13">
        <f t="shared" si="62"/>
        <v>4.4658823529411765E-2</v>
      </c>
      <c r="E407" s="13">
        <f t="shared" si="63"/>
        <v>1.223529411764706E-4</v>
      </c>
      <c r="G407" s="11"/>
      <c r="H407" s="11"/>
    </row>
    <row r="408" spans="1:8" x14ac:dyDescent="0.2">
      <c r="A408" s="516" t="s">
        <v>95</v>
      </c>
      <c r="B408" t="s">
        <v>222</v>
      </c>
      <c r="C408">
        <v>4.4000000000000003E-3</v>
      </c>
      <c r="D408" s="13">
        <f t="shared" si="62"/>
        <v>0.98249411764705885</v>
      </c>
      <c r="E408" s="13">
        <f t="shared" si="63"/>
        <v>2.6917647058823531E-3</v>
      </c>
      <c r="G408" s="11"/>
      <c r="H408" s="11"/>
    </row>
    <row r="409" spans="1:8" x14ac:dyDescent="0.2">
      <c r="A409" s="516" t="s">
        <v>93</v>
      </c>
      <c r="B409" t="s">
        <v>224</v>
      </c>
      <c r="C409">
        <v>1.2E-5</v>
      </c>
      <c r="D409" s="13">
        <f t="shared" si="62"/>
        <v>2.6795294117647056E-3</v>
      </c>
      <c r="E409" s="13">
        <f t="shared" si="63"/>
        <v>7.3411764705882361E-6</v>
      </c>
      <c r="G409" s="11"/>
      <c r="H409" s="11"/>
    </row>
    <row r="410" spans="1:8" x14ac:dyDescent="0.2">
      <c r="A410" s="516" t="s">
        <v>84</v>
      </c>
      <c r="B410" t="s">
        <v>225</v>
      </c>
      <c r="C410">
        <v>1.1000000000000001E-3</v>
      </c>
      <c r="D410" s="13">
        <f t="shared" si="62"/>
        <v>0.24562352941176471</v>
      </c>
      <c r="E410" s="13">
        <f t="shared" si="63"/>
        <v>6.7294117647058828E-4</v>
      </c>
      <c r="G410" s="11"/>
      <c r="H410" s="11"/>
    </row>
    <row r="411" spans="1:8" x14ac:dyDescent="0.2">
      <c r="A411" s="516" t="s">
        <v>85</v>
      </c>
      <c r="B411" t="s">
        <v>215</v>
      </c>
      <c r="C411">
        <v>1.4E-3</v>
      </c>
      <c r="D411" s="13">
        <f t="shared" si="62"/>
        <v>0.31261176470588231</v>
      </c>
      <c r="E411" s="13">
        <f t="shared" si="63"/>
        <v>8.5647058823529415E-4</v>
      </c>
      <c r="G411" s="11"/>
      <c r="H411" s="11"/>
    </row>
    <row r="412" spans="1:8" x14ac:dyDescent="0.2">
      <c r="A412" s="516" t="s">
        <v>86</v>
      </c>
      <c r="B412" t="s">
        <v>227</v>
      </c>
      <c r="C412">
        <v>8.3999999999999995E-5</v>
      </c>
      <c r="D412" s="13">
        <f t="shared" si="62"/>
        <v>1.8756705882352939E-2</v>
      </c>
      <c r="E412" s="13">
        <f t="shared" si="63"/>
        <v>5.1388235294117649E-5</v>
      </c>
      <c r="G412" s="11"/>
      <c r="H412" s="11"/>
    </row>
    <row r="413" spans="1:8" x14ac:dyDescent="0.2">
      <c r="A413" s="516" t="s">
        <v>87</v>
      </c>
      <c r="B413" t="s">
        <v>194</v>
      </c>
      <c r="C413">
        <v>8.4999999999999995E-4</v>
      </c>
      <c r="D413" s="13">
        <f t="shared" si="62"/>
        <v>0.18979999999999997</v>
      </c>
      <c r="E413" s="13">
        <f t="shared" si="63"/>
        <v>5.2000000000000006E-4</v>
      </c>
      <c r="G413" s="11"/>
      <c r="H413" s="11"/>
    </row>
    <row r="414" spans="1:8" x14ac:dyDescent="0.2">
      <c r="A414" s="516" t="s">
        <v>103</v>
      </c>
      <c r="B414" t="s">
        <v>32</v>
      </c>
      <c r="C414">
        <v>9.4999999999999998E-3</v>
      </c>
      <c r="D414" s="13">
        <f t="shared" si="62"/>
        <v>2.1212941176470586</v>
      </c>
      <c r="E414" s="13">
        <f t="shared" si="63"/>
        <v>5.8117647058823531E-3</v>
      </c>
      <c r="G414" s="11"/>
      <c r="H414" s="11"/>
    </row>
    <row r="415" spans="1:8" x14ac:dyDescent="0.2">
      <c r="A415" s="516" t="s">
        <v>106</v>
      </c>
      <c r="B415" t="s">
        <v>18</v>
      </c>
      <c r="C415">
        <v>6.3E-3</v>
      </c>
      <c r="D415" s="13">
        <f t="shared" si="62"/>
        <v>1.4067529411764705</v>
      </c>
      <c r="E415" s="13">
        <f t="shared" si="63"/>
        <v>3.8541176470588238E-3</v>
      </c>
      <c r="G415" s="11"/>
      <c r="H415" s="11"/>
    </row>
    <row r="416" spans="1:8" x14ac:dyDescent="0.2">
      <c r="A416" s="516" t="s">
        <v>88</v>
      </c>
      <c r="B416" t="s">
        <v>228</v>
      </c>
      <c r="C416">
        <v>5.0000000000000001E-4</v>
      </c>
      <c r="D416" s="13">
        <f t="shared" si="62"/>
        <v>0.1116470588235294</v>
      </c>
      <c r="E416" s="13">
        <f t="shared" si="63"/>
        <v>3.058823529411765E-4</v>
      </c>
      <c r="G416" s="11"/>
      <c r="H416" s="11"/>
    </row>
    <row r="417" spans="1:8" x14ac:dyDescent="0.2">
      <c r="A417" s="516" t="s">
        <v>89</v>
      </c>
      <c r="B417" t="s">
        <v>229</v>
      </c>
      <c r="C417">
        <v>3.8000000000000002E-4</v>
      </c>
      <c r="D417" s="13">
        <f t="shared" si="62"/>
        <v>8.4851764705882349E-2</v>
      </c>
      <c r="E417" s="13">
        <f t="shared" si="63"/>
        <v>2.3247058823529414E-4</v>
      </c>
      <c r="G417" s="11"/>
      <c r="H417" s="11"/>
    </row>
    <row r="418" spans="1:8" x14ac:dyDescent="0.2">
      <c r="A418" s="516" t="s">
        <v>90</v>
      </c>
      <c r="B418" t="s">
        <v>230</v>
      </c>
      <c r="C418">
        <v>2.5999999999999998E-4</v>
      </c>
      <c r="D418" s="13">
        <f t="shared" si="62"/>
        <v>5.8056470588235286E-2</v>
      </c>
      <c r="E418" s="13">
        <f t="shared" si="63"/>
        <v>1.5905882352941177E-4</v>
      </c>
      <c r="G418" s="11"/>
      <c r="H418" s="11"/>
    </row>
    <row r="419" spans="1:8" x14ac:dyDescent="0.2">
      <c r="A419" s="516" t="s">
        <v>96</v>
      </c>
      <c r="B419" t="s">
        <v>196</v>
      </c>
      <c r="C419">
        <v>1.65E-3</v>
      </c>
      <c r="D419" s="13">
        <f t="shared" si="62"/>
        <v>0.36843529411764703</v>
      </c>
      <c r="E419" s="13">
        <f t="shared" si="63"/>
        <v>1.0094117647058824E-3</v>
      </c>
      <c r="G419" s="11"/>
      <c r="H419" s="11"/>
    </row>
    <row r="420" spans="1:8" x14ac:dyDescent="0.2">
      <c r="A420" s="515">
        <v>365</v>
      </c>
      <c r="B420" t="s">
        <v>231</v>
      </c>
      <c r="C420">
        <v>2.0999999999999999E-3</v>
      </c>
      <c r="D420" s="13">
        <f t="shared" si="62"/>
        <v>0.46891764705882349</v>
      </c>
      <c r="E420" s="13">
        <f t="shared" si="63"/>
        <v>1.2847058823529413E-3</v>
      </c>
      <c r="G420" s="11"/>
      <c r="H420" s="11"/>
    </row>
    <row r="421" spans="1:8" x14ac:dyDescent="0.2">
      <c r="A421" s="516" t="s">
        <v>91</v>
      </c>
      <c r="B421" t="s">
        <v>233</v>
      </c>
      <c r="C421">
        <v>2.4000000000000001E-5</v>
      </c>
      <c r="D421" s="13">
        <f t="shared" si="62"/>
        <v>5.3590588235294112E-3</v>
      </c>
      <c r="E421" s="13">
        <f t="shared" si="63"/>
        <v>1.4682352941176472E-5</v>
      </c>
      <c r="G421" s="11"/>
      <c r="H421" s="11"/>
    </row>
    <row r="422" spans="1:8" x14ac:dyDescent="0.2">
      <c r="A422" s="516" t="s">
        <v>109</v>
      </c>
      <c r="B422" t="s">
        <v>21</v>
      </c>
      <c r="C422">
        <v>3.6600000000000001E-2</v>
      </c>
      <c r="D422" s="13">
        <f t="shared" si="62"/>
        <v>8.172564705882353</v>
      </c>
      <c r="E422" s="13">
        <f t="shared" si="63"/>
        <v>2.239058823529412E-2</v>
      </c>
      <c r="G422" s="11"/>
      <c r="H422" s="11"/>
    </row>
    <row r="423" spans="1:8" x14ac:dyDescent="0.2">
      <c r="A423" s="516" t="s">
        <v>92</v>
      </c>
      <c r="B423" t="s">
        <v>197</v>
      </c>
      <c r="C423">
        <v>2.3E-3</v>
      </c>
      <c r="D423" s="13">
        <f t="shared" si="62"/>
        <v>0.5135764705882353</v>
      </c>
      <c r="E423" s="13">
        <f t="shared" si="63"/>
        <v>1.4070588235294119E-3</v>
      </c>
      <c r="G423" s="11"/>
      <c r="H423" s="11"/>
    </row>
    <row r="424" spans="1:8" x14ac:dyDescent="0.2">
      <c r="A424" s="516" t="s">
        <v>111</v>
      </c>
      <c r="B424" t="s">
        <v>234</v>
      </c>
      <c r="C424">
        <v>2.7199999999999998E-2</v>
      </c>
      <c r="D424" s="13">
        <f t="shared" si="62"/>
        <v>6.073599999999999</v>
      </c>
      <c r="E424" s="13">
        <f t="shared" si="63"/>
        <v>1.6640000000000002E-2</v>
      </c>
      <c r="G424" s="11"/>
      <c r="H424" s="11"/>
    </row>
    <row r="425" spans="1:8" x14ac:dyDescent="0.2">
      <c r="A425" s="516" t="s">
        <v>94</v>
      </c>
      <c r="B425" t="s">
        <v>235</v>
      </c>
      <c r="C425">
        <v>2.9000000000000001E-2</v>
      </c>
      <c r="D425" s="13">
        <f t="shared" si="62"/>
        <v>6.4755294117647058</v>
      </c>
      <c r="E425" s="13">
        <f t="shared" si="63"/>
        <v>1.7741176470588236E-2</v>
      </c>
      <c r="G425" s="11"/>
      <c r="H425" s="11"/>
    </row>
    <row r="434" spans="1:10" ht="19" x14ac:dyDescent="0.25">
      <c r="A434" s="521" t="s">
        <v>1935</v>
      </c>
    </row>
    <row r="436" spans="1:10" x14ac:dyDescent="0.2">
      <c r="D436" t="s">
        <v>398</v>
      </c>
      <c r="F436" s="547" t="s">
        <v>1945</v>
      </c>
      <c r="G436" s="547"/>
    </row>
    <row r="437" spans="1:10" ht="34" x14ac:dyDescent="0.2">
      <c r="A437" s="522" t="s">
        <v>209</v>
      </c>
      <c r="B437" s="29" t="s">
        <v>208</v>
      </c>
      <c r="C437" s="29" t="s">
        <v>237</v>
      </c>
      <c r="D437" s="29" t="s">
        <v>211</v>
      </c>
      <c r="E437" s="29" t="s">
        <v>212</v>
      </c>
      <c r="F437" s="29" t="s">
        <v>211</v>
      </c>
      <c r="G437" s="29" t="s">
        <v>212</v>
      </c>
    </row>
    <row r="438" spans="1:10" x14ac:dyDescent="0.2">
      <c r="A438" s="516" t="s">
        <v>100</v>
      </c>
      <c r="B438" t="s">
        <v>15</v>
      </c>
      <c r="C438">
        <f>C399*0.05</f>
        <v>4.0000000000000002E-4</v>
      </c>
      <c r="D438" s="538">
        <f>C438*SUM($B$318:$B$319)</f>
        <v>8.9317647058823529E-2</v>
      </c>
      <c r="E438" s="13">
        <f>C438*SUM($C$318:$C$319)</f>
        <v>2.4470588235294121E-4</v>
      </c>
      <c r="F438" s="13">
        <f>D438+_xlfn.XLOOKUP($B438,Tabl_B1_Scrap!$B$124:$B$150,Tabl_B1_Scrap!D$124:D$150,0)+_xlfn.XLOOKUP($B438,Tabl_B4_Scrap_Billet_Cut!$B$115:$B$129,Tabl_B4_Scrap_Billet_Cut!D$115:D$129,0)</f>
        <v>8.9347066738823533E-2</v>
      </c>
      <c r="G438" s="13">
        <f>E438+_xlfn.XLOOKUP($B438,Tabl_B1_Scrap!$B$124:$B$150,Tabl_B1_Scrap!E$124:E$150,0)+_xlfn.XLOOKUP($B438,Tabl_B4_Scrap_Billet_Cut!$B$115:$B$129,Tabl_B4_Scrap_Billet_Cut!E$115:E$129,0)</f>
        <v>2.448978823529412E-4</v>
      </c>
      <c r="J438" s="538"/>
    </row>
    <row r="439" spans="1:10" x14ac:dyDescent="0.2">
      <c r="A439" s="516" t="s">
        <v>105</v>
      </c>
      <c r="B439" t="s">
        <v>17</v>
      </c>
      <c r="C439">
        <f t="shared" ref="C439:C464" si="64">C400*0.05</f>
        <v>8.5000000000000006E-4</v>
      </c>
      <c r="D439" s="13">
        <f t="shared" ref="D439:D464" si="65">C439*SUM($B$318:$B$319)</f>
        <v>0.1898</v>
      </c>
      <c r="E439" s="13">
        <f t="shared" ref="E439:E464" si="66">C439*SUM($C$318:$C$319)</f>
        <v>5.2000000000000006E-4</v>
      </c>
      <c r="F439" s="13">
        <f>D439+_xlfn.XLOOKUP($B439,Tabl_B1_Scrap!$B$124:$B$150,Tabl_B1_Scrap!D$124:D$150,0)+_xlfn.XLOOKUP($B439,Tabl_B4_Scrap_Billet_Cut!$B$115:$B$129,Tabl_B4_Scrap_Billet_Cut!D$115:D$129,0)</f>
        <v>0.18986251681999999</v>
      </c>
      <c r="G439" s="13">
        <f>E439+_xlfn.XLOOKUP($B439,Tabl_B1_Scrap!$B$124:$B$150,Tabl_B1_Scrap!E$124:E$150,0)+_xlfn.XLOOKUP($B439,Tabl_B4_Scrap_Billet_Cut!$B$115:$B$129,Tabl_B4_Scrap_Billet_Cut!E$115:E$129,0)</f>
        <v>5.2040799999999998E-4</v>
      </c>
    </row>
    <row r="440" spans="1:10" x14ac:dyDescent="0.2">
      <c r="A440" s="515">
        <v>401</v>
      </c>
      <c r="B440" t="s">
        <v>232</v>
      </c>
      <c r="C440">
        <f t="shared" si="64"/>
        <v>5.0000000000000004E-6</v>
      </c>
      <c r="D440" s="13">
        <f t="shared" si="65"/>
        <v>1.1164705882352941E-3</v>
      </c>
      <c r="E440" s="13">
        <f t="shared" si="66"/>
        <v>3.0588235294117651E-6</v>
      </c>
      <c r="F440" s="13">
        <f>D440+_xlfn.XLOOKUP($B440,Tabl_B1_Scrap!$B$124:$B$150,Tabl_B1_Scrap!D$124:D$150,0)+_xlfn.XLOOKUP($B440,Tabl_B4_Scrap_Billet_Cut!$B$115:$B$129,Tabl_B4_Scrap_Billet_Cut!D$115:D$129,0)</f>
        <v>1.1168383342352939E-3</v>
      </c>
      <c r="G440" s="13">
        <f>E440+_xlfn.XLOOKUP($B440,Tabl_B1_Scrap!$B$124:$B$150,Tabl_B1_Scrap!E$124:E$150,0)+_xlfn.XLOOKUP($B440,Tabl_B4_Scrap_Billet_Cut!$B$115:$B$129,Tabl_B4_Scrap_Billet_Cut!E$115:E$129,0)</f>
        <v>3.0612235294117653E-6</v>
      </c>
    </row>
    <row r="441" spans="1:10" x14ac:dyDescent="0.2">
      <c r="A441" s="516" t="s">
        <v>192</v>
      </c>
      <c r="B441" t="s">
        <v>223</v>
      </c>
      <c r="C441">
        <f t="shared" si="64"/>
        <v>5.9999999999999995E-8</v>
      </c>
      <c r="D441" s="13">
        <f t="shared" si="65"/>
        <v>1.3397647058823528E-5</v>
      </c>
      <c r="E441" s="13">
        <f t="shared" si="66"/>
        <v>3.6705882352941179E-8</v>
      </c>
      <c r="F441" s="13">
        <f>D441+_xlfn.XLOOKUP($B441,Tabl_B1_Scrap!$B$124:$B$150,Tabl_B1_Scrap!D$124:D$150,0)+_xlfn.XLOOKUP($B441,Tabl_B4_Scrap_Billet_Cut!$B$115:$B$129,Tabl_B4_Scrap_Billet_Cut!D$115:D$129,0)</f>
        <v>1.3402060010823528E-5</v>
      </c>
      <c r="G441" s="13">
        <f>E441+_xlfn.XLOOKUP($B441,Tabl_B1_Scrap!$B$124:$B$150,Tabl_B1_Scrap!E$124:E$150,0)+_xlfn.XLOOKUP($B441,Tabl_B4_Scrap_Billet_Cut!$B$115:$B$129,Tabl_B4_Scrap_Billet_Cut!E$115:E$129,0)</f>
        <v>3.6734682352941175E-8</v>
      </c>
    </row>
    <row r="442" spans="1:10" x14ac:dyDescent="0.2">
      <c r="A442" s="516" t="s">
        <v>107</v>
      </c>
      <c r="B442" t="s">
        <v>19</v>
      </c>
      <c r="C442">
        <f t="shared" si="64"/>
        <v>1.4999999999999999E-5</v>
      </c>
      <c r="D442" s="13">
        <f t="shared" si="65"/>
        <v>3.349411764705882E-3</v>
      </c>
      <c r="E442" s="13">
        <f t="shared" si="66"/>
        <v>9.1764705882352937E-6</v>
      </c>
      <c r="F442" s="13">
        <f>D442+_xlfn.XLOOKUP($B442,Tabl_B1_Scrap!$B$124:$B$150,Tabl_B1_Scrap!D$124:D$150,0)+_xlfn.XLOOKUP($B442,Tabl_B4_Scrap_Billet_Cut!$B$115:$B$129,Tabl_B4_Scrap_Billet_Cut!D$115:D$129,0)</f>
        <v>3.350515002705882E-3</v>
      </c>
      <c r="G442" s="13">
        <f>E442+_xlfn.XLOOKUP($B442,Tabl_B1_Scrap!$B$124:$B$150,Tabl_B1_Scrap!E$124:E$150,0)+_xlfn.XLOOKUP($B442,Tabl_B4_Scrap_Billet_Cut!$B$115:$B$129,Tabl_B4_Scrap_Billet_Cut!E$115:E$129,0)</f>
        <v>9.1836705882352925E-6</v>
      </c>
    </row>
    <row r="443" spans="1:10" x14ac:dyDescent="0.2">
      <c r="A443" s="516" t="s">
        <v>97</v>
      </c>
      <c r="B443" t="s">
        <v>13</v>
      </c>
      <c r="C443">
        <f t="shared" si="64"/>
        <v>2.1500000000000002E-4</v>
      </c>
      <c r="D443" s="13">
        <f t="shared" si="65"/>
        <v>4.800823529411765E-2</v>
      </c>
      <c r="E443" s="13">
        <f t="shared" si="66"/>
        <v>1.315294117647059E-4</v>
      </c>
      <c r="F443" s="13">
        <f>D443+_xlfn.XLOOKUP($B443,Tabl_B1_Scrap!$B$124:$B$150,Tabl_B1_Scrap!D$124:D$150,0)+_xlfn.XLOOKUP($B443,Tabl_B4_Scrap_Billet_Cut!$B$115:$B$129,Tabl_B4_Scrap_Billet_Cut!D$115:D$129,0)</f>
        <v>4.8024048372117649E-2</v>
      </c>
      <c r="G443" s="13">
        <f>E443+_xlfn.XLOOKUP($B443,Tabl_B1_Scrap!$B$124:$B$150,Tabl_B1_Scrap!E$124:E$150,0)+_xlfn.XLOOKUP($B443,Tabl_B4_Scrap_Billet_Cut!$B$115:$B$129,Tabl_B4_Scrap_Billet_Cut!E$115:E$129,0)</f>
        <v>1.3163261176470591E-4</v>
      </c>
    </row>
    <row r="444" spans="1:10" x14ac:dyDescent="0.2">
      <c r="A444" s="516" t="s">
        <v>98</v>
      </c>
      <c r="B444" t="s">
        <v>14</v>
      </c>
      <c r="C444">
        <f t="shared" si="64"/>
        <v>1.35E-4</v>
      </c>
      <c r="D444" s="13">
        <f t="shared" si="65"/>
        <v>3.0144705882352942E-2</v>
      </c>
      <c r="E444" s="13">
        <f t="shared" si="66"/>
        <v>8.2588235294117648E-5</v>
      </c>
      <c r="F444" s="13">
        <f>D444+_xlfn.XLOOKUP($B444,Tabl_B1_Scrap!$B$124:$B$150,Tabl_B1_Scrap!D$124:D$150,0)+_xlfn.XLOOKUP($B444,Tabl_B4_Scrap_Billet_Cut!$B$115:$B$129,Tabl_B4_Scrap_Billet_Cut!D$115:D$129,0)</f>
        <v>3.0154635024352942E-2</v>
      </c>
      <c r="G444" s="13">
        <f>E444+_xlfn.XLOOKUP($B444,Tabl_B1_Scrap!$B$124:$B$150,Tabl_B1_Scrap!E$124:E$150,0)+_xlfn.XLOOKUP($B444,Tabl_B4_Scrap_Billet_Cut!$B$115:$B$129,Tabl_B4_Scrap_Billet_Cut!E$115:E$129,0)</f>
        <v>8.2653035294117655E-5</v>
      </c>
    </row>
    <row r="445" spans="1:10" x14ac:dyDescent="0.2">
      <c r="A445" s="516" t="s">
        <v>99</v>
      </c>
      <c r="B445" t="s">
        <v>33</v>
      </c>
      <c r="C445">
        <f t="shared" si="64"/>
        <v>0.9</v>
      </c>
      <c r="D445" s="13">
        <f t="shared" si="65"/>
        <v>200.96470588235294</v>
      </c>
      <c r="E445" s="13">
        <f t="shared" si="66"/>
        <v>0.55058823529411771</v>
      </c>
      <c r="F445" s="13">
        <f>D445+_xlfn.XLOOKUP($B445,Tabl_B1_Scrap!$B$124:$B$150,Tabl_B1_Scrap!D$124:D$150,0)+_xlfn.XLOOKUP($B445,Tabl_B4_Scrap_Billet_Cut!$B$115:$B$129,Tabl_B4_Scrap_Billet_Cut!D$115:D$129,0)</f>
        <v>201.03090016235294</v>
      </c>
      <c r="G445" s="13">
        <f>E445+_xlfn.XLOOKUP($B445,Tabl_B1_Scrap!$B$124:$B$150,Tabl_B1_Scrap!E$124:E$150,0)+_xlfn.XLOOKUP($B445,Tabl_B4_Scrap_Billet_Cut!$B$115:$B$129,Tabl_B4_Scrap_Billet_Cut!E$115:E$129,0)</f>
        <v>0.5510202352941177</v>
      </c>
    </row>
    <row r="446" spans="1:10" x14ac:dyDescent="0.2">
      <c r="A446" s="516" t="s">
        <v>83</v>
      </c>
      <c r="B446" t="s">
        <v>221</v>
      </c>
      <c r="C446">
        <f t="shared" si="64"/>
        <v>1.0000000000000001E-5</v>
      </c>
      <c r="D446" s="13">
        <f t="shared" si="65"/>
        <v>2.2329411764705881E-3</v>
      </c>
      <c r="E446" s="13">
        <f t="shared" si="66"/>
        <v>6.1176470588235302E-6</v>
      </c>
      <c r="F446" s="13">
        <f>D446+_xlfn.XLOOKUP($B446,Tabl_B1_Scrap!$B$124:$B$150,Tabl_B1_Scrap!D$124:D$150,0)+_xlfn.XLOOKUP($B446,Tabl_B4_Scrap_Billet_Cut!$B$115:$B$129,Tabl_B4_Scrap_Billet_Cut!D$115:D$129,0)</f>
        <v>2.233097176470588E-3</v>
      </c>
      <c r="G446" s="13">
        <f>E446+_xlfn.XLOOKUP($B446,Tabl_B1_Scrap!$B$124:$B$150,Tabl_B1_Scrap!E$124:E$150,0)+_xlfn.XLOOKUP($B446,Tabl_B4_Scrap_Billet_Cut!$B$115:$B$129,Tabl_B4_Scrap_Billet_Cut!E$115:E$129,0)</f>
        <v>6.1200470588235304E-6</v>
      </c>
    </row>
    <row r="447" spans="1:10" x14ac:dyDescent="0.2">
      <c r="A447" s="516" t="s">
        <v>95</v>
      </c>
      <c r="B447" t="s">
        <v>222</v>
      </c>
      <c r="C447">
        <f t="shared" si="64"/>
        <v>2.2000000000000003E-4</v>
      </c>
      <c r="D447" s="13">
        <f t="shared" si="65"/>
        <v>4.9124705882352945E-2</v>
      </c>
      <c r="E447" s="13">
        <f t="shared" si="66"/>
        <v>1.3458823529411768E-4</v>
      </c>
      <c r="F447" s="13">
        <f>D447+_xlfn.XLOOKUP($B447,Tabl_B1_Scrap!$B$124:$B$150,Tabl_B1_Scrap!D$124:D$150,0)+_xlfn.XLOOKUP($B447,Tabl_B4_Scrap_Billet_Cut!$B$115:$B$129,Tabl_B4_Scrap_Billet_Cut!D$115:D$129,0)</f>
        <v>4.9140886706352943E-2</v>
      </c>
      <c r="G447" s="13">
        <f>E447+_xlfn.XLOOKUP($B447,Tabl_B1_Scrap!$B$124:$B$150,Tabl_B1_Scrap!E$124:E$150,0)+_xlfn.XLOOKUP($B447,Tabl_B4_Scrap_Billet_Cut!$B$115:$B$129,Tabl_B4_Scrap_Billet_Cut!E$115:E$129,0)</f>
        <v>1.3469383529411769E-4</v>
      </c>
    </row>
    <row r="448" spans="1:10" x14ac:dyDescent="0.2">
      <c r="A448" s="516" t="s">
        <v>93</v>
      </c>
      <c r="B448" t="s">
        <v>224</v>
      </c>
      <c r="C448">
        <f t="shared" si="64"/>
        <v>6.0000000000000008E-7</v>
      </c>
      <c r="D448" s="13">
        <f t="shared" si="65"/>
        <v>1.339764705882353E-4</v>
      </c>
      <c r="E448" s="13">
        <f t="shared" si="66"/>
        <v>3.6705882352941182E-7</v>
      </c>
      <c r="F448" s="13">
        <f>D448+_xlfn.XLOOKUP($B448,Tabl_B1_Scrap!$B$124:$B$150,Tabl_B1_Scrap!D$124:D$150,0)+_xlfn.XLOOKUP($B448,Tabl_B4_Scrap_Billet_Cut!$B$115:$B$129,Tabl_B4_Scrap_Billet_Cut!D$115:D$129,0)</f>
        <v>1.339858305882353E-4</v>
      </c>
      <c r="G448" s="13">
        <f>E448+_xlfn.XLOOKUP($B448,Tabl_B1_Scrap!$B$124:$B$150,Tabl_B1_Scrap!E$124:E$150,0)+_xlfn.XLOOKUP($B448,Tabl_B4_Scrap_Billet_Cut!$B$115:$B$129,Tabl_B4_Scrap_Billet_Cut!E$115:E$129,0)</f>
        <v>3.6720282352941182E-7</v>
      </c>
    </row>
    <row r="449" spans="1:11" x14ac:dyDescent="0.2">
      <c r="A449" s="516" t="s">
        <v>84</v>
      </c>
      <c r="B449" t="s">
        <v>225</v>
      </c>
      <c r="C449">
        <f t="shared" si="64"/>
        <v>5.5000000000000009E-5</v>
      </c>
      <c r="D449" s="13">
        <f t="shared" si="65"/>
        <v>1.2281176470588236E-2</v>
      </c>
      <c r="E449" s="13">
        <f t="shared" si="66"/>
        <v>3.364705882352942E-5</v>
      </c>
      <c r="F449" s="13">
        <f>D449+_xlfn.XLOOKUP($B449,Tabl_B1_Scrap!$B$124:$B$150,Tabl_B1_Scrap!D$124:D$150,0)+_xlfn.XLOOKUP($B449,Tabl_B4_Scrap_Billet_Cut!$B$115:$B$129,Tabl_B4_Scrap_Billet_Cut!D$115:D$129,0)</f>
        <v>1.2282034470588236E-2</v>
      </c>
      <c r="G449" s="13">
        <f>E449+_xlfn.XLOOKUP($B449,Tabl_B1_Scrap!$B$124:$B$150,Tabl_B1_Scrap!E$124:E$150,0)+_xlfn.XLOOKUP($B449,Tabl_B4_Scrap_Billet_Cut!$B$115:$B$129,Tabl_B4_Scrap_Billet_Cut!E$115:E$129,0)</f>
        <v>3.3660258823529421E-5</v>
      </c>
    </row>
    <row r="450" spans="1:11" x14ac:dyDescent="0.2">
      <c r="A450" s="516" t="s">
        <v>85</v>
      </c>
      <c r="B450" t="s">
        <v>215</v>
      </c>
      <c r="C450">
        <f t="shared" si="64"/>
        <v>7.0000000000000007E-5</v>
      </c>
      <c r="D450" s="13">
        <f t="shared" si="65"/>
        <v>1.5630588235294118E-2</v>
      </c>
      <c r="E450" s="13">
        <f t="shared" si="66"/>
        <v>4.2823529411764712E-5</v>
      </c>
      <c r="F450" s="13">
        <f>D450+_xlfn.XLOOKUP($B450,Tabl_B1_Scrap!$B$124:$B$150,Tabl_B1_Scrap!D$124:D$150,0)+_xlfn.XLOOKUP($B450,Tabl_B4_Scrap_Billet_Cut!$B$115:$B$129,Tabl_B4_Scrap_Billet_Cut!D$115:D$129,0)</f>
        <v>1.5631680235294119E-2</v>
      </c>
      <c r="G450" s="13">
        <f>E450+_xlfn.XLOOKUP($B450,Tabl_B1_Scrap!$B$124:$B$150,Tabl_B1_Scrap!E$124:E$150,0)+_xlfn.XLOOKUP($B450,Tabl_B4_Scrap_Billet_Cut!$B$115:$B$129,Tabl_B4_Scrap_Billet_Cut!E$115:E$129,0)</f>
        <v>4.2840329411764715E-5</v>
      </c>
    </row>
    <row r="451" spans="1:11" x14ac:dyDescent="0.2">
      <c r="A451" s="516" t="s">
        <v>86</v>
      </c>
      <c r="B451" t="s">
        <v>227</v>
      </c>
      <c r="C451">
        <f t="shared" si="64"/>
        <v>4.1999999999999996E-6</v>
      </c>
      <c r="D451" s="13">
        <f t="shared" si="65"/>
        <v>9.3783529411764694E-4</v>
      </c>
      <c r="E451" s="13">
        <f t="shared" si="66"/>
        <v>2.5694117647058823E-6</v>
      </c>
      <c r="F451" s="13">
        <f>D451+_xlfn.XLOOKUP($B451,Tabl_B1_Scrap!$B$124:$B$150,Tabl_B1_Scrap!D$124:D$150,0)+_xlfn.XLOOKUP($B451,Tabl_B4_Scrap_Billet_Cut!$B$115:$B$129,Tabl_B4_Scrap_Billet_Cut!D$115:D$129,0)</f>
        <v>9.3790081411764697E-4</v>
      </c>
      <c r="G451" s="13">
        <f>E451+_xlfn.XLOOKUP($B451,Tabl_B1_Scrap!$B$124:$B$150,Tabl_B1_Scrap!E$124:E$150,0)+_xlfn.XLOOKUP($B451,Tabl_B4_Scrap_Billet_Cut!$B$115:$B$129,Tabl_B4_Scrap_Billet_Cut!E$115:E$129,0)</f>
        <v>2.5704197647058822E-6</v>
      </c>
    </row>
    <row r="452" spans="1:11" x14ac:dyDescent="0.2">
      <c r="A452" s="516" t="s">
        <v>87</v>
      </c>
      <c r="B452" t="s">
        <v>194</v>
      </c>
      <c r="C452">
        <f t="shared" si="64"/>
        <v>4.2500000000000003E-5</v>
      </c>
      <c r="D452" s="13">
        <f t="shared" si="65"/>
        <v>9.4900000000000002E-3</v>
      </c>
      <c r="E452" s="13">
        <f t="shared" si="66"/>
        <v>2.6000000000000005E-5</v>
      </c>
      <c r="F452" s="13">
        <f>D452+_xlfn.XLOOKUP($B452,Tabl_B1_Scrap!$B$124:$B$150,Tabl_B1_Scrap!D$124:D$150,0)+_xlfn.XLOOKUP($B452,Tabl_B4_Scrap_Billet_Cut!$B$115:$B$129,Tabl_B4_Scrap_Billet_Cut!D$115:D$129,0)</f>
        <v>9.4906629999999999E-3</v>
      </c>
      <c r="G452" s="13">
        <f>E452+_xlfn.XLOOKUP($B452,Tabl_B1_Scrap!$B$124:$B$150,Tabl_B1_Scrap!E$124:E$150,0)+_xlfn.XLOOKUP($B452,Tabl_B4_Scrap_Billet_Cut!$B$115:$B$129,Tabl_B4_Scrap_Billet_Cut!E$115:E$129,0)</f>
        <v>2.6010200000000004E-5</v>
      </c>
    </row>
    <row r="453" spans="1:11" x14ac:dyDescent="0.2">
      <c r="A453" s="516" t="s">
        <v>103</v>
      </c>
      <c r="B453" t="s">
        <v>32</v>
      </c>
      <c r="C453">
        <f t="shared" si="64"/>
        <v>4.75E-4</v>
      </c>
      <c r="D453" s="13">
        <f t="shared" si="65"/>
        <v>0.10606470588235294</v>
      </c>
      <c r="E453" s="13">
        <f t="shared" si="66"/>
        <v>2.9058823529411768E-4</v>
      </c>
      <c r="F453" s="13">
        <f>D453+_xlfn.XLOOKUP($B453,Tabl_B1_Scrap!$B$124:$B$150,Tabl_B1_Scrap!D$124:D$150,0)+_xlfn.XLOOKUP($B453,Tabl_B4_Scrap_Billet_Cut!$B$115:$B$129,Tabl_B4_Scrap_Billet_Cut!D$115:D$129,0)</f>
        <v>0.10609964175235294</v>
      </c>
      <c r="G453" s="13">
        <f>E453+_xlfn.XLOOKUP($B453,Tabl_B1_Scrap!$B$124:$B$150,Tabl_B1_Scrap!E$124:E$150,0)+_xlfn.XLOOKUP($B453,Tabl_B4_Scrap_Billet_Cut!$B$115:$B$129,Tabl_B4_Scrap_Billet_Cut!E$115:E$129,0)</f>
        <v>2.9081623529411769E-4</v>
      </c>
    </row>
    <row r="454" spans="1:11" x14ac:dyDescent="0.2">
      <c r="A454" s="516" t="s">
        <v>106</v>
      </c>
      <c r="B454" t="s">
        <v>18</v>
      </c>
      <c r="C454">
        <f t="shared" si="64"/>
        <v>3.1500000000000001E-4</v>
      </c>
      <c r="D454" s="13">
        <f t="shared" si="65"/>
        <v>7.0337647058823533E-2</v>
      </c>
      <c r="E454" s="13">
        <f t="shared" si="66"/>
        <v>1.9270588235294119E-4</v>
      </c>
      <c r="F454" s="13">
        <f>D454+_xlfn.XLOOKUP($B454,Tabl_B1_Scrap!$B$124:$B$150,Tabl_B1_Scrap!D$124:D$150,0)+_xlfn.XLOOKUP($B454,Tabl_B4_Scrap_Billet_Cut!$B$115:$B$129,Tabl_B4_Scrap_Billet_Cut!D$115:D$129,0)</f>
        <v>7.0360815056823525E-2</v>
      </c>
      <c r="G454" s="13">
        <f>E454+_xlfn.XLOOKUP($B454,Tabl_B1_Scrap!$B$124:$B$150,Tabl_B1_Scrap!E$124:E$150,0)+_xlfn.XLOOKUP($B454,Tabl_B4_Scrap_Billet_Cut!$B$115:$B$129,Tabl_B4_Scrap_Billet_Cut!E$115:E$129,0)</f>
        <v>1.928570823529412E-4</v>
      </c>
    </row>
    <row r="455" spans="1:11" x14ac:dyDescent="0.2">
      <c r="A455" s="516" t="s">
        <v>88</v>
      </c>
      <c r="B455" t="s">
        <v>228</v>
      </c>
      <c r="C455">
        <f t="shared" si="64"/>
        <v>2.5000000000000001E-5</v>
      </c>
      <c r="D455" s="13">
        <f t="shared" si="65"/>
        <v>5.5823529411764706E-3</v>
      </c>
      <c r="E455" s="13">
        <f t="shared" si="66"/>
        <v>1.5294117647058826E-5</v>
      </c>
      <c r="F455" s="13">
        <f>D455+_xlfn.XLOOKUP($B455,Tabl_B1_Scrap!$B$124:$B$150,Tabl_B1_Scrap!D$124:D$150,0)+_xlfn.XLOOKUP($B455,Tabl_B4_Scrap_Billet_Cut!$B$115:$B$129,Tabl_B4_Scrap_Billet_Cut!D$115:D$129,0)</f>
        <v>5.5827429411764709E-3</v>
      </c>
      <c r="G455" s="13">
        <f>E455+_xlfn.XLOOKUP($B455,Tabl_B1_Scrap!$B$124:$B$150,Tabl_B1_Scrap!E$124:E$150,0)+_xlfn.XLOOKUP($B455,Tabl_B4_Scrap_Billet_Cut!$B$115:$B$129,Tabl_B4_Scrap_Billet_Cut!E$115:E$129,0)</f>
        <v>1.5300117647058825E-5</v>
      </c>
    </row>
    <row r="456" spans="1:11" x14ac:dyDescent="0.2">
      <c r="A456" s="516" t="s">
        <v>89</v>
      </c>
      <c r="B456" t="s">
        <v>229</v>
      </c>
      <c r="C456">
        <f t="shared" si="64"/>
        <v>1.9000000000000001E-5</v>
      </c>
      <c r="D456" s="13">
        <f t="shared" si="65"/>
        <v>4.2425882352941178E-3</v>
      </c>
      <c r="E456" s="13">
        <f t="shared" si="66"/>
        <v>1.1623529411764707E-5</v>
      </c>
      <c r="F456" s="13">
        <f>D456+_xlfn.XLOOKUP($B456,Tabl_B1_Scrap!$B$124:$B$150,Tabl_B1_Scrap!D$124:D$150,0)+_xlfn.XLOOKUP($B456,Tabl_B4_Scrap_Billet_Cut!$B$115:$B$129,Tabl_B4_Scrap_Billet_Cut!D$115:D$129,0)</f>
        <v>4.2428846352941174E-3</v>
      </c>
      <c r="G456" s="13">
        <f>E456+_xlfn.XLOOKUP($B456,Tabl_B1_Scrap!$B$124:$B$150,Tabl_B1_Scrap!E$124:E$150,0)+_xlfn.XLOOKUP($B456,Tabl_B4_Scrap_Billet_Cut!$B$115:$B$129,Tabl_B4_Scrap_Billet_Cut!E$115:E$129,0)</f>
        <v>1.1628089411764708E-5</v>
      </c>
    </row>
    <row r="457" spans="1:11" x14ac:dyDescent="0.2">
      <c r="A457" s="516" t="s">
        <v>90</v>
      </c>
      <c r="B457" t="s">
        <v>230</v>
      </c>
      <c r="C457">
        <f t="shared" si="64"/>
        <v>1.2999999999999999E-5</v>
      </c>
      <c r="D457" s="13">
        <f t="shared" si="65"/>
        <v>2.9028235294117645E-3</v>
      </c>
      <c r="E457" s="13">
        <f t="shared" si="66"/>
        <v>7.9529411764705886E-6</v>
      </c>
      <c r="F457" s="13">
        <f>D457+_xlfn.XLOOKUP($B457,Tabl_B1_Scrap!$B$124:$B$150,Tabl_B1_Scrap!D$124:D$150,0)+_xlfn.XLOOKUP($B457,Tabl_B4_Scrap_Billet_Cut!$B$115:$B$129,Tabl_B4_Scrap_Billet_Cut!D$115:D$129,0)</f>
        <v>2.9037796690117648E-3</v>
      </c>
      <c r="G457" s="13">
        <f>E457+_xlfn.XLOOKUP($B457,Tabl_B1_Scrap!$B$124:$B$150,Tabl_B1_Scrap!E$124:E$150,0)+_xlfn.XLOOKUP($B457,Tabl_B4_Scrap_Billet_Cut!$B$115:$B$129,Tabl_B4_Scrap_Billet_Cut!E$115:E$129,0)</f>
        <v>7.9591811764705881E-6</v>
      </c>
      <c r="K457" s="538"/>
    </row>
    <row r="458" spans="1:11" x14ac:dyDescent="0.2">
      <c r="A458" s="516" t="s">
        <v>96</v>
      </c>
      <c r="B458" t="s">
        <v>196</v>
      </c>
      <c r="C458">
        <f t="shared" si="64"/>
        <v>8.25E-5</v>
      </c>
      <c r="D458" s="13">
        <f t="shared" si="65"/>
        <v>1.8421764705882353E-2</v>
      </c>
      <c r="E458" s="13">
        <f t="shared" si="66"/>
        <v>5.0470588235294123E-5</v>
      </c>
      <c r="F458" s="13">
        <f>D458+_xlfn.XLOOKUP($B458,Tabl_B1_Scrap!$B$124:$B$150,Tabl_B1_Scrap!D$124:D$150,0)+_xlfn.XLOOKUP($B458,Tabl_B4_Scrap_Billet_Cut!$B$115:$B$129,Tabl_B4_Scrap_Billet_Cut!D$115:D$129,0)</f>
        <v>1.842783251488235E-2</v>
      </c>
      <c r="G458" s="13">
        <f>E458+_xlfn.XLOOKUP($B458,Tabl_B1_Scrap!$B$124:$B$150,Tabl_B1_Scrap!E$124:E$150,0)+_xlfn.XLOOKUP($B458,Tabl_B4_Scrap_Billet_Cut!$B$115:$B$129,Tabl_B4_Scrap_Billet_Cut!E$115:E$129,0)</f>
        <v>5.0510188235294128E-5</v>
      </c>
    </row>
    <row r="459" spans="1:11" x14ac:dyDescent="0.2">
      <c r="A459" s="515">
        <v>365</v>
      </c>
      <c r="B459" t="s">
        <v>231</v>
      </c>
      <c r="C459">
        <f t="shared" si="64"/>
        <v>1.05E-4</v>
      </c>
      <c r="D459" s="13">
        <f t="shared" si="65"/>
        <v>2.3445882352941178E-2</v>
      </c>
      <c r="E459" s="13">
        <f t="shared" si="66"/>
        <v>6.4235294117647064E-5</v>
      </c>
      <c r="F459" s="13">
        <f>D459+_xlfn.XLOOKUP($B459,Tabl_B1_Scrap!$B$124:$B$150,Tabl_B1_Scrap!D$124:D$150,0)+_xlfn.XLOOKUP($B459,Tabl_B4_Scrap_Billet_Cut!$B$115:$B$129,Tabl_B4_Scrap_Billet_Cut!D$115:D$129,0)</f>
        <v>2.3447520352941179E-2</v>
      </c>
      <c r="G459" s="13">
        <f>E459+_xlfn.XLOOKUP($B459,Tabl_B1_Scrap!$B$124:$B$150,Tabl_B1_Scrap!E$124:E$150,0)+_xlfn.XLOOKUP($B459,Tabl_B4_Scrap_Billet_Cut!$B$115:$B$129,Tabl_B4_Scrap_Billet_Cut!E$115:E$129,0)</f>
        <v>6.4260494117647065E-5</v>
      </c>
    </row>
    <row r="460" spans="1:11" x14ac:dyDescent="0.2">
      <c r="A460" s="516" t="s">
        <v>91</v>
      </c>
      <c r="B460" t="s">
        <v>233</v>
      </c>
      <c r="C460">
        <f t="shared" si="64"/>
        <v>1.2000000000000002E-6</v>
      </c>
      <c r="D460" s="13">
        <f t="shared" si="65"/>
        <v>2.6795294117647059E-4</v>
      </c>
      <c r="E460" s="13">
        <f t="shared" si="66"/>
        <v>7.3411764705882363E-7</v>
      </c>
      <c r="F460" s="13">
        <f>D460+_xlfn.XLOOKUP($B460,Tabl_B1_Scrap!$B$124:$B$150,Tabl_B1_Scrap!D$124:D$150,0)+_xlfn.XLOOKUP($B460,Tabl_B4_Scrap_Billet_Cut!$B$115:$B$129,Tabl_B4_Scrap_Billet_Cut!D$115:D$129,0)</f>
        <v>2.679716611764706E-4</v>
      </c>
      <c r="G460" s="13">
        <f>E460+_xlfn.XLOOKUP($B460,Tabl_B1_Scrap!$B$124:$B$150,Tabl_B1_Scrap!E$124:E$150,0)+_xlfn.XLOOKUP($B460,Tabl_B4_Scrap_Billet_Cut!$B$115:$B$129,Tabl_B4_Scrap_Billet_Cut!E$115:E$129,0)</f>
        <v>7.3440564705882364E-7</v>
      </c>
    </row>
    <row r="461" spans="1:11" x14ac:dyDescent="0.2">
      <c r="A461" s="516" t="s">
        <v>109</v>
      </c>
      <c r="B461" t="s">
        <v>21</v>
      </c>
      <c r="C461">
        <f t="shared" si="64"/>
        <v>1.83E-3</v>
      </c>
      <c r="D461" s="13">
        <f t="shared" si="65"/>
        <v>0.40862823529411763</v>
      </c>
      <c r="E461" s="13">
        <f t="shared" si="66"/>
        <v>1.1195294117647061E-3</v>
      </c>
      <c r="F461" s="13">
        <f>D461+_xlfn.XLOOKUP($B461,Tabl_B1_Scrap!$B$124:$B$150,Tabl_B1_Scrap!D$124:D$150,0)+_xlfn.XLOOKUP($B461,Tabl_B4_Scrap_Billet_Cut!$B$115:$B$129,Tabl_B4_Scrap_Billet_Cut!D$115:D$129,0)</f>
        <v>0.40876283033011762</v>
      </c>
      <c r="G461" s="13">
        <f>E461+_xlfn.XLOOKUP($B461,Tabl_B1_Scrap!$B$124:$B$150,Tabl_B1_Scrap!E$124:E$150,0)+_xlfn.XLOOKUP($B461,Tabl_B4_Scrap_Billet_Cut!$B$115:$B$129,Tabl_B4_Scrap_Billet_Cut!E$115:E$129,0)</f>
        <v>1.1204078117647059E-3</v>
      </c>
    </row>
    <row r="462" spans="1:11" x14ac:dyDescent="0.2">
      <c r="A462" s="516" t="s">
        <v>92</v>
      </c>
      <c r="B462" t="s">
        <v>197</v>
      </c>
      <c r="C462">
        <f t="shared" si="64"/>
        <v>1.15E-4</v>
      </c>
      <c r="D462" s="13">
        <f t="shared" si="65"/>
        <v>2.5678823529411764E-2</v>
      </c>
      <c r="E462" s="13">
        <f t="shared" si="66"/>
        <v>7.0352941176470601E-5</v>
      </c>
      <c r="F462" s="13">
        <f>D462+_xlfn.XLOOKUP($B462,Tabl_B1_Scrap!$B$124:$B$150,Tabl_B1_Scrap!D$124:D$150,0)+_xlfn.XLOOKUP($B462,Tabl_B4_Scrap_Billet_Cut!$B$115:$B$129,Tabl_B4_Scrap_Billet_Cut!D$115:D$129,0)</f>
        <v>2.5680617529411764E-2</v>
      </c>
      <c r="G462" s="13">
        <f>E462+_xlfn.XLOOKUP($B462,Tabl_B1_Scrap!$B$124:$B$150,Tabl_B1_Scrap!E$124:E$150,0)+_xlfn.XLOOKUP($B462,Tabl_B4_Scrap_Billet_Cut!$B$115:$B$129,Tabl_B4_Scrap_Billet_Cut!E$115:E$129,0)</f>
        <v>7.0380541176470607E-5</v>
      </c>
    </row>
    <row r="463" spans="1:11" x14ac:dyDescent="0.2">
      <c r="A463" s="516" t="s">
        <v>111</v>
      </c>
      <c r="B463" t="s">
        <v>234</v>
      </c>
      <c r="C463">
        <f t="shared" si="64"/>
        <v>1.3600000000000001E-3</v>
      </c>
      <c r="D463" s="13">
        <f t="shared" si="65"/>
        <v>0.30368000000000001</v>
      </c>
      <c r="E463" s="13">
        <f t="shared" si="66"/>
        <v>8.3200000000000017E-4</v>
      </c>
      <c r="F463" s="13">
        <f>D463+_xlfn.XLOOKUP($B463,Tabl_B1_Scrap!$B$124:$B$150,Tabl_B1_Scrap!D$124:D$150,0)+_xlfn.XLOOKUP($B463,Tabl_B4_Scrap_Billet_Cut!$B$115:$B$129,Tabl_B4_Scrap_Billet_Cut!D$115:D$129,0)</f>
        <v>0.30378002691200001</v>
      </c>
      <c r="G463" s="13">
        <f>E463+_xlfn.XLOOKUP($B463,Tabl_B1_Scrap!$B$124:$B$150,Tabl_B1_Scrap!E$124:E$150,0)+_xlfn.XLOOKUP($B463,Tabl_B4_Scrap_Billet_Cut!$B$115:$B$129,Tabl_B4_Scrap_Billet_Cut!E$115:E$129,0)</f>
        <v>8.3265280000000008E-4</v>
      </c>
    </row>
    <row r="464" spans="1:11" x14ac:dyDescent="0.2">
      <c r="A464" s="516" t="s">
        <v>94</v>
      </c>
      <c r="B464" t="s">
        <v>235</v>
      </c>
      <c r="C464">
        <f t="shared" si="64"/>
        <v>1.4500000000000001E-3</v>
      </c>
      <c r="D464" s="13">
        <f t="shared" si="65"/>
        <v>0.32377647058823528</v>
      </c>
      <c r="E464" s="13">
        <f t="shared" si="66"/>
        <v>8.870588235294119E-4</v>
      </c>
      <c r="F464" s="13">
        <f>D464+_xlfn.XLOOKUP($B464,Tabl_B1_Scrap!$B$124:$B$150,Tabl_B1_Scrap!D$124:D$150,0)+_xlfn.XLOOKUP($B464,Tabl_B4_Scrap_Billet_Cut!$B$115:$B$129,Tabl_B4_Scrap_Billet_Cut!D$115:D$129,0)</f>
        <v>0.32379909058823525</v>
      </c>
      <c r="G464" s="13">
        <f>E464+_xlfn.XLOOKUP($B464,Tabl_B1_Scrap!$B$124:$B$150,Tabl_B1_Scrap!E$124:E$150,0)+_xlfn.XLOOKUP($B464,Tabl_B4_Scrap_Billet_Cut!$B$115:$B$129,Tabl_B4_Scrap_Billet_Cut!E$115:E$129,0)</f>
        <v>8.8740682352941185E-4</v>
      </c>
    </row>
    <row r="472" spans="4:5" x14ac:dyDescent="0.2">
      <c r="D472" s="25"/>
      <c r="E472" s="25"/>
    </row>
    <row r="473" spans="4:5" x14ac:dyDescent="0.2">
      <c r="D473" s="13"/>
      <c r="E473" s="13"/>
    </row>
  </sheetData>
  <sheetProtection algorithmName="SHA-512" hashValue="eXE5pK+9BqslBDrHzV3jnne2S9j5RPh6kUpLNdPvoatGETHhzhfR7rTLmm/fOqaau3uwy2uWrRLkHulLAWhGKQ==" saltValue="pK2XkO/QImQ8JCja2EVpEw==" spinCount="100000" sheet="1" objects="1" scenarios="1"/>
  <autoFilter ref="A50:M201" xr:uid="{C3AB80EF-FF34-5D4F-879C-47A19390EA69}"/>
  <mergeCells count="19">
    <mergeCell ref="E245:F245"/>
    <mergeCell ref="G245:H245"/>
    <mergeCell ref="I245:J245"/>
    <mergeCell ref="J360:K360"/>
    <mergeCell ref="I52:J52"/>
    <mergeCell ref="C162:F162"/>
    <mergeCell ref="G162:H162"/>
    <mergeCell ref="G52:H52"/>
    <mergeCell ref="C52:F52"/>
    <mergeCell ref="C110:F110"/>
    <mergeCell ref="G110:H110"/>
    <mergeCell ref="I110:J110"/>
    <mergeCell ref="L360:M360"/>
    <mergeCell ref="J359:M359"/>
    <mergeCell ref="F436:G436"/>
    <mergeCell ref="F360:G360"/>
    <mergeCell ref="H360:I360"/>
    <mergeCell ref="F359:G359"/>
    <mergeCell ref="H359:I359"/>
  </mergeCells>
  <phoneticPr fontId="19" type="noConversion"/>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9BE96-A968-374E-98DE-D2D6898FB7A5}">
  <sheetPr codeName="Sheet29">
    <tabColor rgb="FF00B050"/>
  </sheetPr>
  <dimension ref="A1:K98"/>
  <sheetViews>
    <sheetView workbookViewId="0">
      <selection activeCell="A42" sqref="A42"/>
    </sheetView>
  </sheetViews>
  <sheetFormatPr baseColWidth="10" defaultColWidth="11" defaultRowHeight="16" x14ac:dyDescent="0.2"/>
  <cols>
    <col min="1" max="1" width="26.83203125" customWidth="1"/>
    <col min="2" max="2" width="28.6640625" customWidth="1"/>
    <col min="3" max="4" width="14" customWidth="1"/>
    <col min="5" max="6" width="12.5" customWidth="1"/>
  </cols>
  <sheetData>
    <row r="1" spans="1:3" ht="19" x14ac:dyDescent="0.25">
      <c r="A1" s="2" t="s">
        <v>198</v>
      </c>
      <c r="B1" s="139"/>
    </row>
    <row r="2" spans="1:3" ht="19" x14ac:dyDescent="0.25">
      <c r="A2" s="2" t="s">
        <v>258</v>
      </c>
    </row>
    <row r="4" spans="1:3" x14ac:dyDescent="0.2">
      <c r="B4" s="26" t="s">
        <v>199</v>
      </c>
      <c r="C4" t="s">
        <v>5</v>
      </c>
    </row>
    <row r="5" spans="1:3" x14ac:dyDescent="0.2">
      <c r="B5" s="26" t="s">
        <v>201</v>
      </c>
      <c r="C5" t="s">
        <v>259</v>
      </c>
    </row>
    <row r="6" spans="1:3" x14ac:dyDescent="0.2">
      <c r="B6" s="26" t="s">
        <v>266</v>
      </c>
      <c r="C6" t="s">
        <v>1923</v>
      </c>
    </row>
    <row r="7" spans="1:3" x14ac:dyDescent="0.2">
      <c r="B7" s="26"/>
    </row>
    <row r="8" spans="1:3" x14ac:dyDescent="0.2">
      <c r="A8" s="26"/>
    </row>
    <row r="9" spans="1:3" x14ac:dyDescent="0.2">
      <c r="B9" s="26" t="s">
        <v>199</v>
      </c>
      <c r="C9" t="s">
        <v>260</v>
      </c>
    </row>
    <row r="10" spans="1:3" x14ac:dyDescent="0.2">
      <c r="B10" s="26" t="s">
        <v>201</v>
      </c>
      <c r="C10" t="s">
        <v>261</v>
      </c>
    </row>
    <row r="11" spans="1:3" x14ac:dyDescent="0.2">
      <c r="B11" s="26" t="s">
        <v>266</v>
      </c>
      <c r="C11" t="s">
        <v>1923</v>
      </c>
    </row>
    <row r="12" spans="1:3" x14ac:dyDescent="0.2">
      <c r="B12" s="26"/>
    </row>
    <row r="13" spans="1:3" x14ac:dyDescent="0.2">
      <c r="B13" s="26"/>
    </row>
    <row r="14" spans="1:3" x14ac:dyDescent="0.2">
      <c r="B14" s="26"/>
    </row>
    <row r="15" spans="1:3" x14ac:dyDescent="0.2">
      <c r="B15" s="26"/>
    </row>
    <row r="16" spans="1:3" x14ac:dyDescent="0.2">
      <c r="B16" s="26"/>
    </row>
    <row r="17" spans="1:3" x14ac:dyDescent="0.2">
      <c r="B17" s="26"/>
    </row>
    <row r="18" spans="1:3" x14ac:dyDescent="0.2">
      <c r="B18" s="26"/>
    </row>
    <row r="19" spans="1:3" x14ac:dyDescent="0.2">
      <c r="B19" s="26"/>
    </row>
    <row r="21" spans="1:3" ht="19" x14ac:dyDescent="0.25">
      <c r="A21" s="140" t="s">
        <v>204</v>
      </c>
    </row>
    <row r="24" spans="1:3" x14ac:dyDescent="0.2">
      <c r="A24" t="s">
        <v>241</v>
      </c>
      <c r="B24" s="132">
        <f>Tabl_B2_Melt_Shop!B41</f>
        <v>3700</v>
      </c>
      <c r="C24" t="s">
        <v>41</v>
      </c>
    </row>
    <row r="25" spans="1:3" x14ac:dyDescent="0.2">
      <c r="A25" t="s">
        <v>242</v>
      </c>
      <c r="B25" s="132">
        <f>Tabl_B2_Melt_Shop!B42</f>
        <v>720000</v>
      </c>
      <c r="C25" t="s">
        <v>243</v>
      </c>
    </row>
    <row r="26" spans="1:3" x14ac:dyDescent="0.2">
      <c r="A26" t="s">
        <v>262</v>
      </c>
      <c r="B26">
        <v>2.5</v>
      </c>
      <c r="C26" t="s">
        <v>172</v>
      </c>
    </row>
    <row r="27" spans="1:3" x14ac:dyDescent="0.2">
      <c r="A27" t="s">
        <v>263</v>
      </c>
      <c r="B27" s="12">
        <f>B24/B26</f>
        <v>1480</v>
      </c>
      <c r="C27" t="s">
        <v>191</v>
      </c>
    </row>
    <row r="28" spans="1:3" x14ac:dyDescent="0.2">
      <c r="A28" t="s">
        <v>264</v>
      </c>
      <c r="B28" s="132">
        <f>B25/B26</f>
        <v>288000</v>
      </c>
      <c r="C28" t="s">
        <v>265</v>
      </c>
    </row>
    <row r="30" spans="1:3" x14ac:dyDescent="0.2">
      <c r="A30" t="s">
        <v>202</v>
      </c>
      <c r="B30">
        <v>5</v>
      </c>
    </row>
    <row r="31" spans="1:3" x14ac:dyDescent="0.2">
      <c r="A31" t="s">
        <v>205</v>
      </c>
      <c r="B31">
        <v>24</v>
      </c>
      <c r="C31" t="s">
        <v>42</v>
      </c>
    </row>
    <row r="32" spans="1:3" x14ac:dyDescent="0.2">
      <c r="A32" t="s">
        <v>205</v>
      </c>
      <c r="B32">
        <v>8760</v>
      </c>
      <c r="C32" t="s">
        <v>43</v>
      </c>
    </row>
    <row r="33" spans="1:11" x14ac:dyDescent="0.2">
      <c r="A33" t="s">
        <v>203</v>
      </c>
      <c r="B33">
        <v>30</v>
      </c>
      <c r="C33" t="s">
        <v>1815</v>
      </c>
    </row>
    <row r="34" spans="1:11" x14ac:dyDescent="0.2">
      <c r="A34" t="s">
        <v>217</v>
      </c>
      <c r="B34">
        <f>B30*B33*B32</f>
        <v>1314000</v>
      </c>
      <c r="C34" t="s">
        <v>219</v>
      </c>
    </row>
    <row r="35" spans="1:11" x14ac:dyDescent="0.2">
      <c r="A35" t="s">
        <v>218</v>
      </c>
      <c r="B35">
        <f>B30*B33*B31</f>
        <v>3600</v>
      </c>
      <c r="C35" t="s">
        <v>220</v>
      </c>
    </row>
    <row r="36" spans="1:11" x14ac:dyDescent="0.2">
      <c r="A36" t="s">
        <v>323</v>
      </c>
      <c r="B36" s="157">
        <f>Tabl_B2_Melt_Shop!B45</f>
        <v>64</v>
      </c>
    </row>
    <row r="37" spans="1:11" x14ac:dyDescent="0.2">
      <c r="A37" t="s">
        <v>338</v>
      </c>
      <c r="B37" s="165">
        <f>Tabl_B2_Melt_Shop!B46</f>
        <v>1.32</v>
      </c>
      <c r="C37" t="s">
        <v>339</v>
      </c>
    </row>
    <row r="39" spans="1:11" ht="19" x14ac:dyDescent="0.25">
      <c r="A39" s="140" t="s">
        <v>1924</v>
      </c>
    </row>
    <row r="41" spans="1:11" ht="51" x14ac:dyDescent="0.2">
      <c r="A41" s="29" t="s">
        <v>209</v>
      </c>
      <c r="B41" s="29" t="s">
        <v>208</v>
      </c>
      <c r="C41" s="29" t="s">
        <v>352</v>
      </c>
      <c r="D41" s="29" t="s">
        <v>353</v>
      </c>
      <c r="E41" s="29" t="s">
        <v>211</v>
      </c>
      <c r="F41" s="29" t="s">
        <v>212</v>
      </c>
    </row>
    <row r="42" spans="1:11" x14ac:dyDescent="0.2">
      <c r="A42" t="s">
        <v>82</v>
      </c>
      <c r="B42" t="s">
        <v>245</v>
      </c>
      <c r="C42" s="13">
        <f>IFERROR(VLOOKUP(B42,'BC Summary'!$B$3:$F$17,5,FALSE),0)</f>
        <v>9.0115021305090884E-5</v>
      </c>
      <c r="D42" s="13">
        <f>C42</f>
        <v>9.0115021305090884E-5</v>
      </c>
      <c r="E42" s="46">
        <f>C42*$B$28</f>
        <v>25.953126135866174</v>
      </c>
      <c r="F42" s="14">
        <f>D42*$B$27</f>
        <v>0.13337023153153452</v>
      </c>
    </row>
    <row r="43" spans="1:11" x14ac:dyDescent="0.2">
      <c r="A43" t="s">
        <v>174</v>
      </c>
      <c r="B43" t="s">
        <v>246</v>
      </c>
      <c r="C43" s="13">
        <f>IFERROR(VLOOKUP(B43,'BC Summary'!$B$3:$F$17,5,FALSE),0)</f>
        <v>5.1940762782501802E-6</v>
      </c>
      <c r="D43" s="13">
        <f t="shared" ref="D43:D56" si="0">C43</f>
        <v>5.1940762782501802E-6</v>
      </c>
      <c r="E43" s="46">
        <f t="shared" ref="E43:E56" si="1">C43*$B$28</f>
        <v>1.4958939681360519</v>
      </c>
      <c r="F43" s="14">
        <f t="shared" ref="F43:F56" si="2">D43*$B$27</f>
        <v>7.6872328918102667E-3</v>
      </c>
      <c r="K43" s="13"/>
    </row>
    <row r="44" spans="1:11" x14ac:dyDescent="0.2">
      <c r="A44" t="s">
        <v>83</v>
      </c>
      <c r="B44" t="s">
        <v>247</v>
      </c>
      <c r="C44" s="13">
        <f>IFERROR(VLOOKUP(B44,'BC Summary'!$B$3:$F$17,5,FALSE),0)</f>
        <v>1.5314273512706227E-5</v>
      </c>
      <c r="D44" s="13">
        <f t="shared" si="0"/>
        <v>1.5314273512706227E-5</v>
      </c>
      <c r="E44" s="46">
        <f t="shared" si="1"/>
        <v>4.4105107716593936</v>
      </c>
      <c r="F44" s="14">
        <f t="shared" si="2"/>
        <v>2.2665124798805215E-2</v>
      </c>
      <c r="G44" s="141"/>
    </row>
    <row r="45" spans="1:11" x14ac:dyDescent="0.2">
      <c r="A45" s="16" t="s">
        <v>93</v>
      </c>
      <c r="B45" t="s">
        <v>248</v>
      </c>
      <c r="C45" s="13">
        <f>IFERROR(VLOOKUP(B45,'BC Summary'!$B$3:$F$17,5,FALSE),0)</f>
        <v>0</v>
      </c>
      <c r="D45" s="13">
        <f t="shared" si="0"/>
        <v>0</v>
      </c>
      <c r="E45" s="46">
        <f t="shared" si="1"/>
        <v>0</v>
      </c>
      <c r="F45" s="14">
        <f t="shared" si="2"/>
        <v>0</v>
      </c>
    </row>
    <row r="46" spans="1:11" x14ac:dyDescent="0.2">
      <c r="A46" t="s">
        <v>85</v>
      </c>
      <c r="B46" t="s">
        <v>215</v>
      </c>
      <c r="C46" s="13">
        <f>IFERROR(VLOOKUP(B46,'BC Summary'!$B$3:$F$17,5,FALSE),0)*$B$37</f>
        <v>4.2576160623084786E-5</v>
      </c>
      <c r="D46" s="13">
        <f>C46/$B$37*$B$36</f>
        <v>2.0642986968768379E-3</v>
      </c>
      <c r="E46" s="46">
        <f t="shared" si="1"/>
        <v>12.261934259448418</v>
      </c>
      <c r="F46" s="14">
        <f t="shared" si="2"/>
        <v>3.0551620713777203</v>
      </c>
      <c r="G46" s="13"/>
    </row>
    <row r="47" spans="1:11" x14ac:dyDescent="0.2">
      <c r="A47" t="s">
        <v>86</v>
      </c>
      <c r="B47" t="s">
        <v>249</v>
      </c>
      <c r="C47" s="13">
        <f>IFERROR(VLOOKUP(B47,'BC Summary'!$B$3:$F$17,5,FALSE),0)</f>
        <v>7.3514260302389135E-6</v>
      </c>
      <c r="D47" s="13">
        <f t="shared" si="0"/>
        <v>7.3514260302389135E-6</v>
      </c>
      <c r="E47" s="46">
        <f t="shared" si="1"/>
        <v>2.1172106967088071</v>
      </c>
      <c r="F47" s="14">
        <f t="shared" si="2"/>
        <v>1.0880110524753591E-2</v>
      </c>
    </row>
    <row r="48" spans="1:11" x14ac:dyDescent="0.2">
      <c r="A48" t="s">
        <v>87</v>
      </c>
      <c r="B48" t="s">
        <v>214</v>
      </c>
      <c r="C48" s="13">
        <f>IFERROR(VLOOKUP(B48,'BC Summary'!$B$3:$F$17,5,FALSE),0)</f>
        <v>4.8196960480493504E-4</v>
      </c>
      <c r="D48" s="13">
        <f t="shared" si="0"/>
        <v>4.8196960480493504E-4</v>
      </c>
      <c r="E48" s="46">
        <f t="shared" si="1"/>
        <v>138.80724618382129</v>
      </c>
      <c r="F48" s="14">
        <f t="shared" si="2"/>
        <v>0.71331501511130391</v>
      </c>
    </row>
    <row r="49" spans="1:6" x14ac:dyDescent="0.2">
      <c r="A49" t="s">
        <v>88</v>
      </c>
      <c r="B49" t="s">
        <v>216</v>
      </c>
      <c r="C49" s="13">
        <f>IFERROR(VLOOKUP(B49,'BC Summary'!$B$3:$F$17,5,FALSE),0)</f>
        <v>1.7518974565717735E-5</v>
      </c>
      <c r="D49" s="13">
        <f t="shared" si="0"/>
        <v>1.7518974565717735E-5</v>
      </c>
      <c r="E49" s="46">
        <f t="shared" si="1"/>
        <v>5.0454646749267074</v>
      </c>
      <c r="F49" s="14">
        <f t="shared" si="2"/>
        <v>2.5928082357262249E-2</v>
      </c>
    </row>
    <row r="50" spans="1:6" x14ac:dyDescent="0.2">
      <c r="A50" t="s">
        <v>89</v>
      </c>
      <c r="B50" t="s">
        <v>213</v>
      </c>
      <c r="C50" s="13">
        <f>IFERROR(VLOOKUP(B50,'BC Summary'!$B$3:$F$17,5,FALSE),0)</f>
        <v>3.2228368382128598E-4</v>
      </c>
      <c r="D50" s="13">
        <f t="shared" si="0"/>
        <v>3.2228368382128598E-4</v>
      </c>
      <c r="E50" s="46">
        <f t="shared" si="1"/>
        <v>92.817700940530358</v>
      </c>
      <c r="F50" s="14">
        <f t="shared" si="2"/>
        <v>0.47697985205550325</v>
      </c>
    </row>
    <row r="51" spans="1:6" x14ac:dyDescent="0.2">
      <c r="A51" s="515">
        <v>365</v>
      </c>
      <c r="B51" t="s">
        <v>231</v>
      </c>
      <c r="C51" s="13">
        <f>IFERROR(VLOOKUP(B51,'BC Summary'!$B$3:$F$17,5,FALSE),0)</f>
        <v>7.4234519369005615E-5</v>
      </c>
      <c r="D51" s="13">
        <f t="shared" si="0"/>
        <v>7.4234519369005615E-5</v>
      </c>
      <c r="E51" s="46">
        <f t="shared" si="1"/>
        <v>21.379541578273617</v>
      </c>
      <c r="F51" s="14">
        <f t="shared" si="2"/>
        <v>0.10986708866612831</v>
      </c>
    </row>
    <row r="52" spans="1:6" x14ac:dyDescent="0.2">
      <c r="A52" s="515">
        <v>504</v>
      </c>
      <c r="B52" t="s">
        <v>254</v>
      </c>
      <c r="C52" s="13">
        <f>IFERROR(VLOOKUP(B52,'BC Summary'!$B$3:$F$17,5,FALSE),0)</f>
        <v>2.5984534808909175E-5</v>
      </c>
      <c r="D52" s="13">
        <f t="shared" si="0"/>
        <v>2.5984534808909175E-5</v>
      </c>
      <c r="E52" s="46">
        <f t="shared" si="1"/>
        <v>7.4835460249658423</v>
      </c>
      <c r="F52" s="14">
        <f t="shared" si="2"/>
        <v>3.8457111517185581E-2</v>
      </c>
    </row>
    <row r="53" spans="1:6" x14ac:dyDescent="0.2">
      <c r="A53" t="s">
        <v>91</v>
      </c>
      <c r="B53" t="s">
        <v>251</v>
      </c>
      <c r="C53" s="13">
        <f>IFERROR(VLOOKUP(B53,'BC Summary'!$B$3:$F$17,5,FALSE),0)</f>
        <v>0</v>
      </c>
      <c r="D53" s="13">
        <f t="shared" si="0"/>
        <v>0</v>
      </c>
      <c r="E53" s="46">
        <f t="shared" si="1"/>
        <v>0</v>
      </c>
      <c r="F53" s="14">
        <f t="shared" si="2"/>
        <v>0</v>
      </c>
    </row>
    <row r="54" spans="1:6" x14ac:dyDescent="0.2">
      <c r="A54" t="s">
        <v>94</v>
      </c>
      <c r="B54" t="s">
        <v>252</v>
      </c>
      <c r="C54" s="13">
        <f>IFERROR(VLOOKUP(B54,'BC Summary'!$B$3:$F$17,5,FALSE),0)</f>
        <v>8.4663015312913168E-5</v>
      </c>
      <c r="D54" s="13">
        <f t="shared" si="0"/>
        <v>8.4663015312913168E-5</v>
      </c>
      <c r="E54" s="46">
        <f t="shared" si="1"/>
        <v>24.382948410118992</v>
      </c>
      <c r="F54" s="14">
        <f t="shared" si="2"/>
        <v>0.12530126266311148</v>
      </c>
    </row>
    <row r="55" spans="1:6" x14ac:dyDescent="0.2">
      <c r="A55" t="s">
        <v>84</v>
      </c>
      <c r="B55" t="s">
        <v>253</v>
      </c>
      <c r="C55" s="13">
        <f>IFERROR(VLOOKUP(B55,'BC Summary'!$B$3:$F$17,5,FALSE),0)</f>
        <v>0</v>
      </c>
      <c r="D55" s="13">
        <f t="shared" si="0"/>
        <v>0</v>
      </c>
      <c r="E55" s="46">
        <f t="shared" si="1"/>
        <v>0</v>
      </c>
      <c r="F55" s="14">
        <f t="shared" si="2"/>
        <v>0</v>
      </c>
    </row>
    <row r="56" spans="1:6" x14ac:dyDescent="0.2">
      <c r="A56" t="s">
        <v>92</v>
      </c>
      <c r="B56" t="s">
        <v>197</v>
      </c>
      <c r="C56" s="13">
        <f>IFERROR(VLOOKUP(B56,'BC Summary'!$B$3:$F$17,5,FALSE),0)</f>
        <v>5.7543489271521909E-6</v>
      </c>
      <c r="D56" s="13">
        <f t="shared" si="0"/>
        <v>5.7543489271521909E-6</v>
      </c>
      <c r="E56" s="46">
        <f t="shared" si="1"/>
        <v>1.657252491019831</v>
      </c>
      <c r="F56" s="14">
        <f t="shared" si="2"/>
        <v>8.516436412185243E-3</v>
      </c>
    </row>
    <row r="70" spans="1:5" ht="19" x14ac:dyDescent="0.25">
      <c r="A70" s="140" t="s">
        <v>1925</v>
      </c>
    </row>
    <row r="73" spans="1:5" ht="34" x14ac:dyDescent="0.2">
      <c r="A73" s="29" t="s">
        <v>209</v>
      </c>
      <c r="B73" s="29" t="s">
        <v>208</v>
      </c>
      <c r="C73" s="29" t="s">
        <v>237</v>
      </c>
      <c r="D73" s="29" t="s">
        <v>211</v>
      </c>
      <c r="E73" s="29" t="s">
        <v>212</v>
      </c>
    </row>
    <row r="74" spans="1:5" x14ac:dyDescent="0.2">
      <c r="A74" t="s">
        <v>100</v>
      </c>
      <c r="B74" t="s">
        <v>15</v>
      </c>
      <c r="C74">
        <v>8.0000000000000002E-3</v>
      </c>
      <c r="D74" s="13">
        <f>(C74*$B$34/1000000)</f>
        <v>1.0512000000000001E-2</v>
      </c>
      <c r="E74" s="13">
        <f>(C74*$B$35/1000000)</f>
        <v>2.8800000000000002E-5</v>
      </c>
    </row>
    <row r="75" spans="1:5" x14ac:dyDescent="0.2">
      <c r="A75" t="s">
        <v>105</v>
      </c>
      <c r="B75" t="s">
        <v>17</v>
      </c>
      <c r="C75">
        <v>1.7000000000000001E-2</v>
      </c>
      <c r="D75" s="13">
        <f t="shared" ref="D75:D88" si="3">(C75*$B$34/1000000)</f>
        <v>2.2338E-2</v>
      </c>
      <c r="E75" s="13">
        <f t="shared" ref="E75:E88" si="4">(C75*$B$35/1000000)</f>
        <v>6.1199999999999997E-5</v>
      </c>
    </row>
    <row r="76" spans="1:5" x14ac:dyDescent="0.2">
      <c r="A76" s="16">
        <v>401</v>
      </c>
      <c r="B76" t="s">
        <v>232</v>
      </c>
      <c r="C76">
        <v>1E-4</v>
      </c>
      <c r="D76" s="13">
        <f t="shared" si="3"/>
        <v>1.314E-4</v>
      </c>
      <c r="E76" s="13">
        <f t="shared" si="4"/>
        <v>3.6000000000000005E-7</v>
      </c>
    </row>
    <row r="77" spans="1:5" x14ac:dyDescent="0.2">
      <c r="A77" t="s">
        <v>192</v>
      </c>
      <c r="B77" t="s">
        <v>223</v>
      </c>
      <c r="C77">
        <v>1.1999999999999999E-6</v>
      </c>
      <c r="D77" s="13">
        <f t="shared" si="3"/>
        <v>1.5767999999999999E-6</v>
      </c>
      <c r="E77" s="13">
        <f t="shared" si="4"/>
        <v>4.32E-9</v>
      </c>
    </row>
    <row r="78" spans="1:5" x14ac:dyDescent="0.2">
      <c r="A78" t="s">
        <v>107</v>
      </c>
      <c r="B78" t="s">
        <v>19</v>
      </c>
      <c r="C78">
        <v>2.9999999999999997E-4</v>
      </c>
      <c r="D78" s="13">
        <f t="shared" si="3"/>
        <v>3.9419999999999999E-4</v>
      </c>
      <c r="E78" s="13">
        <f t="shared" si="4"/>
        <v>1.0799999999999998E-6</v>
      </c>
    </row>
    <row r="79" spans="1:5" x14ac:dyDescent="0.2">
      <c r="A79" t="s">
        <v>97</v>
      </c>
      <c r="B79" t="s">
        <v>13</v>
      </c>
      <c r="C79">
        <v>4.3E-3</v>
      </c>
      <c r="D79" s="13">
        <f t="shared" si="3"/>
        <v>5.6502000000000002E-3</v>
      </c>
      <c r="E79" s="13">
        <f t="shared" si="4"/>
        <v>1.5480000000000001E-5</v>
      </c>
    </row>
    <row r="80" spans="1:5" x14ac:dyDescent="0.2">
      <c r="A80" t="s">
        <v>98</v>
      </c>
      <c r="B80" t="s">
        <v>14</v>
      </c>
      <c r="C80">
        <v>2.7000000000000001E-3</v>
      </c>
      <c r="D80" s="13">
        <f t="shared" si="3"/>
        <v>3.5478000000000003E-3</v>
      </c>
      <c r="E80" s="13">
        <f t="shared" si="4"/>
        <v>9.7200000000000001E-6</v>
      </c>
    </row>
    <row r="81" spans="1:10" x14ac:dyDescent="0.2">
      <c r="A81" t="s">
        <v>99</v>
      </c>
      <c r="B81" t="s">
        <v>33</v>
      </c>
      <c r="C81">
        <v>18</v>
      </c>
      <c r="D81" s="13">
        <f t="shared" si="3"/>
        <v>23.652000000000001</v>
      </c>
      <c r="E81" s="13">
        <f t="shared" si="4"/>
        <v>6.4799999999999996E-2</v>
      </c>
    </row>
    <row r="82" spans="1:10" x14ac:dyDescent="0.2">
      <c r="A82" t="s">
        <v>95</v>
      </c>
      <c r="B82" t="s">
        <v>222</v>
      </c>
      <c r="C82">
        <v>4.4000000000000003E-3</v>
      </c>
      <c r="D82" s="13">
        <f t="shared" si="3"/>
        <v>5.7816000000000005E-3</v>
      </c>
      <c r="E82" s="13">
        <f t="shared" si="4"/>
        <v>1.5840000000000001E-5</v>
      </c>
    </row>
    <row r="83" spans="1:10" x14ac:dyDescent="0.2">
      <c r="A83" t="s">
        <v>103</v>
      </c>
      <c r="B83" t="s">
        <v>32</v>
      </c>
      <c r="C83">
        <v>9.4999999999999998E-3</v>
      </c>
      <c r="D83" s="13">
        <f t="shared" si="3"/>
        <v>1.2482999999999999E-2</v>
      </c>
      <c r="E83" s="13">
        <f t="shared" si="4"/>
        <v>3.4199999999999998E-5</v>
      </c>
    </row>
    <row r="84" spans="1:10" x14ac:dyDescent="0.2">
      <c r="A84" t="s">
        <v>106</v>
      </c>
      <c r="B84" t="s">
        <v>18</v>
      </c>
      <c r="C84">
        <v>6.3E-3</v>
      </c>
      <c r="D84" s="13">
        <f t="shared" si="3"/>
        <v>8.2782000000000012E-3</v>
      </c>
      <c r="E84" s="13">
        <f t="shared" si="4"/>
        <v>2.268E-5</v>
      </c>
    </row>
    <row r="85" spans="1:10" x14ac:dyDescent="0.2">
      <c r="A85" t="s">
        <v>90</v>
      </c>
      <c r="B85" t="s">
        <v>230</v>
      </c>
      <c r="C85">
        <v>2.5999999999999998E-4</v>
      </c>
      <c r="D85" s="13">
        <f t="shared" si="3"/>
        <v>3.4163999999999999E-4</v>
      </c>
      <c r="E85" s="13">
        <f t="shared" si="4"/>
        <v>9.3599999999999991E-7</v>
      </c>
      <c r="J85" s="13"/>
    </row>
    <row r="86" spans="1:10" x14ac:dyDescent="0.2">
      <c r="A86" t="s">
        <v>96</v>
      </c>
      <c r="B86" t="s">
        <v>196</v>
      </c>
      <c r="C86">
        <v>1.65E-3</v>
      </c>
      <c r="D86" s="13">
        <f t="shared" si="3"/>
        <v>2.1681000000000001E-3</v>
      </c>
      <c r="E86" s="13">
        <f t="shared" si="4"/>
        <v>5.9400000000000007E-6</v>
      </c>
    </row>
    <row r="87" spans="1:10" x14ac:dyDescent="0.2">
      <c r="A87" t="s">
        <v>109</v>
      </c>
      <c r="B87" t="s">
        <v>21</v>
      </c>
      <c r="C87">
        <v>3.6600000000000001E-2</v>
      </c>
      <c r="D87" s="13">
        <f t="shared" si="3"/>
        <v>4.80924E-2</v>
      </c>
      <c r="E87" s="13">
        <f t="shared" si="4"/>
        <v>1.3176E-4</v>
      </c>
    </row>
    <row r="88" spans="1:10" x14ac:dyDescent="0.2">
      <c r="A88" t="s">
        <v>111</v>
      </c>
      <c r="B88" t="s">
        <v>234</v>
      </c>
      <c r="C88">
        <v>2.7199999999999998E-2</v>
      </c>
      <c r="D88" s="13">
        <f t="shared" si="3"/>
        <v>3.5740799999999996E-2</v>
      </c>
      <c r="E88" s="13">
        <f t="shared" si="4"/>
        <v>9.7919999999999984E-5</v>
      </c>
    </row>
    <row r="98" spans="4:5" x14ac:dyDescent="0.2">
      <c r="D98" s="13"/>
      <c r="E98" s="13"/>
    </row>
  </sheetData>
  <sheetProtection algorithmName="SHA-512" hashValue="oclTjjp+QjKzKhmtHdUS3tMkLLtR0sY5nSgc1cmrSCIMy6t4YGCqmuqCMWJfzuKkDsPiBL29eHShwFicX/W/dQ==" saltValue="G55vLn70Ug7VWInQRDgMVA==" spinCount="100000" sheet="1" objects="1" scenarios="1"/>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26BE-6464-4347-A226-CA318BF2592A}">
  <sheetPr codeName="Sheet30">
    <tabColor rgb="FF00B050"/>
  </sheetPr>
  <dimension ref="A1:S144"/>
  <sheetViews>
    <sheetView topLeftCell="A32" workbookViewId="0">
      <selection activeCell="L61" sqref="L61"/>
    </sheetView>
  </sheetViews>
  <sheetFormatPr baseColWidth="10" defaultColWidth="11" defaultRowHeight="16" x14ac:dyDescent="0.2"/>
  <cols>
    <col min="1" max="1" width="23" customWidth="1"/>
    <col min="2" max="2" width="28.6640625" customWidth="1"/>
    <col min="3" max="5" width="12.5" customWidth="1"/>
    <col min="6" max="9" width="11.33203125" customWidth="1"/>
  </cols>
  <sheetData>
    <row r="1" spans="1:3" ht="19" x14ac:dyDescent="0.25">
      <c r="A1" s="2" t="s">
        <v>198</v>
      </c>
      <c r="B1" s="139"/>
    </row>
    <row r="2" spans="1:3" ht="19" x14ac:dyDescent="0.25">
      <c r="A2" s="2" t="s">
        <v>390</v>
      </c>
    </row>
    <row r="4" spans="1:3" x14ac:dyDescent="0.2">
      <c r="B4" s="26" t="s">
        <v>199</v>
      </c>
      <c r="C4" t="s">
        <v>40</v>
      </c>
    </row>
    <row r="5" spans="1:3" x14ac:dyDescent="0.2">
      <c r="B5" s="26" t="s">
        <v>266</v>
      </c>
      <c r="C5" t="s">
        <v>335</v>
      </c>
    </row>
    <row r="6" spans="1:3" x14ac:dyDescent="0.2">
      <c r="B6" s="26"/>
      <c r="C6" t="s">
        <v>382</v>
      </c>
    </row>
    <row r="7" spans="1:3" x14ac:dyDescent="0.2">
      <c r="B7" s="26"/>
      <c r="C7" t="s">
        <v>46</v>
      </c>
    </row>
    <row r="8" spans="1:3" x14ac:dyDescent="0.2">
      <c r="B8" s="26" t="s">
        <v>201</v>
      </c>
      <c r="C8" t="s">
        <v>268</v>
      </c>
    </row>
    <row r="9" spans="1:3" x14ac:dyDescent="0.2">
      <c r="A9" s="26"/>
    </row>
    <row r="10" spans="1:3" x14ac:dyDescent="0.2">
      <c r="B10" s="26" t="s">
        <v>199</v>
      </c>
      <c r="C10" t="s">
        <v>269</v>
      </c>
    </row>
    <row r="11" spans="1:3" x14ac:dyDescent="0.2">
      <c r="B11" s="26" t="s">
        <v>266</v>
      </c>
      <c r="C11" t="s">
        <v>335</v>
      </c>
    </row>
    <row r="12" spans="1:3" x14ac:dyDescent="0.2">
      <c r="B12" s="26"/>
      <c r="C12" t="s">
        <v>382</v>
      </c>
    </row>
    <row r="13" spans="1:3" x14ac:dyDescent="0.2">
      <c r="B13" s="26"/>
      <c r="C13" t="s">
        <v>46</v>
      </c>
    </row>
    <row r="14" spans="1:3" x14ac:dyDescent="0.2">
      <c r="B14" s="26" t="s">
        <v>201</v>
      </c>
      <c r="C14" t="s">
        <v>270</v>
      </c>
    </row>
    <row r="15" spans="1:3" x14ac:dyDescent="0.2">
      <c r="B15" s="26"/>
    </row>
    <row r="16" spans="1:3" x14ac:dyDescent="0.2">
      <c r="B16" s="26"/>
    </row>
    <row r="17" spans="1:3" x14ac:dyDescent="0.2">
      <c r="B17" s="26"/>
    </row>
    <row r="18" spans="1:3" x14ac:dyDescent="0.2">
      <c r="B18" s="26"/>
    </row>
    <row r="19" spans="1:3" x14ac:dyDescent="0.2">
      <c r="B19" s="26"/>
    </row>
    <row r="20" spans="1:3" x14ac:dyDescent="0.2">
      <c r="A20" s="26"/>
    </row>
    <row r="22" spans="1:3" ht="19" x14ac:dyDescent="0.25">
      <c r="A22" s="140" t="s">
        <v>204</v>
      </c>
    </row>
    <row r="25" spans="1:3" x14ac:dyDescent="0.2">
      <c r="A25" t="s">
        <v>263</v>
      </c>
      <c r="B25" s="12">
        <v>200</v>
      </c>
      <c r="C25" t="s">
        <v>191</v>
      </c>
    </row>
    <row r="26" spans="1:3" x14ac:dyDescent="0.2">
      <c r="A26" t="s">
        <v>264</v>
      </c>
      <c r="B26" s="132">
        <v>48291</v>
      </c>
      <c r="C26" t="s">
        <v>265</v>
      </c>
    </row>
    <row r="27" spans="1:3" x14ac:dyDescent="0.2">
      <c r="A27" t="s">
        <v>1939</v>
      </c>
      <c r="B27" s="144">
        <v>0.95</v>
      </c>
    </row>
    <row r="28" spans="1:3" x14ac:dyDescent="0.2">
      <c r="A28" t="s">
        <v>1940</v>
      </c>
      <c r="B28" s="144">
        <v>0.95</v>
      </c>
    </row>
    <row r="30" spans="1:3" x14ac:dyDescent="0.2">
      <c r="A30" t="s">
        <v>202</v>
      </c>
      <c r="B30">
        <v>1</v>
      </c>
    </row>
    <row r="31" spans="1:3" x14ac:dyDescent="0.2">
      <c r="A31" t="s">
        <v>205</v>
      </c>
      <c r="B31">
        <v>8</v>
      </c>
      <c r="C31" t="s">
        <v>42</v>
      </c>
    </row>
    <row r="32" spans="1:3" x14ac:dyDescent="0.2">
      <c r="A32" t="s">
        <v>205</v>
      </c>
      <c r="B32" s="12">
        <f>B31/B25*B26</f>
        <v>1931.64</v>
      </c>
      <c r="C32" t="s">
        <v>43</v>
      </c>
    </row>
    <row r="33" spans="1:19" x14ac:dyDescent="0.2">
      <c r="A33" t="s">
        <v>203</v>
      </c>
      <c r="B33">
        <v>30</v>
      </c>
      <c r="C33" t="s">
        <v>206</v>
      </c>
    </row>
    <row r="34" spans="1:19" x14ac:dyDescent="0.2">
      <c r="A34" t="s">
        <v>217</v>
      </c>
      <c r="B34">
        <f>B30*B33*B32</f>
        <v>57949.200000000004</v>
      </c>
      <c r="C34" t="s">
        <v>219</v>
      </c>
    </row>
    <row r="35" spans="1:19" x14ac:dyDescent="0.2">
      <c r="A35" t="s">
        <v>218</v>
      </c>
      <c r="B35">
        <f>B30*B33*B31</f>
        <v>240</v>
      </c>
      <c r="C35" t="s">
        <v>220</v>
      </c>
    </row>
    <row r="37" spans="1:19" ht="19" x14ac:dyDescent="0.25">
      <c r="A37" s="140" t="s">
        <v>1794</v>
      </c>
    </row>
    <row r="38" spans="1:19" ht="19" x14ac:dyDescent="0.25">
      <c r="A38" s="140"/>
    </row>
    <row r="39" spans="1:19" x14ac:dyDescent="0.2">
      <c r="F39" s="546">
        <f>1-H39</f>
        <v>0.83299999999999996</v>
      </c>
      <c r="G39" s="547"/>
      <c r="H39" s="548">
        <v>0.16700000000000001</v>
      </c>
      <c r="I39" s="548"/>
    </row>
    <row r="40" spans="1:19" x14ac:dyDescent="0.2">
      <c r="F40" s="547" t="s">
        <v>335</v>
      </c>
      <c r="G40" s="547"/>
      <c r="H40" s="547" t="s">
        <v>382</v>
      </c>
      <c r="I40" s="547"/>
    </row>
    <row r="41" spans="1:19" ht="51" x14ac:dyDescent="0.2">
      <c r="A41" s="29" t="s">
        <v>209</v>
      </c>
      <c r="B41" s="29" t="s">
        <v>208</v>
      </c>
      <c r="C41" s="29" t="s">
        <v>267</v>
      </c>
      <c r="D41" s="29" t="s">
        <v>211</v>
      </c>
      <c r="E41" s="29" t="s">
        <v>212</v>
      </c>
      <c r="F41" s="29" t="s">
        <v>211</v>
      </c>
      <c r="G41" s="29" t="s">
        <v>212</v>
      </c>
      <c r="H41" s="29" t="s">
        <v>211</v>
      </c>
      <c r="I41" s="29" t="s">
        <v>212</v>
      </c>
    </row>
    <row r="42" spans="1:19" x14ac:dyDescent="0.2">
      <c r="A42" t="s">
        <v>82</v>
      </c>
      <c r="B42" t="s">
        <v>245</v>
      </c>
      <c r="C42" s="13">
        <f>IFERROR(VLOOKUP(B42,'BC Summary'!$B$3:$F$17,5,FALSE),0)</f>
        <v>9.0115021305090884E-5</v>
      </c>
      <c r="D42" s="13">
        <f>C42*$B$26*$B$28*(1-$B$27)</f>
        <v>0.20670786345759704</v>
      </c>
      <c r="E42" s="13">
        <f>C42*$B$25*$B$28*(1-$B$27)</f>
        <v>8.5609270239836411E-4</v>
      </c>
      <c r="F42" s="13">
        <f>D42*$F$39</f>
        <v>0.17218765026017832</v>
      </c>
      <c r="G42" s="13">
        <f>E42*$F$39</f>
        <v>7.131252210978373E-4</v>
      </c>
      <c r="H42" s="13">
        <f>D42*$H$39</f>
        <v>3.4520213197418707E-2</v>
      </c>
      <c r="I42" s="13">
        <f>E42*$H$39</f>
        <v>1.4296748130052681E-4</v>
      </c>
      <c r="K42" s="13"/>
      <c r="L42" s="13"/>
      <c r="M42" s="13"/>
      <c r="N42" s="13"/>
      <c r="O42" s="13"/>
      <c r="R42" s="13"/>
      <c r="S42" s="13"/>
    </row>
    <row r="43" spans="1:19" x14ac:dyDescent="0.2">
      <c r="A43" t="s">
        <v>174</v>
      </c>
      <c r="B43" t="s">
        <v>246</v>
      </c>
      <c r="C43" s="13">
        <f>IFERROR(VLOOKUP(B43,'BC Summary'!$B$3:$F$17,5,FALSE),0)</f>
        <v>5.1940762782501802E-6</v>
      </c>
      <c r="D43" s="13">
        <f t="shared" ref="D43:D56" si="0">C43*$B$26*$B$28*(1-$B$27)</f>
        <v>1.1914289033766534E-2</v>
      </c>
      <c r="E43" s="13">
        <f t="shared" ref="E43:E56" si="1">C43*$B$25*$B$28*(1-$B$27)</f>
        <v>4.9343724643376762E-5</v>
      </c>
      <c r="F43" s="13">
        <f t="shared" ref="F43:F56" si="2">D43*$F$39</f>
        <v>9.9246027651275232E-3</v>
      </c>
      <c r="G43" s="13">
        <f t="shared" ref="G43:G56" si="3">E43*$F$39</f>
        <v>4.1103322627932842E-5</v>
      </c>
      <c r="H43" s="13">
        <f t="shared" ref="H43:H56" si="4">D43*$H$39</f>
        <v>1.9896862686390113E-3</v>
      </c>
      <c r="I43" s="13">
        <f t="shared" ref="I43:I56" si="5">E43*$H$39</f>
        <v>8.2404020154439199E-6</v>
      </c>
      <c r="K43" s="13"/>
      <c r="L43" s="13"/>
      <c r="M43" s="13"/>
      <c r="N43" s="13"/>
      <c r="O43" s="13"/>
      <c r="R43" s="13"/>
      <c r="S43" s="13"/>
    </row>
    <row r="44" spans="1:19" x14ac:dyDescent="0.2">
      <c r="A44" t="s">
        <v>83</v>
      </c>
      <c r="B44" t="s">
        <v>247</v>
      </c>
      <c r="C44" s="13">
        <f>IFERROR(VLOOKUP(B44,'BC Summary'!$B$3:$F$17,5,FALSE),0)</f>
        <v>1.5314273512706227E-5</v>
      </c>
      <c r="D44" s="13">
        <f t="shared" si="0"/>
        <v>3.512822515459961E-2</v>
      </c>
      <c r="E44" s="13">
        <f t="shared" si="1"/>
        <v>1.4548559837070928E-4</v>
      </c>
      <c r="F44" s="13">
        <f t="shared" si="2"/>
        <v>2.9261811553781474E-2</v>
      </c>
      <c r="G44" s="13">
        <f t="shared" si="3"/>
        <v>1.2118950344280083E-4</v>
      </c>
      <c r="H44" s="13">
        <f t="shared" si="4"/>
        <v>5.8664136008181348E-3</v>
      </c>
      <c r="I44" s="13">
        <f t="shared" si="5"/>
        <v>2.4296094927908452E-5</v>
      </c>
      <c r="K44" s="13"/>
      <c r="L44" s="13"/>
      <c r="M44" s="13"/>
      <c r="N44" s="13"/>
      <c r="O44" s="13"/>
      <c r="R44" s="13"/>
      <c r="S44" s="13"/>
    </row>
    <row r="45" spans="1:19" x14ac:dyDescent="0.2">
      <c r="A45" s="16" t="s">
        <v>93</v>
      </c>
      <c r="B45" t="s">
        <v>248</v>
      </c>
      <c r="C45" s="13">
        <f>IFERROR(VLOOKUP(B45,'BC Summary'!$B$3:$F$17,5,FALSE),0)</f>
        <v>0</v>
      </c>
      <c r="D45" s="13">
        <f t="shared" si="0"/>
        <v>0</v>
      </c>
      <c r="E45" s="13">
        <f t="shared" si="1"/>
        <v>0</v>
      </c>
      <c r="F45" s="13">
        <f t="shared" si="2"/>
        <v>0</v>
      </c>
      <c r="G45" s="13">
        <f t="shared" si="3"/>
        <v>0</v>
      </c>
      <c r="H45" s="13">
        <f t="shared" si="4"/>
        <v>0</v>
      </c>
      <c r="I45" s="13">
        <f t="shared" si="5"/>
        <v>0</v>
      </c>
      <c r="K45" s="13"/>
      <c r="L45" s="13"/>
      <c r="M45" s="13"/>
      <c r="N45" s="13"/>
      <c r="O45" s="13"/>
      <c r="R45" s="13"/>
      <c r="S45" s="13"/>
    </row>
    <row r="46" spans="1:19" x14ac:dyDescent="0.2">
      <c r="A46" t="s">
        <v>85</v>
      </c>
      <c r="B46" t="s">
        <v>215</v>
      </c>
      <c r="C46" s="13">
        <f>IFERROR(VLOOKUP(B46,'BC Summary'!$B$3:$F$17,5,FALSE),0)</f>
        <v>3.2254667138700593E-5</v>
      </c>
      <c r="D46" s="13">
        <f t="shared" si="0"/>
        <v>7.3986481212762106E-2</v>
      </c>
      <c r="E46" s="13">
        <f t="shared" si="1"/>
        <v>3.064193378176559E-4</v>
      </c>
      <c r="F46" s="13">
        <f t="shared" si="2"/>
        <v>6.1630738850230835E-2</v>
      </c>
      <c r="G46" s="13">
        <f t="shared" si="3"/>
        <v>2.5524730840210735E-4</v>
      </c>
      <c r="H46" s="13">
        <f t="shared" si="4"/>
        <v>1.2355742362531272E-2</v>
      </c>
      <c r="I46" s="13">
        <f t="shared" si="5"/>
        <v>5.117202941554854E-5</v>
      </c>
      <c r="K46" s="13"/>
      <c r="L46" s="13"/>
      <c r="M46" s="13"/>
      <c r="N46" s="13"/>
      <c r="O46" s="13"/>
      <c r="R46" s="13"/>
      <c r="S46" s="13"/>
    </row>
    <row r="47" spans="1:19" x14ac:dyDescent="0.2">
      <c r="A47" t="s">
        <v>86</v>
      </c>
      <c r="B47" t="s">
        <v>249</v>
      </c>
      <c r="C47" s="13">
        <f>IFERROR(VLOOKUP(B47,'BC Summary'!$B$3:$F$17,5,FALSE),0)</f>
        <v>7.3514260302389135E-6</v>
      </c>
      <c r="D47" s="13">
        <f t="shared" si="0"/>
        <v>1.6862866435247717E-2</v>
      </c>
      <c r="E47" s="13">
        <f t="shared" si="1"/>
        <v>6.9838547287269734E-5</v>
      </c>
      <c r="F47" s="13">
        <f t="shared" si="2"/>
        <v>1.4046767740561348E-2</v>
      </c>
      <c r="G47" s="13">
        <f t="shared" si="3"/>
        <v>5.8175509890295687E-5</v>
      </c>
      <c r="H47" s="13">
        <f t="shared" si="4"/>
        <v>2.8160986946863687E-3</v>
      </c>
      <c r="I47" s="13">
        <f t="shared" si="5"/>
        <v>1.1663037396974047E-5</v>
      </c>
      <c r="K47" s="13"/>
      <c r="L47" s="13"/>
      <c r="M47" s="13"/>
      <c r="N47" s="13"/>
      <c r="O47" s="13"/>
      <c r="R47" s="13"/>
      <c r="S47" s="13"/>
    </row>
    <row r="48" spans="1:19" x14ac:dyDescent="0.2">
      <c r="A48" t="s">
        <v>87</v>
      </c>
      <c r="B48" t="s">
        <v>214</v>
      </c>
      <c r="C48" s="13">
        <f>IFERROR(VLOOKUP(B48,'BC Summary'!$B$3:$F$17,5,FALSE),0)</f>
        <v>4.8196960480493504E-4</v>
      </c>
      <c r="D48" s="13">
        <f t="shared" si="0"/>
        <v>1.105552723817669</v>
      </c>
      <c r="E48" s="13">
        <f t="shared" si="1"/>
        <v>4.5787112456468866E-3</v>
      </c>
      <c r="F48" s="13">
        <f t="shared" si="2"/>
        <v>0.92092541894011826</v>
      </c>
      <c r="G48" s="13">
        <f t="shared" si="3"/>
        <v>3.8140664676238564E-3</v>
      </c>
      <c r="H48" s="13">
        <f t="shared" si="4"/>
        <v>0.18462730487755075</v>
      </c>
      <c r="I48" s="13">
        <f t="shared" si="5"/>
        <v>7.6464477802303009E-4</v>
      </c>
      <c r="K48" s="13"/>
      <c r="L48" s="13"/>
      <c r="M48" s="13"/>
      <c r="N48" s="13"/>
      <c r="O48" s="13"/>
      <c r="R48" s="13"/>
      <c r="S48" s="13"/>
    </row>
    <row r="49" spans="1:19" x14ac:dyDescent="0.2">
      <c r="A49" t="s">
        <v>88</v>
      </c>
      <c r="B49" t="s">
        <v>216</v>
      </c>
      <c r="C49" s="13">
        <f>IFERROR(VLOOKUP(B49,'BC Summary'!$B$3:$F$17,5,FALSE),0)</f>
        <v>1.7518974565717735E-5</v>
      </c>
      <c r="D49" s="13">
        <f t="shared" si="0"/>
        <v>4.0185418035771109E-2</v>
      </c>
      <c r="E49" s="13">
        <f t="shared" si="1"/>
        <v>1.6643025837431862E-4</v>
      </c>
      <c r="F49" s="13">
        <f t="shared" si="2"/>
        <v>3.3474453223797329E-2</v>
      </c>
      <c r="G49" s="13">
        <f t="shared" si="3"/>
        <v>1.386364052258074E-4</v>
      </c>
      <c r="H49" s="13">
        <f t="shared" si="4"/>
        <v>6.7109648119737754E-3</v>
      </c>
      <c r="I49" s="13">
        <f t="shared" si="5"/>
        <v>2.7793853148511211E-5</v>
      </c>
      <c r="K49" s="13"/>
      <c r="L49" s="13"/>
      <c r="M49" s="13"/>
      <c r="N49" s="13"/>
      <c r="O49" s="13"/>
      <c r="R49" s="13"/>
      <c r="S49" s="13"/>
    </row>
    <row r="50" spans="1:19" x14ac:dyDescent="0.2">
      <c r="A50" t="s">
        <v>89</v>
      </c>
      <c r="B50" t="s">
        <v>213</v>
      </c>
      <c r="C50" s="13">
        <f>IFERROR(VLOOKUP(B50,'BC Summary'!$B$3:$F$17,5,FALSE),0)</f>
        <v>3.2228368382128598E-4</v>
      </c>
      <c r="D50" s="13">
        <f t="shared" si="0"/>
        <v>0.73926156533215237</v>
      </c>
      <c r="E50" s="13">
        <f t="shared" si="1"/>
        <v>3.0616949963022198E-3</v>
      </c>
      <c r="F50" s="13">
        <f t="shared" si="2"/>
        <v>0.61580488392168287</v>
      </c>
      <c r="G50" s="13">
        <f t="shared" si="3"/>
        <v>2.5503919319197488E-3</v>
      </c>
      <c r="H50" s="13">
        <f t="shared" si="4"/>
        <v>0.12345668141046945</v>
      </c>
      <c r="I50" s="13">
        <f t="shared" si="5"/>
        <v>5.1130306438247077E-4</v>
      </c>
      <c r="K50" s="13"/>
      <c r="L50" s="13"/>
      <c r="M50" s="13"/>
      <c r="N50" s="13"/>
      <c r="O50" s="13"/>
      <c r="R50" s="13"/>
      <c r="S50" s="13"/>
    </row>
    <row r="51" spans="1:19" x14ac:dyDescent="0.2">
      <c r="A51" s="147">
        <v>365</v>
      </c>
      <c r="B51" t="s">
        <v>231</v>
      </c>
      <c r="C51" s="13">
        <f>IFERROR(VLOOKUP(B51,'BC Summary'!$B$3:$F$17,5,FALSE),0)</f>
        <v>7.4234519369005615E-5</v>
      </c>
      <c r="D51" s="13">
        <f t="shared" si="0"/>
        <v>0.17028081080531102</v>
      </c>
      <c r="E51" s="13">
        <f t="shared" si="1"/>
        <v>7.0522793400555389E-4</v>
      </c>
      <c r="F51" s="13">
        <f t="shared" si="2"/>
        <v>0.14184391540082408</v>
      </c>
      <c r="G51" s="13">
        <f t="shared" si="3"/>
        <v>5.8745486902662633E-4</v>
      </c>
      <c r="H51" s="13">
        <f t="shared" si="4"/>
        <v>2.8436895404486941E-2</v>
      </c>
      <c r="I51" s="13">
        <f t="shared" si="5"/>
        <v>1.1777306497892751E-4</v>
      </c>
      <c r="K51" s="13"/>
      <c r="L51" s="13"/>
      <c r="M51" s="13"/>
      <c r="N51" s="13"/>
      <c r="O51" s="13"/>
      <c r="R51" s="13"/>
      <c r="S51" s="13"/>
    </row>
    <row r="52" spans="1:19" x14ac:dyDescent="0.2">
      <c r="A52" s="147">
        <v>504</v>
      </c>
      <c r="B52" t="s">
        <v>254</v>
      </c>
      <c r="C52" s="13">
        <f>IFERROR(VLOOKUP(B52,'BC Summary'!$B$3:$F$17,5,FALSE),0)</f>
        <v>2.5984534808909175E-5</v>
      </c>
      <c r="D52" s="13">
        <f t="shared" si="0"/>
        <v>5.9603910596709116E-2</v>
      </c>
      <c r="E52" s="13">
        <f t="shared" si="1"/>
        <v>2.4685308068463736E-4</v>
      </c>
      <c r="F52" s="13">
        <f t="shared" si="2"/>
        <v>4.9650057527058693E-2</v>
      </c>
      <c r="G52" s="13">
        <f t="shared" si="3"/>
        <v>2.0562861621030291E-4</v>
      </c>
      <c r="H52" s="13">
        <f t="shared" si="4"/>
        <v>9.9538530696504229E-3</v>
      </c>
      <c r="I52" s="13">
        <f t="shared" si="5"/>
        <v>4.1224464474334439E-5</v>
      </c>
      <c r="K52" s="13"/>
      <c r="L52" s="13"/>
      <c r="M52" s="13"/>
      <c r="N52" s="13"/>
      <c r="O52" s="13"/>
      <c r="R52" s="13"/>
      <c r="S52" s="13"/>
    </row>
    <row r="53" spans="1:19" x14ac:dyDescent="0.2">
      <c r="A53" t="s">
        <v>91</v>
      </c>
      <c r="B53" t="s">
        <v>251</v>
      </c>
      <c r="C53" s="13">
        <f>IFERROR(VLOOKUP(B53,'BC Summary'!$B$3:$F$17,5,FALSE),0)</f>
        <v>0</v>
      </c>
      <c r="D53" s="13">
        <f t="shared" si="0"/>
        <v>0</v>
      </c>
      <c r="E53" s="13">
        <f t="shared" si="1"/>
        <v>0</v>
      </c>
      <c r="F53" s="13">
        <f t="shared" si="2"/>
        <v>0</v>
      </c>
      <c r="G53" s="13">
        <f t="shared" si="3"/>
        <v>0</v>
      </c>
      <c r="H53" s="13">
        <f t="shared" si="4"/>
        <v>0</v>
      </c>
      <c r="I53" s="13">
        <f t="shared" si="5"/>
        <v>0</v>
      </c>
      <c r="K53" s="13"/>
      <c r="L53" s="13"/>
      <c r="M53" s="13"/>
      <c r="N53" s="13"/>
      <c r="O53" s="13"/>
      <c r="R53" s="13"/>
      <c r="S53" s="13"/>
    </row>
    <row r="54" spans="1:19" x14ac:dyDescent="0.2">
      <c r="A54" t="s">
        <v>94</v>
      </c>
      <c r="B54" t="s">
        <v>252</v>
      </c>
      <c r="C54" s="13">
        <f>IFERROR(VLOOKUP(B54,'BC Summary'!$B$3:$F$17,5,FALSE),0)</f>
        <v>8.4663015312913168E-5</v>
      </c>
      <c r="D54" s="13">
        <f t="shared" si="0"/>
        <v>0.19420192944260492</v>
      </c>
      <c r="E54" s="13">
        <f t="shared" si="1"/>
        <v>8.042986454726758E-4</v>
      </c>
      <c r="F54" s="13">
        <f t="shared" si="2"/>
        <v>0.16177020722568988</v>
      </c>
      <c r="G54" s="13">
        <f t="shared" si="3"/>
        <v>6.6998077167873895E-4</v>
      </c>
      <c r="H54" s="13">
        <f t="shared" si="4"/>
        <v>3.2431722216915024E-2</v>
      </c>
      <c r="I54" s="13">
        <f t="shared" si="5"/>
        <v>1.3431787379393687E-4</v>
      </c>
      <c r="K54" s="13"/>
      <c r="L54" s="13"/>
      <c r="M54" s="13"/>
      <c r="N54" s="13"/>
      <c r="O54" s="13"/>
      <c r="R54" s="13"/>
      <c r="S54" s="13"/>
    </row>
    <row r="55" spans="1:19" x14ac:dyDescent="0.2">
      <c r="A55" t="s">
        <v>84</v>
      </c>
      <c r="B55" t="s">
        <v>253</v>
      </c>
      <c r="C55" s="13">
        <f>IFERROR(VLOOKUP(B55,'BC Summary'!$B$3:$F$17,5,FALSE),0)</f>
        <v>0</v>
      </c>
      <c r="D55" s="13">
        <f t="shared" si="0"/>
        <v>0</v>
      </c>
      <c r="E55" s="13">
        <f t="shared" si="1"/>
        <v>0</v>
      </c>
      <c r="F55" s="13">
        <f t="shared" si="2"/>
        <v>0</v>
      </c>
      <c r="G55" s="13">
        <f t="shared" si="3"/>
        <v>0</v>
      </c>
      <c r="H55" s="13">
        <f t="shared" si="4"/>
        <v>0</v>
      </c>
      <c r="I55" s="13">
        <f t="shared" si="5"/>
        <v>0</v>
      </c>
      <c r="K55" s="13"/>
      <c r="L55" s="13"/>
      <c r="M55" s="13"/>
      <c r="N55" s="13"/>
      <c r="O55" s="13"/>
      <c r="R55" s="13"/>
      <c r="S55" s="13"/>
    </row>
    <row r="56" spans="1:19" x14ac:dyDescent="0.2">
      <c r="A56" t="s">
        <v>92</v>
      </c>
      <c r="B56" t="s">
        <v>197</v>
      </c>
      <c r="C56" s="13">
        <f>IFERROR(VLOOKUP(B56,'BC Summary'!$B$3:$F$17,5,FALSE),0)</f>
        <v>5.7543489271521909E-6</v>
      </c>
      <c r="D56" s="13">
        <f t="shared" si="0"/>
        <v>1.3199455041952569E-2</v>
      </c>
      <c r="E56" s="13">
        <f t="shared" si="1"/>
        <v>5.4666314807945867E-5</v>
      </c>
      <c r="F56" s="13">
        <f t="shared" si="2"/>
        <v>1.0995146049946489E-2</v>
      </c>
      <c r="G56" s="13">
        <f t="shared" si="3"/>
        <v>4.5537040235018904E-5</v>
      </c>
      <c r="H56" s="13">
        <f t="shared" si="4"/>
        <v>2.2043089920060792E-3</v>
      </c>
      <c r="I56" s="13">
        <f t="shared" si="5"/>
        <v>9.1292745729269595E-6</v>
      </c>
      <c r="K56" s="13"/>
      <c r="L56" s="13"/>
      <c r="M56" s="13"/>
      <c r="N56" s="13"/>
      <c r="O56" s="13"/>
      <c r="R56" s="13"/>
      <c r="S56" s="13"/>
    </row>
    <row r="57" spans="1:19" x14ac:dyDescent="0.2">
      <c r="R57" s="13"/>
      <c r="S57" s="13"/>
    </row>
    <row r="58" spans="1:19" x14ac:dyDescent="0.2">
      <c r="R58" s="13"/>
      <c r="S58" s="13"/>
    </row>
    <row r="63" spans="1:19" ht="19" x14ac:dyDescent="0.25">
      <c r="A63" s="140" t="s">
        <v>362</v>
      </c>
    </row>
    <row r="64" spans="1:19" x14ac:dyDescent="0.2">
      <c r="D64" t="s">
        <v>399</v>
      </c>
    </row>
    <row r="65" spans="1:8" ht="34" x14ac:dyDescent="0.2">
      <c r="A65" s="29" t="s">
        <v>209</v>
      </c>
      <c r="B65" s="29" t="s">
        <v>208</v>
      </c>
      <c r="C65" s="29" t="s">
        <v>267</v>
      </c>
      <c r="D65" s="29" t="s">
        <v>211</v>
      </c>
      <c r="E65" s="29" t="s">
        <v>212</v>
      </c>
    </row>
    <row r="66" spans="1:8" x14ac:dyDescent="0.2">
      <c r="A66" t="s">
        <v>82</v>
      </c>
      <c r="B66" t="s">
        <v>245</v>
      </c>
      <c r="C66" s="13">
        <f>IFERROR(VLOOKUP(B66,'BC Summary'!$B$3:$F$17,5,FALSE),0)</f>
        <v>9.0115021305090884E-5</v>
      </c>
      <c r="D66" s="46">
        <f>C66*$B$26*(1-$B$28)</f>
        <v>0.2175872246922074</v>
      </c>
      <c r="E66" s="14">
        <f>C66*$B$25*(1-$B$28)</f>
        <v>9.0115021305090968E-4</v>
      </c>
      <c r="G66" s="46"/>
      <c r="H66" s="14"/>
    </row>
    <row r="67" spans="1:8" x14ac:dyDescent="0.2">
      <c r="A67" t="s">
        <v>174</v>
      </c>
      <c r="B67" t="s">
        <v>246</v>
      </c>
      <c r="C67" s="13">
        <f>IFERROR(VLOOKUP(B67,'BC Summary'!$B$3:$F$17,5,FALSE),0)</f>
        <v>5.1940762782501802E-6</v>
      </c>
      <c r="D67" s="46">
        <f t="shared" ref="D67:D80" si="6">C67*$B$26*(1-$B$28)</f>
        <v>1.2541356877648985E-2</v>
      </c>
      <c r="E67" s="14">
        <f t="shared" ref="E67:E80" si="7">C67*$B$25*(1-$B$28)</f>
        <v>5.1940762782501849E-5</v>
      </c>
      <c r="G67" s="46"/>
      <c r="H67" s="14"/>
    </row>
    <row r="68" spans="1:8" x14ac:dyDescent="0.2">
      <c r="A68" t="s">
        <v>83</v>
      </c>
      <c r="B68" t="s">
        <v>247</v>
      </c>
      <c r="C68" s="13">
        <f>IFERROR(VLOOKUP(B68,'BC Summary'!$B$3:$F$17,5,FALSE),0)</f>
        <v>1.5314273512706227E-5</v>
      </c>
      <c r="D68" s="46">
        <f t="shared" si="6"/>
        <v>3.6977079110104852E-2</v>
      </c>
      <c r="E68" s="14">
        <f t="shared" si="7"/>
        <v>1.5314273512706241E-4</v>
      </c>
      <c r="F68" s="141"/>
      <c r="G68" s="46"/>
      <c r="H68" s="14"/>
    </row>
    <row r="69" spans="1:8" x14ac:dyDescent="0.2">
      <c r="A69" s="16" t="s">
        <v>93</v>
      </c>
      <c r="B69" t="s">
        <v>248</v>
      </c>
      <c r="C69" s="13">
        <f>IFERROR(VLOOKUP(B69,'BC Summary'!$B$3:$F$17,5,FALSE),0)</f>
        <v>0</v>
      </c>
      <c r="D69" s="46">
        <f t="shared" si="6"/>
        <v>0</v>
      </c>
      <c r="E69" s="14">
        <f t="shared" si="7"/>
        <v>0</v>
      </c>
      <c r="G69" s="46"/>
      <c r="H69" s="14"/>
    </row>
    <row r="70" spans="1:8" x14ac:dyDescent="0.2">
      <c r="A70" t="s">
        <v>85</v>
      </c>
      <c r="B70" t="s">
        <v>215</v>
      </c>
      <c r="C70" s="13">
        <f>IFERROR(VLOOKUP(B70,'BC Summary'!$B$3:$F$17,5,FALSE),0)</f>
        <v>3.2254667138700593E-5</v>
      </c>
      <c r="D70" s="46">
        <f t="shared" si="6"/>
        <v>7.788050653974958E-2</v>
      </c>
      <c r="E70" s="14">
        <f t="shared" si="7"/>
        <v>3.2254667138700621E-4</v>
      </c>
      <c r="G70" s="46"/>
      <c r="H70" s="14"/>
    </row>
    <row r="71" spans="1:8" x14ac:dyDescent="0.2">
      <c r="A71" t="s">
        <v>86</v>
      </c>
      <c r="B71" t="s">
        <v>249</v>
      </c>
      <c r="C71" s="13">
        <f>IFERROR(VLOOKUP(B71,'BC Summary'!$B$3:$F$17,5,FALSE),0)</f>
        <v>7.3514260302389135E-6</v>
      </c>
      <c r="D71" s="46">
        <f t="shared" si="6"/>
        <v>1.7750385721313384E-2</v>
      </c>
      <c r="E71" s="14">
        <f t="shared" si="7"/>
        <v>7.3514260302389209E-5</v>
      </c>
      <c r="G71" s="46"/>
      <c r="H71" s="14"/>
    </row>
    <row r="72" spans="1:8" x14ac:dyDescent="0.2">
      <c r="A72" t="s">
        <v>87</v>
      </c>
      <c r="B72" t="s">
        <v>214</v>
      </c>
      <c r="C72" s="13">
        <f>IFERROR(VLOOKUP(B72,'BC Summary'!$B$3:$F$17,5,FALSE),0)</f>
        <v>4.8196960480493504E-4</v>
      </c>
      <c r="D72" s="46">
        <f t="shared" si="6"/>
        <v>1.1637397092817567</v>
      </c>
      <c r="E72" s="14">
        <f t="shared" si="7"/>
        <v>4.8196960480493545E-3</v>
      </c>
      <c r="G72" s="46"/>
      <c r="H72" s="14"/>
    </row>
    <row r="73" spans="1:8" x14ac:dyDescent="0.2">
      <c r="A73" t="s">
        <v>88</v>
      </c>
      <c r="B73" t="s">
        <v>216</v>
      </c>
      <c r="C73" s="13">
        <f>IFERROR(VLOOKUP(B73,'BC Summary'!$B$3:$F$17,5,FALSE),0)</f>
        <v>1.7518974565717735E-5</v>
      </c>
      <c r="D73" s="46">
        <f t="shared" si="6"/>
        <v>4.2300440037653798E-2</v>
      </c>
      <c r="E73" s="14">
        <f t="shared" si="7"/>
        <v>1.7518974565717752E-4</v>
      </c>
      <c r="G73" s="46"/>
      <c r="H73" s="14"/>
    </row>
    <row r="74" spans="1:8" x14ac:dyDescent="0.2">
      <c r="A74" t="s">
        <v>89</v>
      </c>
      <c r="B74" t="s">
        <v>213</v>
      </c>
      <c r="C74" s="13">
        <f>IFERROR(VLOOKUP(B74,'BC Summary'!$B$3:$F$17,5,FALSE),0)</f>
        <v>3.2228368382128598E-4</v>
      </c>
      <c r="D74" s="46">
        <f t="shared" si="6"/>
        <v>0.77817006877068673</v>
      </c>
      <c r="E74" s="14">
        <f t="shared" si="7"/>
        <v>3.222836838212863E-3</v>
      </c>
      <c r="G74" s="46"/>
      <c r="H74" s="14"/>
    </row>
    <row r="75" spans="1:8" x14ac:dyDescent="0.2">
      <c r="A75" s="147">
        <v>365</v>
      </c>
      <c r="B75" t="s">
        <v>231</v>
      </c>
      <c r="C75" s="13">
        <f>IFERROR(VLOOKUP(B75,'BC Summary'!$B$3:$F$17,5,FALSE),0)</f>
        <v>7.4234519369005615E-5</v>
      </c>
      <c r="D75" s="46">
        <f t="shared" si="6"/>
        <v>0.17924295874243265</v>
      </c>
      <c r="E75" s="14">
        <f t="shared" si="7"/>
        <v>7.4234519369005677E-4</v>
      </c>
      <c r="G75" s="46"/>
      <c r="H75" s="14"/>
    </row>
    <row r="76" spans="1:8" x14ac:dyDescent="0.2">
      <c r="A76" s="147">
        <v>504</v>
      </c>
      <c r="B76" t="s">
        <v>254</v>
      </c>
      <c r="C76" s="13">
        <f>IFERROR(VLOOKUP(B76,'BC Summary'!$B$3:$F$17,5,FALSE),0)</f>
        <v>2.5984534808909175E-5</v>
      </c>
      <c r="D76" s="46">
        <f t="shared" si="6"/>
        <v>6.2740958522851706E-2</v>
      </c>
      <c r="E76" s="14">
        <f t="shared" si="7"/>
        <v>2.5984534808909198E-4</v>
      </c>
      <c r="G76" s="46"/>
      <c r="H76" s="14"/>
    </row>
    <row r="77" spans="1:8" x14ac:dyDescent="0.2">
      <c r="A77" t="s">
        <v>91</v>
      </c>
      <c r="B77" t="s">
        <v>251</v>
      </c>
      <c r="C77" s="13">
        <f>IFERROR(VLOOKUP(B77,'BC Summary'!$B$3:$F$17,5,FALSE),0)</f>
        <v>0</v>
      </c>
      <c r="D77" s="46">
        <f t="shared" si="6"/>
        <v>0</v>
      </c>
      <c r="E77" s="14">
        <f t="shared" si="7"/>
        <v>0</v>
      </c>
      <c r="G77" s="46"/>
      <c r="H77" s="14"/>
    </row>
    <row r="78" spans="1:8" x14ac:dyDescent="0.2">
      <c r="A78" t="s">
        <v>94</v>
      </c>
      <c r="B78" t="s">
        <v>252</v>
      </c>
      <c r="C78" s="13">
        <f>IFERROR(VLOOKUP(B78,'BC Summary'!$B$3:$F$17,5,FALSE),0)</f>
        <v>8.4663015312913168E-5</v>
      </c>
      <c r="D78" s="46">
        <f t="shared" si="6"/>
        <v>0.20442308362379466</v>
      </c>
      <c r="E78" s="14">
        <f t="shared" si="7"/>
        <v>8.4663015312913244E-4</v>
      </c>
      <c r="G78" s="46"/>
      <c r="H78" s="14"/>
    </row>
    <row r="79" spans="1:8" x14ac:dyDescent="0.2">
      <c r="A79" t="s">
        <v>84</v>
      </c>
      <c r="B79" t="s">
        <v>253</v>
      </c>
      <c r="C79" s="13">
        <f>IFERROR(VLOOKUP(B79,'BC Summary'!$B$3:$F$17,5,FALSE),0)</f>
        <v>0</v>
      </c>
      <c r="D79" s="46">
        <f t="shared" si="6"/>
        <v>0</v>
      </c>
      <c r="E79" s="14">
        <f t="shared" si="7"/>
        <v>0</v>
      </c>
      <c r="G79" s="46"/>
      <c r="H79" s="14"/>
    </row>
    <row r="80" spans="1:8" x14ac:dyDescent="0.2">
      <c r="A80" t="s">
        <v>92</v>
      </c>
      <c r="B80" t="s">
        <v>197</v>
      </c>
      <c r="C80" s="13">
        <f>IFERROR(VLOOKUP(B80,'BC Summary'!$B$3:$F$17,5,FALSE),0)</f>
        <v>5.7543489271521909E-6</v>
      </c>
      <c r="D80" s="46">
        <f t="shared" si="6"/>
        <v>1.3894163202055335E-2</v>
      </c>
      <c r="E80" s="14">
        <f t="shared" si="7"/>
        <v>5.7543489271521967E-5</v>
      </c>
      <c r="G80" s="46"/>
      <c r="H80" s="14"/>
    </row>
    <row r="83" spans="1:12" ht="19" x14ac:dyDescent="0.25">
      <c r="A83" s="140" t="s">
        <v>1946</v>
      </c>
    </row>
    <row r="84" spans="1:12" x14ac:dyDescent="0.2">
      <c r="F84" s="546">
        <f>1-H84</f>
        <v>0.83299999999999996</v>
      </c>
      <c r="G84" s="547"/>
      <c r="H84" s="548">
        <v>0.16700000000000001</v>
      </c>
      <c r="I84" s="548"/>
    </row>
    <row r="85" spans="1:12" x14ac:dyDescent="0.2">
      <c r="F85" s="547" t="s">
        <v>335</v>
      </c>
      <c r="G85" s="547"/>
      <c r="H85" s="547" t="s">
        <v>382</v>
      </c>
      <c r="I85" s="547"/>
    </row>
    <row r="86" spans="1:12" ht="51" x14ac:dyDescent="0.2">
      <c r="A86" s="29" t="s">
        <v>209</v>
      </c>
      <c r="B86" s="29" t="s">
        <v>208</v>
      </c>
      <c r="C86" s="29" t="s">
        <v>237</v>
      </c>
      <c r="D86" s="29" t="s">
        <v>211</v>
      </c>
      <c r="E86" s="29" t="s">
        <v>212</v>
      </c>
      <c r="F86" s="29" t="s">
        <v>211</v>
      </c>
      <c r="G86" s="29" t="s">
        <v>212</v>
      </c>
      <c r="H86" s="29" t="s">
        <v>211</v>
      </c>
      <c r="I86" s="29" t="s">
        <v>212</v>
      </c>
    </row>
    <row r="87" spans="1:12" x14ac:dyDescent="0.2">
      <c r="A87" t="s">
        <v>100</v>
      </c>
      <c r="B87" t="s">
        <v>15</v>
      </c>
      <c r="C87">
        <v>8.0000000000000002E-3</v>
      </c>
      <c r="D87" s="13">
        <f>(C87*$B$34/1000000)*($B$28)</f>
        <v>4.4041392000000002E-4</v>
      </c>
      <c r="E87" s="13">
        <f>(C87*$B$35/1000000)*($B$28)</f>
        <v>1.8239999999999998E-6</v>
      </c>
      <c r="F87" s="13">
        <f>D87*$F$84</f>
        <v>3.6686479535999998E-4</v>
      </c>
      <c r="G87" s="13">
        <f>E87*$F$84</f>
        <v>1.5193919999999998E-6</v>
      </c>
      <c r="H87" s="13">
        <f>D87*$H$84</f>
        <v>7.3549124640000005E-5</v>
      </c>
      <c r="I87" s="13">
        <f>E87*$H$84</f>
        <v>3.0460799999999997E-7</v>
      </c>
      <c r="K87" s="13"/>
      <c r="L87" s="13"/>
    </row>
    <row r="88" spans="1:12" x14ac:dyDescent="0.2">
      <c r="A88" t="s">
        <v>105</v>
      </c>
      <c r="B88" t="s">
        <v>17</v>
      </c>
      <c r="C88">
        <v>1.7000000000000001E-2</v>
      </c>
      <c r="D88" s="13">
        <f t="shared" ref="D88:D101" si="8">(C88*$B$34/1000000)*($B$28)</f>
        <v>9.3587957999999999E-4</v>
      </c>
      <c r="E88" s="13">
        <f t="shared" ref="E88:E101" si="9">(C88*$B$35/1000000)*($B$28)</f>
        <v>3.8759999999999998E-6</v>
      </c>
      <c r="F88" s="13">
        <f t="shared" ref="F88:F101" si="10">D88*$F$84</f>
        <v>7.7958769013999993E-4</v>
      </c>
      <c r="G88" s="13">
        <f t="shared" ref="G88:G101" si="11">E88*$F$84</f>
        <v>3.2287079999999999E-6</v>
      </c>
      <c r="H88" s="13">
        <f t="shared" ref="H88:H101" si="12">D88*$H$84</f>
        <v>1.5629188986E-4</v>
      </c>
      <c r="I88" s="13">
        <f t="shared" ref="I88:I101" si="13">E88*$H$84</f>
        <v>6.4729200000000002E-7</v>
      </c>
      <c r="K88" s="13"/>
      <c r="L88" s="13"/>
    </row>
    <row r="89" spans="1:12" x14ac:dyDescent="0.2">
      <c r="A89" s="16">
        <v>401</v>
      </c>
      <c r="B89" t="s">
        <v>232</v>
      </c>
      <c r="C89">
        <v>1E-4</v>
      </c>
      <c r="D89" s="13">
        <f t="shared" si="8"/>
        <v>5.505174E-6</v>
      </c>
      <c r="E89" s="13">
        <f t="shared" si="9"/>
        <v>2.2799999999999999E-8</v>
      </c>
      <c r="F89" s="13">
        <f t="shared" si="10"/>
        <v>4.5858099420000001E-6</v>
      </c>
      <c r="G89" s="13">
        <f t="shared" si="11"/>
        <v>1.8992399999999997E-8</v>
      </c>
      <c r="H89" s="13">
        <f t="shared" si="12"/>
        <v>9.19364058E-7</v>
      </c>
      <c r="I89" s="13">
        <f t="shared" si="13"/>
        <v>3.8076E-9</v>
      </c>
      <c r="K89" s="13"/>
      <c r="L89" s="13"/>
    </row>
    <row r="90" spans="1:12" x14ac:dyDescent="0.2">
      <c r="A90" t="s">
        <v>192</v>
      </c>
      <c r="B90" t="s">
        <v>223</v>
      </c>
      <c r="C90">
        <v>1.1999999999999999E-6</v>
      </c>
      <c r="D90" s="13">
        <f t="shared" si="8"/>
        <v>6.6062088000000001E-8</v>
      </c>
      <c r="E90" s="13">
        <f t="shared" si="9"/>
        <v>2.7359999999999997E-10</v>
      </c>
      <c r="F90" s="13">
        <f t="shared" si="10"/>
        <v>5.5029719303999996E-8</v>
      </c>
      <c r="G90" s="13">
        <f t="shared" si="11"/>
        <v>2.2790879999999997E-10</v>
      </c>
      <c r="H90" s="13">
        <f t="shared" si="12"/>
        <v>1.1032368696E-8</v>
      </c>
      <c r="I90" s="13">
        <f t="shared" si="13"/>
        <v>4.5691199999999994E-11</v>
      </c>
      <c r="K90" s="13"/>
      <c r="L90" s="13"/>
    </row>
    <row r="91" spans="1:12" x14ac:dyDescent="0.2">
      <c r="A91" t="s">
        <v>107</v>
      </c>
      <c r="B91" t="s">
        <v>19</v>
      </c>
      <c r="C91">
        <v>2.9999999999999997E-4</v>
      </c>
      <c r="D91" s="13">
        <f t="shared" si="8"/>
        <v>1.6515521999999998E-5</v>
      </c>
      <c r="E91" s="13">
        <f t="shared" si="9"/>
        <v>6.839999999999999E-8</v>
      </c>
      <c r="F91" s="13">
        <f t="shared" si="10"/>
        <v>1.3757429825999998E-5</v>
      </c>
      <c r="G91" s="13">
        <f t="shared" si="11"/>
        <v>5.6977199999999992E-8</v>
      </c>
      <c r="H91" s="13">
        <f t="shared" si="12"/>
        <v>2.7580921739999997E-6</v>
      </c>
      <c r="I91" s="13">
        <f t="shared" si="13"/>
        <v>1.1422799999999998E-8</v>
      </c>
      <c r="K91" s="13"/>
      <c r="L91" s="13"/>
    </row>
    <row r="92" spans="1:12" x14ac:dyDescent="0.2">
      <c r="A92" t="s">
        <v>97</v>
      </c>
      <c r="B92" t="s">
        <v>13</v>
      </c>
      <c r="C92">
        <v>4.3E-3</v>
      </c>
      <c r="D92" s="13">
        <f t="shared" si="8"/>
        <v>2.3672248199999997E-4</v>
      </c>
      <c r="E92" s="13">
        <f t="shared" si="9"/>
        <v>9.8039999999999996E-7</v>
      </c>
      <c r="F92" s="13">
        <f t="shared" si="10"/>
        <v>1.9718982750599996E-4</v>
      </c>
      <c r="G92" s="13">
        <f t="shared" si="11"/>
        <v>8.1667319999999993E-7</v>
      </c>
      <c r="H92" s="13">
        <f t="shared" si="12"/>
        <v>3.9532654493999999E-5</v>
      </c>
      <c r="I92" s="13">
        <f t="shared" si="13"/>
        <v>1.6372680000000001E-7</v>
      </c>
      <c r="K92" s="13"/>
      <c r="L92" s="13"/>
    </row>
    <row r="93" spans="1:12" x14ac:dyDescent="0.2">
      <c r="A93" t="s">
        <v>98</v>
      </c>
      <c r="B93" t="s">
        <v>14</v>
      </c>
      <c r="C93">
        <v>2.7000000000000001E-3</v>
      </c>
      <c r="D93" s="13">
        <f t="shared" si="8"/>
        <v>1.4863969800000003E-4</v>
      </c>
      <c r="E93" s="13">
        <f t="shared" si="9"/>
        <v>6.1559999999999998E-7</v>
      </c>
      <c r="F93" s="13">
        <f t="shared" si="10"/>
        <v>1.2381686843400001E-4</v>
      </c>
      <c r="G93" s="13">
        <f t="shared" si="11"/>
        <v>5.1279479999999997E-7</v>
      </c>
      <c r="H93" s="13">
        <f t="shared" si="12"/>
        <v>2.4822829566000007E-5</v>
      </c>
      <c r="I93" s="13">
        <f t="shared" si="13"/>
        <v>1.028052E-7</v>
      </c>
      <c r="K93" s="13"/>
      <c r="L93" s="13"/>
    </row>
    <row r="94" spans="1:12" x14ac:dyDescent="0.2">
      <c r="A94" t="s">
        <v>99</v>
      </c>
      <c r="B94" t="s">
        <v>33</v>
      </c>
      <c r="C94">
        <v>18</v>
      </c>
      <c r="D94" s="13">
        <f t="shared" si="8"/>
        <v>0.99093132000000006</v>
      </c>
      <c r="E94" s="13">
        <f t="shared" si="9"/>
        <v>4.104E-3</v>
      </c>
      <c r="F94" s="13">
        <f t="shared" si="10"/>
        <v>0.82544578956000003</v>
      </c>
      <c r="G94" s="13">
        <f t="shared" si="11"/>
        <v>3.418632E-3</v>
      </c>
      <c r="H94" s="13">
        <f t="shared" si="12"/>
        <v>0.16548553044000003</v>
      </c>
      <c r="I94" s="13">
        <f t="shared" si="13"/>
        <v>6.85368E-4</v>
      </c>
      <c r="K94" s="13"/>
      <c r="L94" s="13"/>
    </row>
    <row r="95" spans="1:12" x14ac:dyDescent="0.2">
      <c r="A95" t="s">
        <v>95</v>
      </c>
      <c r="B95" t="s">
        <v>222</v>
      </c>
      <c r="C95">
        <v>4.4000000000000003E-3</v>
      </c>
      <c r="D95" s="13">
        <f t="shared" si="8"/>
        <v>2.4222765600000003E-4</v>
      </c>
      <c r="E95" s="13">
        <f t="shared" si="9"/>
        <v>1.0032E-6</v>
      </c>
      <c r="F95" s="13">
        <f t="shared" si="10"/>
        <v>2.0177563744800002E-4</v>
      </c>
      <c r="G95" s="13">
        <f t="shared" si="11"/>
        <v>8.3566559999999994E-7</v>
      </c>
      <c r="H95" s="13">
        <f t="shared" si="12"/>
        <v>4.0452018552000009E-5</v>
      </c>
      <c r="I95" s="13">
        <f t="shared" si="13"/>
        <v>1.6753440000000002E-7</v>
      </c>
      <c r="K95" s="13"/>
      <c r="L95" s="13"/>
    </row>
    <row r="96" spans="1:12" x14ac:dyDescent="0.2">
      <c r="A96" t="s">
        <v>103</v>
      </c>
      <c r="B96" t="s">
        <v>32</v>
      </c>
      <c r="C96">
        <v>9.4999999999999998E-3</v>
      </c>
      <c r="D96" s="13">
        <f t="shared" si="8"/>
        <v>5.2299153000000004E-4</v>
      </c>
      <c r="E96" s="13">
        <f t="shared" si="9"/>
        <v>2.1659999999999997E-6</v>
      </c>
      <c r="F96" s="13">
        <f t="shared" si="10"/>
        <v>4.3565194449E-4</v>
      </c>
      <c r="G96" s="13">
        <f t="shared" si="11"/>
        <v>1.8042779999999996E-6</v>
      </c>
      <c r="H96" s="13">
        <f t="shared" si="12"/>
        <v>8.7339585510000007E-5</v>
      </c>
      <c r="I96" s="13">
        <f t="shared" si="13"/>
        <v>3.6172199999999999E-7</v>
      </c>
      <c r="K96" s="13"/>
      <c r="L96" s="13"/>
    </row>
    <row r="97" spans="1:12" x14ac:dyDescent="0.2">
      <c r="A97" t="s">
        <v>106</v>
      </c>
      <c r="B97" t="s">
        <v>18</v>
      </c>
      <c r="C97">
        <v>6.3E-3</v>
      </c>
      <c r="D97" s="13">
        <f t="shared" si="8"/>
        <v>3.4682596200000005E-4</v>
      </c>
      <c r="E97" s="13">
        <f t="shared" si="9"/>
        <v>1.4363999999999999E-6</v>
      </c>
      <c r="F97" s="13">
        <f t="shared" si="10"/>
        <v>2.8890602634600005E-4</v>
      </c>
      <c r="G97" s="13">
        <f t="shared" si="11"/>
        <v>1.1965211999999999E-6</v>
      </c>
      <c r="H97" s="13">
        <f t="shared" si="12"/>
        <v>5.791993565400001E-5</v>
      </c>
      <c r="I97" s="13">
        <f t="shared" si="13"/>
        <v>2.3987879999999999E-7</v>
      </c>
      <c r="K97" s="13"/>
      <c r="L97" s="13"/>
    </row>
    <row r="98" spans="1:12" x14ac:dyDescent="0.2">
      <c r="A98" t="s">
        <v>90</v>
      </c>
      <c r="B98" t="s">
        <v>230</v>
      </c>
      <c r="C98">
        <v>2.5999999999999998E-4</v>
      </c>
      <c r="D98" s="13">
        <f t="shared" si="8"/>
        <v>1.4313452399999998E-5</v>
      </c>
      <c r="E98" s="13">
        <f t="shared" si="9"/>
        <v>5.9279999999999999E-8</v>
      </c>
      <c r="F98" s="13">
        <f t="shared" si="10"/>
        <v>1.1923105849199998E-5</v>
      </c>
      <c r="G98" s="13">
        <f t="shared" si="11"/>
        <v>4.938024E-8</v>
      </c>
      <c r="H98" s="13">
        <f t="shared" si="12"/>
        <v>2.3903465507999996E-6</v>
      </c>
      <c r="I98" s="13">
        <f t="shared" si="13"/>
        <v>9.8997600000000006E-9</v>
      </c>
      <c r="K98" s="13"/>
      <c r="L98" s="13"/>
    </row>
    <row r="99" spans="1:12" x14ac:dyDescent="0.2">
      <c r="A99" t="s">
        <v>96</v>
      </c>
      <c r="B99" t="s">
        <v>196</v>
      </c>
      <c r="C99">
        <v>1.65E-3</v>
      </c>
      <c r="D99" s="13">
        <f t="shared" si="8"/>
        <v>9.0835371000000002E-5</v>
      </c>
      <c r="E99" s="13">
        <f t="shared" si="9"/>
        <v>3.7619999999999999E-7</v>
      </c>
      <c r="F99" s="13">
        <f t="shared" si="10"/>
        <v>7.5665864042999992E-5</v>
      </c>
      <c r="G99" s="13">
        <f t="shared" si="11"/>
        <v>3.1337459999999996E-7</v>
      </c>
      <c r="H99" s="13">
        <f t="shared" si="12"/>
        <v>1.5169506957000002E-5</v>
      </c>
      <c r="I99" s="13">
        <f t="shared" si="13"/>
        <v>6.2825400000000004E-8</v>
      </c>
      <c r="K99" s="13"/>
      <c r="L99" s="13"/>
    </row>
    <row r="100" spans="1:12" x14ac:dyDescent="0.2">
      <c r="A100" t="s">
        <v>109</v>
      </c>
      <c r="B100" t="s">
        <v>21</v>
      </c>
      <c r="C100">
        <v>3.6600000000000001E-2</v>
      </c>
      <c r="D100" s="13">
        <f t="shared" si="8"/>
        <v>2.0148936840000001E-3</v>
      </c>
      <c r="E100" s="13">
        <f t="shared" si="9"/>
        <v>8.3448000000000001E-6</v>
      </c>
      <c r="F100" s="13">
        <f t="shared" si="10"/>
        <v>1.678406438772E-3</v>
      </c>
      <c r="G100" s="13">
        <f t="shared" si="11"/>
        <v>6.9512183999999994E-6</v>
      </c>
      <c r="H100" s="13">
        <f t="shared" si="12"/>
        <v>3.3648724522800002E-4</v>
      </c>
      <c r="I100" s="13">
        <f t="shared" si="13"/>
        <v>1.3935816E-6</v>
      </c>
      <c r="K100" s="13"/>
      <c r="L100" s="13"/>
    </row>
    <row r="101" spans="1:12" x14ac:dyDescent="0.2">
      <c r="A101" t="s">
        <v>111</v>
      </c>
      <c r="B101" t="s">
        <v>234</v>
      </c>
      <c r="C101">
        <v>2.7199999999999998E-2</v>
      </c>
      <c r="D101" s="13">
        <f t="shared" si="8"/>
        <v>1.4974073279999999E-3</v>
      </c>
      <c r="E101" s="13">
        <f t="shared" si="9"/>
        <v>6.2015999999999992E-6</v>
      </c>
      <c r="F101" s="13">
        <f t="shared" si="10"/>
        <v>1.2473403042239997E-3</v>
      </c>
      <c r="G101" s="13">
        <f t="shared" si="11"/>
        <v>5.1659327999999995E-6</v>
      </c>
      <c r="H101" s="13">
        <f t="shared" si="12"/>
        <v>2.5006702377599997E-4</v>
      </c>
      <c r="I101" s="13">
        <f t="shared" si="13"/>
        <v>1.0356671999999999E-6</v>
      </c>
      <c r="K101" s="13"/>
      <c r="L101" s="13"/>
    </row>
    <row r="111" spans="1:12" ht="19" x14ac:dyDescent="0.25">
      <c r="A111" s="140" t="s">
        <v>391</v>
      </c>
    </row>
    <row r="113" spans="1:5" x14ac:dyDescent="0.2">
      <c r="D113" t="s">
        <v>400</v>
      </c>
    </row>
    <row r="114" spans="1:5" ht="34" x14ac:dyDescent="0.2">
      <c r="A114" s="29" t="s">
        <v>209</v>
      </c>
      <c r="B114" s="29" t="s">
        <v>208</v>
      </c>
      <c r="C114" s="29" t="s">
        <v>237</v>
      </c>
      <c r="D114" s="29" t="s">
        <v>211</v>
      </c>
      <c r="E114" s="29" t="s">
        <v>212</v>
      </c>
    </row>
    <row r="115" spans="1:5" x14ac:dyDescent="0.2">
      <c r="A115" t="s">
        <v>100</v>
      </c>
      <c r="B115" t="s">
        <v>15</v>
      </c>
      <c r="C115">
        <v>8.0000000000000002E-3</v>
      </c>
      <c r="D115" s="13">
        <f>(C115*$B$34/1000000)*(1-$B$28)</f>
        <v>2.3179680000000023E-5</v>
      </c>
      <c r="E115" s="13">
        <f>(C115*$B$35/1000000)*(1-$B$28)</f>
        <v>9.6000000000000079E-8</v>
      </c>
    </row>
    <row r="116" spans="1:5" x14ac:dyDescent="0.2">
      <c r="A116" t="s">
        <v>105</v>
      </c>
      <c r="B116" t="s">
        <v>17</v>
      </c>
      <c r="C116">
        <v>1.7000000000000001E-2</v>
      </c>
      <c r="D116" s="13">
        <f t="shared" ref="D116:D129" si="14">(C116*$B$34/1000000)*(1-$B$28)</f>
        <v>4.9256820000000048E-5</v>
      </c>
      <c r="E116" s="13">
        <f t="shared" ref="E116:E129" si="15">(C116*$B$35/1000000)*(1-$B$28)</f>
        <v>2.0400000000000019E-7</v>
      </c>
    </row>
    <row r="117" spans="1:5" x14ac:dyDescent="0.2">
      <c r="A117" s="16">
        <v>401</v>
      </c>
      <c r="B117" t="s">
        <v>232</v>
      </c>
      <c r="C117">
        <v>1E-4</v>
      </c>
      <c r="D117" s="13">
        <f t="shared" si="14"/>
        <v>2.8974600000000027E-7</v>
      </c>
      <c r="E117" s="13">
        <f t="shared" si="15"/>
        <v>1.200000000000001E-9</v>
      </c>
    </row>
    <row r="118" spans="1:5" x14ac:dyDescent="0.2">
      <c r="A118" t="s">
        <v>192</v>
      </c>
      <c r="B118" t="s">
        <v>223</v>
      </c>
      <c r="C118">
        <v>1.1999999999999999E-6</v>
      </c>
      <c r="D118" s="13">
        <f t="shared" si="14"/>
        <v>3.4769520000000028E-9</v>
      </c>
      <c r="E118" s="13">
        <f t="shared" si="15"/>
        <v>1.4400000000000013E-11</v>
      </c>
    </row>
    <row r="119" spans="1:5" x14ac:dyDescent="0.2">
      <c r="A119" t="s">
        <v>107</v>
      </c>
      <c r="B119" t="s">
        <v>19</v>
      </c>
      <c r="C119">
        <v>2.9999999999999997E-4</v>
      </c>
      <c r="D119" s="13">
        <f t="shared" si="14"/>
        <v>8.6923800000000081E-7</v>
      </c>
      <c r="E119" s="13">
        <f t="shared" si="15"/>
        <v>3.6000000000000029E-9</v>
      </c>
    </row>
    <row r="120" spans="1:5" x14ac:dyDescent="0.2">
      <c r="A120" t="s">
        <v>97</v>
      </c>
      <c r="B120" t="s">
        <v>13</v>
      </c>
      <c r="C120">
        <v>4.3E-3</v>
      </c>
      <c r="D120" s="13">
        <f t="shared" si="14"/>
        <v>1.2459078000000011E-5</v>
      </c>
      <c r="E120" s="13">
        <f t="shared" si="15"/>
        <v>5.1600000000000045E-8</v>
      </c>
    </row>
    <row r="121" spans="1:5" x14ac:dyDescent="0.2">
      <c r="A121" t="s">
        <v>98</v>
      </c>
      <c r="B121" t="s">
        <v>14</v>
      </c>
      <c r="C121">
        <v>2.7000000000000001E-3</v>
      </c>
      <c r="D121" s="13">
        <f t="shared" si="14"/>
        <v>7.8231420000000097E-6</v>
      </c>
      <c r="E121" s="13">
        <f t="shared" si="15"/>
        <v>3.2400000000000025E-8</v>
      </c>
    </row>
    <row r="122" spans="1:5" x14ac:dyDescent="0.2">
      <c r="A122" t="s">
        <v>99</v>
      </c>
      <c r="B122" t="s">
        <v>33</v>
      </c>
      <c r="C122">
        <v>18</v>
      </c>
      <c r="D122" s="13">
        <f t="shared" si="14"/>
        <v>5.2154280000000053E-2</v>
      </c>
      <c r="E122" s="13">
        <f t="shared" si="15"/>
        <v>2.1600000000000018E-4</v>
      </c>
    </row>
    <row r="123" spans="1:5" x14ac:dyDescent="0.2">
      <c r="A123" t="s">
        <v>95</v>
      </c>
      <c r="B123" t="s">
        <v>222</v>
      </c>
      <c r="C123">
        <v>4.4000000000000003E-3</v>
      </c>
      <c r="D123" s="13">
        <f t="shared" si="14"/>
        <v>1.2748824000000013E-5</v>
      </c>
      <c r="E123" s="13">
        <f t="shared" si="15"/>
        <v>5.2800000000000056E-8</v>
      </c>
    </row>
    <row r="124" spans="1:5" x14ac:dyDescent="0.2">
      <c r="A124" t="s">
        <v>103</v>
      </c>
      <c r="B124" t="s">
        <v>32</v>
      </c>
      <c r="C124">
        <v>9.4999999999999998E-3</v>
      </c>
      <c r="D124" s="13">
        <f t="shared" si="14"/>
        <v>2.7525870000000029E-5</v>
      </c>
      <c r="E124" s="13">
        <f t="shared" si="15"/>
        <v>1.1400000000000009E-7</v>
      </c>
    </row>
    <row r="125" spans="1:5" x14ac:dyDescent="0.2">
      <c r="A125" t="s">
        <v>106</v>
      </c>
      <c r="B125" t="s">
        <v>18</v>
      </c>
      <c r="C125">
        <v>6.3E-3</v>
      </c>
      <c r="D125" s="13">
        <f t="shared" si="14"/>
        <v>1.825399800000002E-5</v>
      </c>
      <c r="E125" s="13">
        <f t="shared" si="15"/>
        <v>7.5600000000000068E-8</v>
      </c>
    </row>
    <row r="126" spans="1:5" x14ac:dyDescent="0.2">
      <c r="A126" t="s">
        <v>90</v>
      </c>
      <c r="B126" t="s">
        <v>230</v>
      </c>
      <c r="C126">
        <v>2.5999999999999998E-4</v>
      </c>
      <c r="D126" s="13">
        <f t="shared" si="14"/>
        <v>7.5333960000000066E-7</v>
      </c>
      <c r="E126" s="13">
        <f t="shared" si="15"/>
        <v>3.1200000000000029E-9</v>
      </c>
    </row>
    <row r="127" spans="1:5" x14ac:dyDescent="0.2">
      <c r="A127" t="s">
        <v>96</v>
      </c>
      <c r="B127" t="s">
        <v>196</v>
      </c>
      <c r="C127">
        <v>1.65E-3</v>
      </c>
      <c r="D127" s="13">
        <f t="shared" si="14"/>
        <v>4.7808090000000039E-6</v>
      </c>
      <c r="E127" s="13">
        <f t="shared" si="15"/>
        <v>1.9800000000000018E-8</v>
      </c>
    </row>
    <row r="128" spans="1:5" x14ac:dyDescent="0.2">
      <c r="A128" t="s">
        <v>109</v>
      </c>
      <c r="B128" t="s">
        <v>21</v>
      </c>
      <c r="C128">
        <v>3.6600000000000001E-2</v>
      </c>
      <c r="D128" s="13">
        <f t="shared" si="14"/>
        <v>1.060470360000001E-4</v>
      </c>
      <c r="E128" s="13">
        <f t="shared" si="15"/>
        <v>4.3920000000000044E-7</v>
      </c>
    </row>
    <row r="129" spans="1:5" x14ac:dyDescent="0.2">
      <c r="A129" t="s">
        <v>111</v>
      </c>
      <c r="B129" t="s">
        <v>234</v>
      </c>
      <c r="C129">
        <v>2.7199999999999998E-2</v>
      </c>
      <c r="D129" s="13">
        <f t="shared" si="14"/>
        <v>7.8810912000000069E-5</v>
      </c>
      <c r="E129" s="13">
        <f t="shared" si="15"/>
        <v>3.2640000000000022E-7</v>
      </c>
    </row>
    <row r="143" spans="1:5" x14ac:dyDescent="0.2">
      <c r="D143" s="13"/>
      <c r="E143" s="13"/>
    </row>
    <row r="144" spans="1:5" x14ac:dyDescent="0.2">
      <c r="D144" s="13"/>
      <c r="E144" s="13"/>
    </row>
  </sheetData>
  <sheetProtection algorithmName="SHA-512" hashValue="/39ZAkT3SfkDYOMw95uPtJD/JVc5Xy0RQpgl2s13Fe73W2IiLgD456niEC/RvEnj+FpIVYHo7yI9I3ZCioRIBA==" saltValue="/xoFqRE71EM0k6l7GMAQUA==" spinCount="100000" sheet="1" objects="1" scenarios="1"/>
  <mergeCells count="8">
    <mergeCell ref="F40:G40"/>
    <mergeCell ref="H40:I40"/>
    <mergeCell ref="F39:G39"/>
    <mergeCell ref="H39:I39"/>
    <mergeCell ref="F85:G85"/>
    <mergeCell ref="H85:I85"/>
    <mergeCell ref="F84:G84"/>
    <mergeCell ref="H84:I84"/>
  </mergeCells>
  <phoneticPr fontId="19" type="noConversion"/>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A6691-B373-0846-A8CB-C1ECCF1ED3C3}">
  <sheetPr codeName="Sheet31">
    <tabColor rgb="FF00B050"/>
  </sheetPr>
  <dimension ref="A1:AX97"/>
  <sheetViews>
    <sheetView topLeftCell="A69" workbookViewId="0">
      <selection activeCell="I11" sqref="I11"/>
    </sheetView>
  </sheetViews>
  <sheetFormatPr baseColWidth="10" defaultColWidth="11" defaultRowHeight="16" x14ac:dyDescent="0.2"/>
  <cols>
    <col min="1" max="1" width="33.33203125" style="516" customWidth="1"/>
    <col min="2" max="2" width="28.6640625" customWidth="1"/>
    <col min="3" max="6" width="12.5" customWidth="1"/>
  </cols>
  <sheetData>
    <row r="1" spans="1:3" ht="19" x14ac:dyDescent="0.25">
      <c r="A1" s="520" t="s">
        <v>198</v>
      </c>
      <c r="B1" s="139"/>
    </row>
    <row r="2" spans="1:3" ht="19" x14ac:dyDescent="0.25">
      <c r="A2" s="520" t="s">
        <v>385</v>
      </c>
    </row>
    <row r="4" spans="1:3" x14ac:dyDescent="0.2">
      <c r="B4" s="26" t="s">
        <v>199</v>
      </c>
      <c r="C4" t="s">
        <v>2</v>
      </c>
    </row>
    <row r="5" spans="1:3" x14ac:dyDescent="0.2">
      <c r="B5" s="26" t="s">
        <v>266</v>
      </c>
      <c r="C5" t="s">
        <v>271</v>
      </c>
    </row>
    <row r="6" spans="1:3" x14ac:dyDescent="0.2">
      <c r="B6" s="26" t="s">
        <v>201</v>
      </c>
      <c r="C6" t="s">
        <v>1950</v>
      </c>
    </row>
    <row r="7" spans="1:3" x14ac:dyDescent="0.2">
      <c r="A7" s="526"/>
    </row>
    <row r="8" spans="1:3" x14ac:dyDescent="0.2">
      <c r="A8" s="526"/>
    </row>
    <row r="9" spans="1:3" x14ac:dyDescent="0.2">
      <c r="A9" s="526"/>
    </row>
    <row r="10" spans="1:3" x14ac:dyDescent="0.2">
      <c r="A10" s="526"/>
    </row>
    <row r="11" spans="1:3" x14ac:dyDescent="0.2">
      <c r="A11" s="526"/>
    </row>
    <row r="13" spans="1:3" ht="19" x14ac:dyDescent="0.25">
      <c r="A13" s="521" t="s">
        <v>204</v>
      </c>
    </row>
    <row r="15" spans="1:3" x14ac:dyDescent="0.2">
      <c r="A15" s="516" t="s">
        <v>386</v>
      </c>
    </row>
    <row r="17" spans="1:50" x14ac:dyDescent="0.2">
      <c r="A17" s="527" t="s">
        <v>1796</v>
      </c>
      <c r="B17" s="26">
        <v>20.85</v>
      </c>
      <c r="C17" s="149" t="s">
        <v>704</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x14ac:dyDescent="0.2">
      <c r="A18" s="527" t="s">
        <v>1797</v>
      </c>
      <c r="B18" s="26">
        <v>6.66</v>
      </c>
      <c r="C18" s="149" t="s">
        <v>274</v>
      </c>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x14ac:dyDescent="0.2">
      <c r="A19" s="515" t="s">
        <v>272</v>
      </c>
      <c r="B19" s="26">
        <v>0.35</v>
      </c>
      <c r="C19" s="149" t="s">
        <v>1812</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x14ac:dyDescent="0.2">
      <c r="A20" s="515" t="s">
        <v>49</v>
      </c>
      <c r="B20" s="26">
        <v>0.92</v>
      </c>
      <c r="C20" s="16" t="s">
        <v>273</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x14ac:dyDescent="0.2">
      <c r="A21" s="515" t="s">
        <v>1798</v>
      </c>
      <c r="B21" s="148">
        <f>$B$19*0.0032*(((B17/5)^1.3)/(($B$20/2)^1.4))</f>
        <v>2.1258564238347155E-2</v>
      </c>
      <c r="C21" s="16" t="s">
        <v>149</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x14ac:dyDescent="0.2">
      <c r="A22" s="515" t="s">
        <v>1799</v>
      </c>
      <c r="B22" s="148">
        <f>$B$19*0.0032*(((B18/5)^1.3)/(($B$20/2)^1.4))</f>
        <v>4.821837282428027E-3</v>
      </c>
      <c r="C22" s="16" t="s">
        <v>149</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x14ac:dyDescent="0.2">
      <c r="A23" s="515" t="s">
        <v>285</v>
      </c>
      <c r="B23" s="152">
        <v>0.1</v>
      </c>
      <c r="C23" s="16" t="s">
        <v>286</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x14ac:dyDescent="0.2">
      <c r="A24" s="515" t="s">
        <v>281</v>
      </c>
      <c r="B24" s="153">
        <f>B23*Tabl_B2_Melt_Shop!B41</f>
        <v>370</v>
      </c>
      <c r="C24" s="16" t="s">
        <v>283</v>
      </c>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x14ac:dyDescent="0.2">
      <c r="A25" s="515" t="s">
        <v>282</v>
      </c>
      <c r="B25" s="154">
        <f>B23*Tabl_B2_Melt_Shop!B42</f>
        <v>72000</v>
      </c>
      <c r="C25" s="16" t="s">
        <v>284</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7" spans="1:50" x14ac:dyDescent="0.2">
      <c r="A27" s="516" t="s">
        <v>387</v>
      </c>
    </row>
    <row r="29" spans="1:50" x14ac:dyDescent="0.2">
      <c r="A29" s="527" t="s">
        <v>1796</v>
      </c>
      <c r="B29" s="26">
        <v>20.85</v>
      </c>
      <c r="C29" s="149" t="s">
        <v>704</v>
      </c>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x14ac:dyDescent="0.2">
      <c r="A30" s="527" t="s">
        <v>1797</v>
      </c>
      <c r="B30" s="26">
        <v>6.66</v>
      </c>
      <c r="C30" s="149" t="s">
        <v>274</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x14ac:dyDescent="0.2">
      <c r="A31" s="515" t="s">
        <v>272</v>
      </c>
      <c r="B31" s="26">
        <v>0.35</v>
      </c>
      <c r="C31" s="149" t="s">
        <v>1812</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x14ac:dyDescent="0.2">
      <c r="A32" s="515" t="s">
        <v>49</v>
      </c>
      <c r="B32" s="151">
        <f>AVERAGE(5.69,4.47,6.8)</f>
        <v>5.6533333333333333</v>
      </c>
      <c r="C32" s="16" t="s">
        <v>329</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x14ac:dyDescent="0.2">
      <c r="A33" s="515" t="s">
        <v>1798</v>
      </c>
      <c r="B33" s="148">
        <f>($B$31*0.0032*(((B29/5)^1.3)/(($B$32/2)^1.4)))</f>
        <v>1.6734412019438962E-3</v>
      </c>
      <c r="C33" s="16" t="s">
        <v>149</v>
      </c>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x14ac:dyDescent="0.2">
      <c r="A34" s="515" t="s">
        <v>1799</v>
      </c>
      <c r="B34" s="148">
        <f>($B$31*0.0032*(((B30/5)^1.3)/(($B$32/2)^1.4)))</f>
        <v>3.7956755155312466E-4</v>
      </c>
      <c r="C34" s="16" t="s">
        <v>149</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x14ac:dyDescent="0.2">
      <c r="A35" s="515" t="s">
        <v>285</v>
      </c>
      <c r="B35" s="152">
        <v>0.1</v>
      </c>
      <c r="C35" s="16" t="s">
        <v>286</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x14ac:dyDescent="0.2">
      <c r="A36" s="515" t="s">
        <v>281</v>
      </c>
      <c r="B36" s="153">
        <f>B24</f>
        <v>370</v>
      </c>
      <c r="C36" s="16" t="s">
        <v>283</v>
      </c>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x14ac:dyDescent="0.2">
      <c r="A37" s="515" t="s">
        <v>282</v>
      </c>
      <c r="B37" s="154">
        <f>B25</f>
        <v>72000</v>
      </c>
      <c r="C37" s="16" t="s">
        <v>284</v>
      </c>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9" spans="1:50" x14ac:dyDescent="0.2">
      <c r="A39" s="515" t="s">
        <v>1795</v>
      </c>
      <c r="B39" s="25">
        <f>B33+B21</f>
        <v>2.2932005440291052E-2</v>
      </c>
      <c r="C39" s="16" t="s">
        <v>149</v>
      </c>
    </row>
    <row r="40" spans="1:50" x14ac:dyDescent="0.2">
      <c r="A40" s="515" t="s">
        <v>1802</v>
      </c>
      <c r="B40" s="25">
        <f>B34+B22</f>
        <v>5.2014048339811512E-3</v>
      </c>
      <c r="C40" s="16" t="s">
        <v>149</v>
      </c>
    </row>
    <row r="41" spans="1:50" x14ac:dyDescent="0.2">
      <c r="A41" s="515"/>
      <c r="B41" s="25"/>
      <c r="C41" s="16"/>
    </row>
    <row r="43" spans="1:50" x14ac:dyDescent="0.2">
      <c r="A43" s="516" t="s">
        <v>288</v>
      </c>
    </row>
    <row r="45" spans="1:50" x14ac:dyDescent="0.2">
      <c r="A45" s="516" t="s">
        <v>185</v>
      </c>
      <c r="B45" s="12">
        <f>B36</f>
        <v>370</v>
      </c>
      <c r="C45" t="s">
        <v>176</v>
      </c>
    </row>
    <row r="46" spans="1:50" x14ac:dyDescent="0.2">
      <c r="B46" s="12">
        <f>B37</f>
        <v>72000</v>
      </c>
      <c r="C46" t="s">
        <v>177</v>
      </c>
    </row>
    <row r="48" spans="1:50" x14ac:dyDescent="0.2">
      <c r="A48" s="516" t="s">
        <v>186</v>
      </c>
      <c r="B48">
        <v>132</v>
      </c>
      <c r="C48" t="s">
        <v>178</v>
      </c>
    </row>
    <row r="50" spans="1:9" x14ac:dyDescent="0.2">
      <c r="A50" s="516" t="s">
        <v>187</v>
      </c>
      <c r="B50">
        <v>675</v>
      </c>
      <c r="C50" t="s">
        <v>289</v>
      </c>
      <c r="D50" t="s">
        <v>184</v>
      </c>
    </row>
    <row r="51" spans="1:9" x14ac:dyDescent="0.2">
      <c r="A51" s="516" t="s">
        <v>179</v>
      </c>
      <c r="B51">
        <v>0.25</v>
      </c>
      <c r="C51" t="s">
        <v>180</v>
      </c>
      <c r="D51" t="s">
        <v>184</v>
      </c>
    </row>
    <row r="53" spans="1:9" x14ac:dyDescent="0.2">
      <c r="I53" s="138"/>
    </row>
    <row r="54" spans="1:9" x14ac:dyDescent="0.2">
      <c r="A54" s="516" t="s">
        <v>291</v>
      </c>
      <c r="B54" s="132">
        <f>B50*B51*B48</f>
        <v>22275</v>
      </c>
      <c r="C54" t="s">
        <v>290</v>
      </c>
      <c r="I54" s="137"/>
    </row>
    <row r="55" spans="1:9" x14ac:dyDescent="0.2">
      <c r="I55" s="136"/>
    </row>
    <row r="56" spans="1:9" x14ac:dyDescent="0.2">
      <c r="A56" s="516" t="s">
        <v>292</v>
      </c>
      <c r="B56" s="47">
        <f>B54/B45</f>
        <v>60.202702702702702</v>
      </c>
      <c r="C56" t="s">
        <v>294</v>
      </c>
      <c r="I56" s="136"/>
    </row>
    <row r="57" spans="1:9" x14ac:dyDescent="0.2">
      <c r="I57" s="136"/>
    </row>
    <row r="58" spans="1:9" x14ac:dyDescent="0.2">
      <c r="A58" s="516" t="s">
        <v>183</v>
      </c>
      <c r="B58" s="133">
        <v>0.75</v>
      </c>
      <c r="C58" t="s">
        <v>293</v>
      </c>
      <c r="I58" s="136"/>
    </row>
    <row r="59" spans="1:9" x14ac:dyDescent="0.2">
      <c r="B59" s="133"/>
      <c r="I59" s="136"/>
    </row>
    <row r="60" spans="1:9" x14ac:dyDescent="0.2">
      <c r="A60" s="516" t="s">
        <v>181</v>
      </c>
      <c r="B60" s="155">
        <v>2.8E-3</v>
      </c>
      <c r="C60" t="s">
        <v>182</v>
      </c>
      <c r="D60" t="s">
        <v>313</v>
      </c>
      <c r="I60" s="138"/>
    </row>
    <row r="61" spans="1:9" x14ac:dyDescent="0.2">
      <c r="B61" s="133"/>
      <c r="I61" s="136"/>
    </row>
    <row r="62" spans="1:9" x14ac:dyDescent="0.2">
      <c r="A62" s="516" t="s">
        <v>295</v>
      </c>
      <c r="B62" s="46">
        <f>B56*B60*(34.1/32)*(1-B58)</f>
        <v>4.4907453547297298E-2</v>
      </c>
      <c r="C62" t="s">
        <v>296</v>
      </c>
    </row>
    <row r="64" spans="1:9" ht="19" x14ac:dyDescent="0.25">
      <c r="A64" s="521" t="s">
        <v>388</v>
      </c>
    </row>
    <row r="66" spans="1:10" ht="34" x14ac:dyDescent="0.2">
      <c r="A66" s="522" t="s">
        <v>209</v>
      </c>
      <c r="B66" s="29" t="s">
        <v>208</v>
      </c>
      <c r="C66" s="29" t="s">
        <v>1800</v>
      </c>
      <c r="D66" s="29" t="s">
        <v>1801</v>
      </c>
      <c r="E66" s="29" t="s">
        <v>211</v>
      </c>
      <c r="F66" s="29" t="s">
        <v>212</v>
      </c>
    </row>
    <row r="67" spans="1:10" x14ac:dyDescent="0.2">
      <c r="A67" s="516" t="s">
        <v>82</v>
      </c>
      <c r="B67" t="s">
        <v>245</v>
      </c>
      <c r="C67" s="13">
        <f>IFERROR(VLOOKUP(B67,SlagComposition!$B$7:$D$24,3,FALSE),0)*$B$40</f>
        <v>7.8021072509717269E-5</v>
      </c>
      <c r="D67" s="13">
        <f>IFERROR(VLOOKUP(B67,SlagComposition!$B$7:$D$24,3,FALSE),0)*$B$39</f>
        <v>3.4398008160436576E-4</v>
      </c>
      <c r="E67" s="13">
        <f>C67*$B$25</f>
        <v>5.6175172206996438</v>
      </c>
      <c r="F67" s="13">
        <f>D67*$B$24</f>
        <v>0.12727263019361534</v>
      </c>
      <c r="H67" s="11"/>
      <c r="I67" s="11"/>
      <c r="J67" s="13"/>
    </row>
    <row r="68" spans="1:10" x14ac:dyDescent="0.2">
      <c r="A68" s="516" t="s">
        <v>89</v>
      </c>
      <c r="B68" t="s">
        <v>213</v>
      </c>
      <c r="C68" s="13">
        <f>IFERROR(VLOOKUP(B68,SlagComposition!$B$7:$D$24,3,FALSE),0)*$B$40</f>
        <v>1.5084074018545339E-4</v>
      </c>
      <c r="D68" s="13">
        <f>IFERROR(VLOOKUP(B68,SlagComposition!$B$7:$D$24,3,FALSE),0)*$B$39</f>
        <v>6.6502815776844058E-4</v>
      </c>
      <c r="E68" s="13">
        <f t="shared" ref="E68:E87" si="0">C68*$B$25</f>
        <v>10.860533293352644</v>
      </c>
      <c r="F68" s="13">
        <f t="shared" ref="F68:F84" si="1">D68*$B$24</f>
        <v>0.24606041837432302</v>
      </c>
      <c r="H68" s="11"/>
      <c r="I68" s="11"/>
    </row>
    <row r="69" spans="1:10" x14ac:dyDescent="0.2">
      <c r="A69" s="516" t="s">
        <v>193</v>
      </c>
      <c r="B69" t="s">
        <v>276</v>
      </c>
      <c r="C69" s="13">
        <f>IFERROR(VLOOKUP(B69,SlagComposition!$B$7:$D$24,3,FALSE),0)*$B$40</f>
        <v>1.9765338369128376E-9</v>
      </c>
      <c r="D69" s="13">
        <f>IFERROR(VLOOKUP(B69,SlagComposition!$B$7:$D$24,3,FALSE),0)*$B$39</f>
        <v>8.7141620673105996E-9</v>
      </c>
      <c r="E69" s="13">
        <f t="shared" si="0"/>
        <v>1.4231043625772432E-4</v>
      </c>
      <c r="F69" s="13">
        <f t="shared" si="1"/>
        <v>3.2242399649049218E-6</v>
      </c>
      <c r="G69" s="141"/>
      <c r="H69" s="11"/>
      <c r="I69" s="11"/>
    </row>
    <row r="70" spans="1:10" x14ac:dyDescent="0.2">
      <c r="A70" s="515" t="s">
        <v>85</v>
      </c>
      <c r="B70" t="s">
        <v>215</v>
      </c>
      <c r="C70" s="13">
        <f>IFERROR(VLOOKUP(B70,SlagComposition!$B$7:$D$24,3,FALSE),0)*$B$40</f>
        <v>5.7215453173792668E-10</v>
      </c>
      <c r="D70" s="13">
        <f>IFERROR(VLOOKUP(B70,SlagComposition!$B$7:$D$24,3,FALSE),0)*$B$39</f>
        <v>2.5225205984320157E-9</v>
      </c>
      <c r="E70" s="13">
        <f t="shared" si="0"/>
        <v>4.1195126285130723E-5</v>
      </c>
      <c r="F70" s="13">
        <f t="shared" si="1"/>
        <v>9.3333262141984584E-7</v>
      </c>
      <c r="H70" s="11"/>
      <c r="I70" s="11"/>
    </row>
    <row r="71" spans="1:10" x14ac:dyDescent="0.2">
      <c r="A71" s="516" t="s">
        <v>174</v>
      </c>
      <c r="B71" t="s">
        <v>246</v>
      </c>
      <c r="C71" s="13">
        <f>IFERROR(VLOOKUP(B71,SlagComposition!$B$7:$D$24,3,FALSE),0)*$B$40</f>
        <v>4.10910981884511E-9</v>
      </c>
      <c r="D71" s="13">
        <f>IFERROR(VLOOKUP(B71,SlagComposition!$B$7:$D$24,3,FALSE),0)*$B$39</f>
        <v>1.8116284297829933E-8</v>
      </c>
      <c r="E71" s="13">
        <f t="shared" si="0"/>
        <v>2.9585590695684793E-4</v>
      </c>
      <c r="F71" s="13">
        <f t="shared" si="1"/>
        <v>6.7030251901970751E-6</v>
      </c>
      <c r="H71" s="11"/>
      <c r="I71" s="11"/>
    </row>
    <row r="72" spans="1:10" x14ac:dyDescent="0.2">
      <c r="A72" s="516" t="s">
        <v>83</v>
      </c>
      <c r="B72" t="s">
        <v>247</v>
      </c>
      <c r="C72" s="13">
        <f>IFERROR(VLOOKUP(B72,SlagComposition!$B$7:$D$24,3,FALSE),0)*$B$40</f>
        <v>1.7164635952137799E-8</v>
      </c>
      <c r="D72" s="13">
        <f>IFERROR(VLOOKUP(B72,SlagComposition!$B$7:$D$24,3,FALSE),0)*$B$39</f>
        <v>7.5675617952960461E-8</v>
      </c>
      <c r="E72" s="13">
        <f t="shared" si="0"/>
        <v>1.2358537885539215E-3</v>
      </c>
      <c r="F72" s="13">
        <f t="shared" si="1"/>
        <v>2.7999978642595372E-5</v>
      </c>
      <c r="H72" s="11"/>
      <c r="I72" s="11"/>
    </row>
    <row r="73" spans="1:10" x14ac:dyDescent="0.2">
      <c r="A73" s="516" t="s">
        <v>93</v>
      </c>
      <c r="B73" t="s">
        <v>248</v>
      </c>
      <c r="C73" s="13">
        <f>IFERROR(VLOOKUP(B73,SlagComposition!$B$7:$D$24,3,FALSE),0)*$B$40</f>
        <v>1.6124354985341568E-9</v>
      </c>
      <c r="D73" s="13">
        <f>IFERROR(VLOOKUP(B73,SlagComposition!$B$7:$D$24,3,FALSE),0)*$B$39</f>
        <v>7.1089216864902257E-9</v>
      </c>
      <c r="E73" s="13">
        <f t="shared" si="0"/>
        <v>1.1609535589445929E-4</v>
      </c>
      <c r="F73" s="13">
        <f t="shared" si="1"/>
        <v>2.6303010240013836E-6</v>
      </c>
      <c r="H73" s="11"/>
      <c r="I73" s="11"/>
    </row>
    <row r="74" spans="1:10" x14ac:dyDescent="0.2">
      <c r="A74" s="516" t="s">
        <v>84</v>
      </c>
      <c r="B74" t="s">
        <v>253</v>
      </c>
      <c r="C74" s="13">
        <f>IFERROR(VLOOKUP(B74,SlagComposition!$B$7:$D$24,3,FALSE),0)*$B$40</f>
        <v>8.3222477343698425E-10</v>
      </c>
      <c r="D74" s="13">
        <f>IFERROR(VLOOKUP(B74,SlagComposition!$B$7:$D$24,3,FALSE),0)*$B$39</f>
        <v>3.6691208704465685E-9</v>
      </c>
      <c r="E74" s="13">
        <f t="shared" si="0"/>
        <v>5.9920183687462866E-5</v>
      </c>
      <c r="F74" s="13">
        <f t="shared" si="1"/>
        <v>1.3575747220652304E-6</v>
      </c>
      <c r="H74" s="11"/>
      <c r="I74" s="11"/>
    </row>
    <row r="75" spans="1:10" x14ac:dyDescent="0.2">
      <c r="A75" s="516" t="s">
        <v>87</v>
      </c>
      <c r="B75" t="s">
        <v>214</v>
      </c>
      <c r="C75" s="13">
        <f>IFERROR(VLOOKUP(B75,SlagComposition!$B$7:$D$24,3,FALSE),0)*$B$40</f>
        <v>7.8021072509717258E-7</v>
      </c>
      <c r="D75" s="13">
        <f>IFERROR(VLOOKUP(B75,SlagComposition!$B$7:$D$24,3,FALSE),0)*$B$39</f>
        <v>3.4398008160436574E-6</v>
      </c>
      <c r="E75" s="13">
        <f t="shared" si="0"/>
        <v>5.6175172206996422E-2</v>
      </c>
      <c r="F75" s="13">
        <f t="shared" si="1"/>
        <v>1.2727263019361532E-3</v>
      </c>
      <c r="H75" s="11"/>
      <c r="I75" s="11"/>
    </row>
    <row r="76" spans="1:10" x14ac:dyDescent="0.2">
      <c r="A76" s="516" t="s">
        <v>88</v>
      </c>
      <c r="B76" t="s">
        <v>216</v>
      </c>
      <c r="C76" s="13">
        <f>IFERROR(VLOOKUP(B76,SlagComposition!$B$7:$D$24,3,FALSE),0)*$B$40</f>
        <v>2.4446602719711411E-8</v>
      </c>
      <c r="D76" s="13">
        <f>IFERROR(VLOOKUP(B76,SlagComposition!$B$7:$D$24,3,FALSE),0)*$B$39</f>
        <v>1.0778042556936795E-7</v>
      </c>
      <c r="E76" s="13">
        <f t="shared" si="0"/>
        <v>1.7601553958192216E-3</v>
      </c>
      <c r="F76" s="13">
        <f t="shared" si="1"/>
        <v>3.9878757460666143E-5</v>
      </c>
      <c r="H76" s="11"/>
      <c r="I76" s="11"/>
    </row>
    <row r="77" spans="1:10" x14ac:dyDescent="0.2">
      <c r="A77" s="516" t="s">
        <v>90</v>
      </c>
      <c r="B77" t="s">
        <v>230</v>
      </c>
      <c r="C77" s="13">
        <f>IFERROR(VLOOKUP(B77,SlagComposition!$B$7:$D$24,3,FALSE),0)*$B$40</f>
        <v>3.3809131420877483E-11</v>
      </c>
      <c r="D77" s="13">
        <f>IFERROR(VLOOKUP(B77,SlagComposition!$B$7:$D$24,3,FALSE),0)*$B$39</f>
        <v>1.4905803536189184E-10</v>
      </c>
      <c r="E77" s="13">
        <f t="shared" si="0"/>
        <v>2.4342574623031787E-6</v>
      </c>
      <c r="F77" s="13">
        <f t="shared" si="1"/>
        <v>5.515147308389998E-8</v>
      </c>
      <c r="H77" s="11"/>
      <c r="I77" s="11"/>
    </row>
    <row r="78" spans="1:10" x14ac:dyDescent="0.2">
      <c r="A78" s="515">
        <v>365</v>
      </c>
      <c r="B78" t="s">
        <v>231</v>
      </c>
      <c r="C78" s="13">
        <f>IFERROR(VLOOKUP(B78,SlagComposition!$B$7:$D$24,3,FALSE),0)*$B$40</f>
        <v>1.3523652568350993E-7</v>
      </c>
      <c r="D78" s="13">
        <f>IFERROR(VLOOKUP(B78,SlagComposition!$B$7:$D$24,3,FALSE),0)*$B$39</f>
        <v>5.9623214144756736E-7</v>
      </c>
      <c r="E78" s="13">
        <f t="shared" si="0"/>
        <v>9.7370298492127152E-3</v>
      </c>
      <c r="F78" s="13">
        <f t="shared" si="1"/>
        <v>2.2060589233559994E-4</v>
      </c>
      <c r="H78" s="11"/>
      <c r="I78" s="11"/>
    </row>
    <row r="79" spans="1:10" x14ac:dyDescent="0.2">
      <c r="A79" s="516" t="s">
        <v>91</v>
      </c>
      <c r="B79" t="s">
        <v>251</v>
      </c>
      <c r="C79" s="13">
        <f>IFERROR(VLOOKUP(B79,SlagComposition!$B$7:$D$24,3,FALSE),0)*$B$40</f>
        <v>1.8204916918934028E-9</v>
      </c>
      <c r="D79" s="13">
        <f>IFERROR(VLOOKUP(B79,SlagComposition!$B$7:$D$24,3,FALSE),0)*$B$39</f>
        <v>8.0262019041018679E-9</v>
      </c>
      <c r="E79" s="13">
        <f t="shared" si="0"/>
        <v>1.3107540181632501E-4</v>
      </c>
      <c r="F79" s="13">
        <f t="shared" si="1"/>
        <v>2.9696947045176913E-6</v>
      </c>
      <c r="H79" s="11"/>
      <c r="I79" s="11"/>
    </row>
    <row r="80" spans="1:10" x14ac:dyDescent="0.2">
      <c r="A80" s="515" t="s">
        <v>92</v>
      </c>
      <c r="B80" t="s">
        <v>197</v>
      </c>
      <c r="C80" s="13">
        <f>IFERROR(VLOOKUP(B80,SlagComposition!$B$7:$D$24,3,FALSE),0)*$B$40</f>
        <v>3.3809131420877481E-6</v>
      </c>
      <c r="D80" s="13">
        <f>IFERROR(VLOOKUP(B80,SlagComposition!$B$7:$D$24,3,FALSE),0)*$B$39</f>
        <v>1.4905803536189183E-5</v>
      </c>
      <c r="E80" s="13">
        <f t="shared" si="0"/>
        <v>0.24342574623031787</v>
      </c>
      <c r="F80" s="13">
        <f t="shared" si="1"/>
        <v>5.5151473083899973E-3</v>
      </c>
      <c r="H80" s="11"/>
      <c r="I80" s="11"/>
    </row>
    <row r="81" spans="1:9" x14ac:dyDescent="0.2">
      <c r="A81" s="515" t="s">
        <v>95</v>
      </c>
      <c r="B81" t="s">
        <v>277</v>
      </c>
      <c r="C81" s="13">
        <f>IFERROR(VLOOKUP(B81,SlagComposition!$B$7:$D$24,3,FALSE),0)*$B$40</f>
        <v>2.1845900302720838E-6</v>
      </c>
      <c r="D81" s="13">
        <f>IFERROR(VLOOKUP(B81,SlagComposition!$B$7:$D$24,3,FALSE),0)*$B$39</f>
        <v>9.631442284922243E-6</v>
      </c>
      <c r="E81" s="13">
        <f t="shared" si="0"/>
        <v>0.15729048217959002</v>
      </c>
      <c r="F81" s="13">
        <f t="shared" si="1"/>
        <v>3.56363364542123E-3</v>
      </c>
      <c r="H81" s="11"/>
      <c r="I81" s="11"/>
    </row>
    <row r="82" spans="1:9" x14ac:dyDescent="0.2">
      <c r="A82" s="516" t="s">
        <v>96</v>
      </c>
      <c r="B82" t="s">
        <v>196</v>
      </c>
      <c r="C82" s="13">
        <f>IFERROR(VLOOKUP(B82,SlagComposition!$B$7:$D$24,3,FALSE),0)*$B$40</f>
        <v>8.5823179760689004E-8</v>
      </c>
      <c r="D82" s="13">
        <f>IFERROR(VLOOKUP(B82,SlagComposition!$B$7:$D$24,3,FALSE),0)*$B$39</f>
        <v>3.7837808976480239E-7</v>
      </c>
      <c r="E82" s="13">
        <f t="shared" si="0"/>
        <v>6.179268942769608E-3</v>
      </c>
      <c r="F82" s="13">
        <f t="shared" si="1"/>
        <v>1.3999989321297689E-4</v>
      </c>
      <c r="H82" s="11"/>
      <c r="I82" s="11"/>
    </row>
    <row r="83" spans="1:9" x14ac:dyDescent="0.2">
      <c r="A83" s="515">
        <v>504</v>
      </c>
      <c r="B83" t="s">
        <v>254</v>
      </c>
      <c r="C83" s="13">
        <f>IFERROR(VLOOKUP(B83,SlagComposition!$B$7:$D$24,3,FALSE),0)*$B$40</f>
        <v>1.8204916918934029E-6</v>
      </c>
      <c r="D83" s="13">
        <f>IFERROR(VLOOKUP(B83,SlagComposition!$B$7:$D$24,3,FALSE),0)*$B$39</f>
        <v>8.0262019041018689E-6</v>
      </c>
      <c r="E83" s="13">
        <f t="shared" si="0"/>
        <v>0.13107540181632502</v>
      </c>
      <c r="F83" s="13">
        <f t="shared" ref="F83" si="2">D83*$B$24</f>
        <v>2.9696947045176913E-3</v>
      </c>
      <c r="H83" s="11"/>
      <c r="I83" s="11"/>
    </row>
    <row r="84" spans="1:9" x14ac:dyDescent="0.2">
      <c r="A84" s="516" t="s">
        <v>94</v>
      </c>
      <c r="B84" t="s">
        <v>235</v>
      </c>
      <c r="C84" s="13">
        <f>IFERROR(VLOOKUP(B84,SlagComposition!$B$7:$D$24,3,FALSE),0)*$B$40</f>
        <v>8.3222477343698422E-7</v>
      </c>
      <c r="D84" s="13">
        <f>IFERROR(VLOOKUP(B84,SlagComposition!$B$7:$D$24,3,FALSE),0)*$B$39</f>
        <v>3.6691208704465687E-6</v>
      </c>
      <c r="E84" s="13">
        <f t="shared" si="0"/>
        <v>5.9920183687462866E-2</v>
      </c>
      <c r="F84" s="13">
        <f t="shared" si="1"/>
        <v>1.3575747220652304E-3</v>
      </c>
      <c r="H84" s="11"/>
      <c r="I84" s="11"/>
    </row>
    <row r="85" spans="1:9" x14ac:dyDescent="0.2">
      <c r="A85" s="516" t="s">
        <v>175</v>
      </c>
      <c r="B85" t="s">
        <v>195</v>
      </c>
      <c r="C85" s="13">
        <f>B62</f>
        <v>4.4907453547297298E-2</v>
      </c>
      <c r="D85" s="13">
        <f>B62</f>
        <v>4.4907453547297298E-2</v>
      </c>
      <c r="E85" s="13">
        <f t="shared" si="0"/>
        <v>3233.3366554054055</v>
      </c>
      <c r="F85" s="13">
        <f t="shared" ref="F85:F87" si="3">D85*$B$24</f>
        <v>16.6157578125</v>
      </c>
      <c r="H85" s="11"/>
      <c r="I85" s="11"/>
    </row>
    <row r="86" spans="1:9" x14ac:dyDescent="0.2">
      <c r="A86" s="515">
        <v>646</v>
      </c>
      <c r="B86" t="s">
        <v>681</v>
      </c>
      <c r="C86" s="13">
        <f>'Recommended Emission Factors'!D13/2000*$B$40</f>
        <v>2.6657199774153404E-14</v>
      </c>
      <c r="D86" s="13">
        <f>'Recommended Emission Factors'!D13/2000*$B$39</f>
        <v>1.1752652788149166E-13</v>
      </c>
      <c r="E86" s="13">
        <f t="shared" si="0"/>
        <v>1.9193183837390451E-9</v>
      </c>
      <c r="F86" s="13">
        <f t="shared" si="3"/>
        <v>4.3484815316151915E-11</v>
      </c>
      <c r="H86" s="11"/>
      <c r="I86" s="11"/>
    </row>
    <row r="87" spans="1:9" x14ac:dyDescent="0.2">
      <c r="A87" s="515">
        <v>645</v>
      </c>
      <c r="B87" t="s">
        <v>680</v>
      </c>
      <c r="C87" s="13">
        <f>'Recommended Emission Factors'!D14/2000*$B$40</f>
        <v>2.6657199774153405E-15</v>
      </c>
      <c r="D87" s="13">
        <f>'Recommended Emission Factors'!D14/2000*$B$39</f>
        <v>1.1752652788149166E-14</v>
      </c>
      <c r="E87" s="13">
        <f t="shared" si="0"/>
        <v>1.9193183837390452E-10</v>
      </c>
      <c r="F87" s="13">
        <f t="shared" si="3"/>
        <v>4.3484815316151917E-12</v>
      </c>
      <c r="H87" s="11"/>
      <c r="I87" s="11"/>
    </row>
    <row r="88" spans="1:9" x14ac:dyDescent="0.2">
      <c r="D88" s="11"/>
      <c r="E88" s="11"/>
    </row>
    <row r="97" spans="5:6" x14ac:dyDescent="0.2">
      <c r="E97" s="13"/>
      <c r="F97" s="13"/>
    </row>
  </sheetData>
  <sheetProtection algorithmName="SHA-512" hashValue="KSPjHI6cOi5POJgSwQmpSWEdWFZN4zi4oUUoHtdmrt8B6byRrZ43Sn6w9dkbstbaN9BRVr/eGusdH7I30iFeJg==" saltValue="PFBEjNamxOQlirs1b8ON2g==" spinCount="100000" sheet="1" objects="1" scenarios="1"/>
  <phoneticPr fontId="19" type="noConversion"/>
  <pageMargins left="0.7" right="0.7" top="0.75" bottom="0.75" header="0.3" footer="0.3"/>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0E4A-75F9-7144-9136-59C1062DFDD7}">
  <sheetPr codeName="Sheet32">
    <tabColor rgb="FF00B050"/>
  </sheetPr>
  <dimension ref="A1:B5"/>
  <sheetViews>
    <sheetView workbookViewId="0"/>
  </sheetViews>
  <sheetFormatPr baseColWidth="10" defaultColWidth="11" defaultRowHeight="16" x14ac:dyDescent="0.2"/>
  <cols>
    <col min="1" max="1" width="32.33203125" customWidth="1"/>
    <col min="2" max="2" width="28.6640625" customWidth="1"/>
    <col min="3" max="6" width="12.5" customWidth="1"/>
  </cols>
  <sheetData>
    <row r="1" spans="1:2" ht="19" x14ac:dyDescent="0.25">
      <c r="A1" s="2" t="s">
        <v>198</v>
      </c>
      <c r="B1" s="139"/>
    </row>
    <row r="2" spans="1:2" ht="19" x14ac:dyDescent="0.25">
      <c r="A2" s="2" t="s">
        <v>287</v>
      </c>
    </row>
    <row r="5" spans="1:2" x14ac:dyDescent="0.2">
      <c r="A5" t="s">
        <v>389</v>
      </c>
    </row>
  </sheetData>
  <sheetProtection algorithmName="SHA-512" hashValue="4cjnFg0p5p7VSi00253ETh3daGXBYwjhvKHoGmJygNiXHwaitVhpIC6JtIiPdBDP35u05m4cZs8hXwJb2yvUbQ==" saltValue="7PsNYffg6azWw6bFucNWCg==" spinCount="100000" sheet="1" objects="1" scenarios="1"/>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347C-C520-0C41-B4DA-45717BE6035A}">
  <sheetPr codeName="Sheet33">
    <tabColor rgb="FF00B050"/>
  </sheetPr>
  <dimension ref="A1:E57"/>
  <sheetViews>
    <sheetView topLeftCell="A32" workbookViewId="0">
      <selection activeCell="C57" sqref="C57:E57"/>
    </sheetView>
  </sheetViews>
  <sheetFormatPr baseColWidth="10" defaultColWidth="11" defaultRowHeight="16" x14ac:dyDescent="0.2"/>
  <cols>
    <col min="1" max="1" width="19.33203125" style="516" customWidth="1"/>
    <col min="2" max="2" width="28.6640625" customWidth="1"/>
    <col min="3" max="6" width="12.5" customWidth="1"/>
  </cols>
  <sheetData>
    <row r="1" spans="1:3" ht="19" x14ac:dyDescent="0.25">
      <c r="A1" s="520" t="s">
        <v>198</v>
      </c>
      <c r="B1" s="139"/>
    </row>
    <row r="2" spans="1:3" ht="19" x14ac:dyDescent="0.25">
      <c r="A2" s="520" t="s">
        <v>297</v>
      </c>
    </row>
    <row r="4" spans="1:3" x14ac:dyDescent="0.2">
      <c r="B4" s="26" t="s">
        <v>199</v>
      </c>
      <c r="C4" t="s">
        <v>3</v>
      </c>
    </row>
    <row r="5" spans="1:3" x14ac:dyDescent="0.2">
      <c r="B5" s="26" t="s">
        <v>200</v>
      </c>
      <c r="C5" t="s">
        <v>47</v>
      </c>
    </row>
    <row r="6" spans="1:3" x14ac:dyDescent="0.2">
      <c r="B6" s="26" t="s">
        <v>201</v>
      </c>
      <c r="C6" t="s">
        <v>298</v>
      </c>
    </row>
    <row r="7" spans="1:3" x14ac:dyDescent="0.2">
      <c r="A7" s="526"/>
    </row>
    <row r="9" spans="1:3" ht="19" x14ac:dyDescent="0.25">
      <c r="A9" s="521" t="s">
        <v>204</v>
      </c>
    </row>
    <row r="11" spans="1:3" x14ac:dyDescent="0.2">
      <c r="A11" s="516" t="s">
        <v>217</v>
      </c>
      <c r="B11" s="132">
        <v>1191000</v>
      </c>
      <c r="C11" t="s">
        <v>299</v>
      </c>
    </row>
    <row r="12" spans="1:3" x14ac:dyDescent="0.2">
      <c r="A12" s="516" t="s">
        <v>218</v>
      </c>
      <c r="B12" s="12">
        <f>B11/365</f>
        <v>3263.0136986301368</v>
      </c>
      <c r="C12" t="s">
        <v>45</v>
      </c>
    </row>
    <row r="13" spans="1:3" x14ac:dyDescent="0.2">
      <c r="A13" s="516" t="s">
        <v>300</v>
      </c>
      <c r="B13">
        <v>1020</v>
      </c>
      <c r="C13" t="s">
        <v>301</v>
      </c>
    </row>
    <row r="14" spans="1:3" x14ac:dyDescent="0.2">
      <c r="A14" s="516" t="s">
        <v>217</v>
      </c>
      <c r="B14" s="47">
        <f>B11/B13</f>
        <v>1167.6470588235295</v>
      </c>
      <c r="C14" t="s">
        <v>257</v>
      </c>
    </row>
    <row r="15" spans="1:3" x14ac:dyDescent="0.2">
      <c r="A15" s="516" t="s">
        <v>218</v>
      </c>
      <c r="B15" s="47">
        <f>B12/B13</f>
        <v>3.1990330378726832</v>
      </c>
      <c r="C15" t="s">
        <v>244</v>
      </c>
    </row>
    <row r="18" spans="1:5" ht="34" x14ac:dyDescent="0.2">
      <c r="A18" s="522" t="s">
        <v>209</v>
      </c>
      <c r="B18" s="29" t="s">
        <v>208</v>
      </c>
      <c r="C18" s="29" t="s">
        <v>237</v>
      </c>
      <c r="D18" s="29" t="s">
        <v>211</v>
      </c>
      <c r="E18" s="29" t="s">
        <v>212</v>
      </c>
    </row>
    <row r="19" spans="1:5" x14ac:dyDescent="0.2">
      <c r="A19" s="516" t="s">
        <v>100</v>
      </c>
      <c r="B19" t="s">
        <v>15</v>
      </c>
      <c r="C19">
        <v>1.6999999999999999E-3</v>
      </c>
      <c r="D19" s="13">
        <f>C19*$B$14</f>
        <v>1.9850000000000001</v>
      </c>
      <c r="E19" s="13">
        <f>C19*$B$15</f>
        <v>5.4383561643835615E-3</v>
      </c>
    </row>
    <row r="20" spans="1:5" x14ac:dyDescent="0.2">
      <c r="A20" s="516" t="s">
        <v>105</v>
      </c>
      <c r="B20" t="s">
        <v>17</v>
      </c>
      <c r="C20">
        <v>3.5999999999999999E-3</v>
      </c>
      <c r="D20" s="13">
        <f t="shared" ref="D20:D45" si="0">C20*$B$14</f>
        <v>4.2035294117647064</v>
      </c>
      <c r="E20" s="13">
        <f t="shared" ref="E20:E45" si="1">C20*$B$15</f>
        <v>1.1516518936341659E-2</v>
      </c>
    </row>
    <row r="21" spans="1:5" x14ac:dyDescent="0.2">
      <c r="A21" s="515">
        <v>401</v>
      </c>
      <c r="B21" t="s">
        <v>232</v>
      </c>
      <c r="C21">
        <v>1E-4</v>
      </c>
      <c r="D21" s="13">
        <f t="shared" si="0"/>
        <v>0.11676470588235295</v>
      </c>
      <c r="E21" s="13">
        <f t="shared" si="1"/>
        <v>3.1990330378726836E-4</v>
      </c>
    </row>
    <row r="22" spans="1:5" x14ac:dyDescent="0.2">
      <c r="A22" s="516" t="s">
        <v>192</v>
      </c>
      <c r="B22" t="s">
        <v>223</v>
      </c>
      <c r="C22">
        <v>1.1999999999999999E-6</v>
      </c>
      <c r="D22" s="13">
        <f t="shared" si="0"/>
        <v>1.4011764705882353E-3</v>
      </c>
      <c r="E22" s="13">
        <f t="shared" si="1"/>
        <v>3.83883964544722E-6</v>
      </c>
    </row>
    <row r="23" spans="1:5" x14ac:dyDescent="0.2">
      <c r="A23" s="516" t="s">
        <v>107</v>
      </c>
      <c r="B23" t="s">
        <v>19</v>
      </c>
      <c r="C23">
        <v>2.9999999999999997E-4</v>
      </c>
      <c r="D23" s="13">
        <f t="shared" si="0"/>
        <v>0.35029411764705881</v>
      </c>
      <c r="E23" s="13">
        <f t="shared" si="1"/>
        <v>9.5970991136180492E-4</v>
      </c>
    </row>
    <row r="24" spans="1:5" x14ac:dyDescent="0.2">
      <c r="A24" s="516" t="s">
        <v>97</v>
      </c>
      <c r="B24" t="s">
        <v>13</v>
      </c>
      <c r="C24">
        <v>8.9999999999999998E-4</v>
      </c>
      <c r="D24" s="13">
        <f t="shared" si="0"/>
        <v>1.0508823529411766</v>
      </c>
      <c r="E24" s="13">
        <f t="shared" si="1"/>
        <v>2.8791297340854147E-3</v>
      </c>
    </row>
    <row r="25" spans="1:5" x14ac:dyDescent="0.2">
      <c r="A25" s="516" t="s">
        <v>98</v>
      </c>
      <c r="B25" t="s">
        <v>14</v>
      </c>
      <c r="C25">
        <v>8.0000000000000004E-4</v>
      </c>
      <c r="D25" s="13">
        <f t="shared" si="0"/>
        <v>0.93411764705882361</v>
      </c>
      <c r="E25" s="13">
        <f t="shared" si="1"/>
        <v>2.5592264302981469E-3</v>
      </c>
    </row>
    <row r="26" spans="1:5" x14ac:dyDescent="0.2">
      <c r="A26" s="516" t="s">
        <v>99</v>
      </c>
      <c r="B26" t="s">
        <v>33</v>
      </c>
      <c r="C26">
        <v>18</v>
      </c>
      <c r="D26" s="13">
        <f t="shared" si="0"/>
        <v>21017.647058823532</v>
      </c>
      <c r="E26" s="13">
        <f t="shared" si="1"/>
        <v>57.582594681708301</v>
      </c>
    </row>
    <row r="27" spans="1:5" x14ac:dyDescent="0.2">
      <c r="A27" s="516" t="s">
        <v>83</v>
      </c>
      <c r="B27" t="s">
        <v>221</v>
      </c>
      <c r="C27">
        <v>2.0000000000000001E-4</v>
      </c>
      <c r="D27" s="13">
        <f t="shared" si="0"/>
        <v>0.2335294117647059</v>
      </c>
      <c r="E27" s="13">
        <f t="shared" si="1"/>
        <v>6.3980660757453672E-4</v>
      </c>
    </row>
    <row r="28" spans="1:5" x14ac:dyDescent="0.2">
      <c r="A28" s="516" t="s">
        <v>95</v>
      </c>
      <c r="B28" t="s">
        <v>222</v>
      </c>
      <c r="C28">
        <v>4.4000000000000003E-3</v>
      </c>
      <c r="D28" s="13">
        <f t="shared" si="0"/>
        <v>5.1376470588235303</v>
      </c>
      <c r="E28" s="13">
        <f t="shared" si="1"/>
        <v>1.4075745366639808E-2</v>
      </c>
    </row>
    <row r="29" spans="1:5" x14ac:dyDescent="0.2">
      <c r="A29" s="516" t="s">
        <v>93</v>
      </c>
      <c r="B29" t="s">
        <v>224</v>
      </c>
      <c r="C29">
        <v>1.2E-5</v>
      </c>
      <c r="D29" s="13">
        <f t="shared" si="0"/>
        <v>1.4011764705882354E-2</v>
      </c>
      <c r="E29" s="13">
        <f t="shared" si="1"/>
        <v>3.8388396454472203E-5</v>
      </c>
    </row>
    <row r="30" spans="1:5" x14ac:dyDescent="0.2">
      <c r="A30" s="516" t="s">
        <v>84</v>
      </c>
      <c r="B30" t="s">
        <v>225</v>
      </c>
      <c r="C30">
        <v>1.1000000000000001E-3</v>
      </c>
      <c r="D30" s="13">
        <f t="shared" si="0"/>
        <v>1.2844117647058826</v>
      </c>
      <c r="E30" s="13">
        <f t="shared" si="1"/>
        <v>3.5189363416599519E-3</v>
      </c>
    </row>
    <row r="31" spans="1:5" x14ac:dyDescent="0.2">
      <c r="A31" s="516" t="s">
        <v>85</v>
      </c>
      <c r="B31" t="s">
        <v>215</v>
      </c>
      <c r="C31">
        <v>1.4E-3</v>
      </c>
      <c r="D31" s="13">
        <f t="shared" si="0"/>
        <v>1.6347058823529412</v>
      </c>
      <c r="E31" s="13">
        <f t="shared" si="1"/>
        <v>4.4786462530217565E-3</v>
      </c>
    </row>
    <row r="32" spans="1:5" x14ac:dyDescent="0.2">
      <c r="A32" s="516" t="s">
        <v>86</v>
      </c>
      <c r="B32" t="s">
        <v>227</v>
      </c>
      <c r="C32">
        <v>8.3999999999999995E-5</v>
      </c>
      <c r="D32" s="13">
        <f t="shared" si="0"/>
        <v>9.8082352941176468E-2</v>
      </c>
      <c r="E32" s="13">
        <f t="shared" si="1"/>
        <v>2.6871877518130536E-4</v>
      </c>
    </row>
    <row r="33" spans="1:5" x14ac:dyDescent="0.2">
      <c r="A33" s="516" t="s">
        <v>87</v>
      </c>
      <c r="B33" t="s">
        <v>194</v>
      </c>
      <c r="C33">
        <v>8.4999999999999995E-4</v>
      </c>
      <c r="D33" s="13">
        <f t="shared" si="0"/>
        <v>0.99250000000000005</v>
      </c>
      <c r="E33" s="13">
        <f t="shared" si="1"/>
        <v>2.7191780821917808E-3</v>
      </c>
    </row>
    <row r="34" spans="1:5" x14ac:dyDescent="0.2">
      <c r="A34" s="516" t="s">
        <v>103</v>
      </c>
      <c r="B34" t="s">
        <v>32</v>
      </c>
      <c r="C34">
        <v>2E-3</v>
      </c>
      <c r="D34" s="13">
        <f t="shared" si="0"/>
        <v>2.335294117647059</v>
      </c>
      <c r="E34" s="13">
        <f t="shared" si="1"/>
        <v>6.3980660757453666E-3</v>
      </c>
    </row>
    <row r="35" spans="1:5" x14ac:dyDescent="0.2">
      <c r="A35" s="516" t="s">
        <v>106</v>
      </c>
      <c r="B35" t="s">
        <v>18</v>
      </c>
      <c r="C35">
        <v>1.2999999999999999E-3</v>
      </c>
      <c r="D35" s="13">
        <f t="shared" si="0"/>
        <v>1.5179411764705883</v>
      </c>
      <c r="E35" s="13">
        <f t="shared" si="1"/>
        <v>4.1587429492344879E-3</v>
      </c>
    </row>
    <row r="36" spans="1:5" x14ac:dyDescent="0.2">
      <c r="A36" s="516" t="s">
        <v>88</v>
      </c>
      <c r="B36" t="s">
        <v>228</v>
      </c>
      <c r="C36">
        <v>5.0000000000000001E-4</v>
      </c>
      <c r="D36" s="13">
        <f t="shared" si="0"/>
        <v>0.58382352941176474</v>
      </c>
      <c r="E36" s="13">
        <f t="shared" si="1"/>
        <v>1.5995165189363416E-3</v>
      </c>
    </row>
    <row r="37" spans="1:5" x14ac:dyDescent="0.2">
      <c r="A37" s="516" t="s">
        <v>89</v>
      </c>
      <c r="B37" t="s">
        <v>229</v>
      </c>
      <c r="C37">
        <v>3.8000000000000002E-4</v>
      </c>
      <c r="D37" s="13">
        <f t="shared" si="0"/>
        <v>0.44370588235294123</v>
      </c>
      <c r="E37" s="13">
        <f t="shared" si="1"/>
        <v>1.2156325543916198E-3</v>
      </c>
    </row>
    <row r="38" spans="1:5" x14ac:dyDescent="0.2">
      <c r="A38" s="516" t="s">
        <v>90</v>
      </c>
      <c r="B38" t="s">
        <v>230</v>
      </c>
      <c r="C38">
        <v>2.5999999999999998E-4</v>
      </c>
      <c r="D38" s="13">
        <f t="shared" si="0"/>
        <v>0.30358823529411766</v>
      </c>
      <c r="E38" s="13">
        <f t="shared" si="1"/>
        <v>8.3174858984689755E-4</v>
      </c>
    </row>
    <row r="39" spans="1:5" x14ac:dyDescent="0.2">
      <c r="A39" s="516" t="s">
        <v>96</v>
      </c>
      <c r="B39" t="s">
        <v>196</v>
      </c>
      <c r="C39">
        <v>1.65E-3</v>
      </c>
      <c r="D39" s="13">
        <f t="shared" si="0"/>
        <v>1.9266176470588237</v>
      </c>
      <c r="E39" s="13">
        <f t="shared" si="1"/>
        <v>5.2784045124899277E-3</v>
      </c>
    </row>
    <row r="40" spans="1:5" x14ac:dyDescent="0.2">
      <c r="A40" s="515">
        <v>365</v>
      </c>
      <c r="B40" t="s">
        <v>231</v>
      </c>
      <c r="C40">
        <v>2.0999999999999999E-3</v>
      </c>
      <c r="D40" s="13">
        <f t="shared" si="0"/>
        <v>2.4520588235294118</v>
      </c>
      <c r="E40" s="13">
        <f t="shared" si="1"/>
        <v>6.7179693795326343E-3</v>
      </c>
    </row>
    <row r="41" spans="1:5" x14ac:dyDescent="0.2">
      <c r="A41" s="516" t="s">
        <v>91</v>
      </c>
      <c r="B41" t="s">
        <v>233</v>
      </c>
      <c r="C41">
        <v>2.4000000000000001E-5</v>
      </c>
      <c r="D41" s="13">
        <f t="shared" si="0"/>
        <v>2.8023529411764708E-2</v>
      </c>
      <c r="E41" s="13">
        <f t="shared" si="1"/>
        <v>7.6776792908944406E-5</v>
      </c>
    </row>
    <row r="42" spans="1:5" x14ac:dyDescent="0.2">
      <c r="A42" s="516" t="s">
        <v>109</v>
      </c>
      <c r="B42" t="s">
        <v>21</v>
      </c>
      <c r="C42">
        <v>7.7999999999999996E-3</v>
      </c>
      <c r="D42" s="13">
        <f t="shared" si="0"/>
        <v>9.1076470588235292</v>
      </c>
      <c r="E42" s="13">
        <f t="shared" si="1"/>
        <v>2.4952457695406927E-2</v>
      </c>
    </row>
    <row r="43" spans="1:5" x14ac:dyDescent="0.2">
      <c r="A43" s="516" t="s">
        <v>92</v>
      </c>
      <c r="B43" t="s">
        <v>197</v>
      </c>
      <c r="C43">
        <v>2.3E-3</v>
      </c>
      <c r="D43" s="13">
        <f t="shared" si="0"/>
        <v>2.6855882352941176</v>
      </c>
      <c r="E43" s="13">
        <f t="shared" si="1"/>
        <v>7.3577759871071716E-3</v>
      </c>
    </row>
    <row r="44" spans="1:5" x14ac:dyDescent="0.2">
      <c r="A44" s="516" t="s">
        <v>111</v>
      </c>
      <c r="B44" t="s">
        <v>234</v>
      </c>
      <c r="C44">
        <v>5.7999999999999996E-3</v>
      </c>
      <c r="D44" s="13">
        <f t="shared" si="0"/>
        <v>6.7723529411764707</v>
      </c>
      <c r="E44" s="13">
        <f t="shared" si="1"/>
        <v>1.8554391619661562E-2</v>
      </c>
    </row>
    <row r="45" spans="1:5" x14ac:dyDescent="0.2">
      <c r="A45" s="516" t="s">
        <v>94</v>
      </c>
      <c r="B45" t="s">
        <v>235</v>
      </c>
      <c r="C45">
        <v>2.9000000000000001E-2</v>
      </c>
      <c r="D45" s="13">
        <f t="shared" si="0"/>
        <v>33.861764705882358</v>
      </c>
      <c r="E45" s="13">
        <f t="shared" si="1"/>
        <v>9.2771958098307822E-2</v>
      </c>
    </row>
    <row r="57" spans="4:5" x14ac:dyDescent="0.2">
      <c r="D57" s="13"/>
      <c r="E57" s="13"/>
    </row>
  </sheetData>
  <sheetProtection algorithmName="SHA-512" hashValue="V4Ftx6KSycEl7H8gA+sUNQq6LF0G8hCQCVdjqliJ8i7fCPZQNdFS+BcVPxZYLS+Om8ySDKnFJYubeyWv4wH8mQ==" saltValue="QyneCiT7MIaaspzeloYvKA==" spinCount="100000" sheet="1" objects="1" scenarios="1"/>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35</vt:i4>
      </vt:variant>
      <vt:variant>
        <vt:lpstr>Named Ranges</vt:lpstr>
      </vt:variant>
      <vt:variant>
        <vt:i4>2</vt:i4>
      </vt:variant>
    </vt:vector>
  </HeadingPairs>
  <TitlesOfParts>
    <vt:vector size="37" baseType="lpstr">
      <vt:lpstr>AQ520</vt:lpstr>
      <vt:lpstr>WLOC Tracking</vt:lpstr>
      <vt:lpstr>Tabl_B1_Scrap</vt:lpstr>
      <vt:lpstr>Tabl_B2_Melt_Shop</vt:lpstr>
      <vt:lpstr>Tabl_B3_Billet_Cut_Casting</vt:lpstr>
      <vt:lpstr>Tabl_B4_Scrap_Billet_Cut</vt:lpstr>
      <vt:lpstr>Tabl_B5_Slag_Handling</vt:lpstr>
      <vt:lpstr>Tabl_B6_Slag_Handling_Encl</vt:lpstr>
      <vt:lpstr>Tabl_B7_Reheat_Furnace</vt:lpstr>
      <vt:lpstr>Tabl_B8_TTO</vt:lpstr>
      <vt:lpstr>Tabl_B9_GDF</vt:lpstr>
      <vt:lpstr>Tabl_B10_Unpv_Roads</vt:lpstr>
      <vt:lpstr>Tabl_B11_Welding</vt:lpstr>
      <vt:lpstr>Steel Composition</vt:lpstr>
      <vt:lpstr>SlagComposition</vt:lpstr>
      <vt:lpstr>Filter_Analysis</vt:lpstr>
      <vt:lpstr>Filter Data</vt:lpstr>
      <vt:lpstr>BC Acetone No Blank</vt:lpstr>
      <vt:lpstr>BC Filter Reagent Blank</vt:lpstr>
      <vt:lpstr>BC Filter No Blank</vt:lpstr>
      <vt:lpstr>BC Summary</vt:lpstr>
      <vt:lpstr>RM Acetone No Blank</vt:lpstr>
      <vt:lpstr>RM Filter Reagent Blank</vt:lpstr>
      <vt:lpstr>RM Filter No Blank</vt:lpstr>
      <vt:lpstr>RM Summary</vt:lpstr>
      <vt:lpstr>Organic TAC EFs</vt:lpstr>
      <vt:lpstr>Dioxins Furans</vt:lpstr>
      <vt:lpstr>PCBs</vt:lpstr>
      <vt:lpstr>PAHs</vt:lpstr>
      <vt:lpstr>Hexachlorobenzene</vt:lpstr>
      <vt:lpstr>PBDEs</vt:lpstr>
      <vt:lpstr>Recommended Emission Factors</vt:lpstr>
      <vt:lpstr>Horizontal tank</vt:lpstr>
      <vt:lpstr>Tables</vt:lpstr>
      <vt:lpstr>Table 7-1-7</vt:lpstr>
      <vt:lpstr>'Horizontal tank'!Print_Area</vt:lpstr>
      <vt:lpstr>Tables!Print_Area</vt:lpstr>
    </vt:vector>
  </TitlesOfParts>
  <Company>Bridgewater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Candee Hatch</dc:creator>
  <cp:lastModifiedBy>John Browning</cp:lastModifiedBy>
  <cp:lastPrinted>2023-01-04T00:36:21Z</cp:lastPrinted>
  <dcterms:created xsi:type="dcterms:W3CDTF">2017-03-28T16:09:12Z</dcterms:created>
  <dcterms:modified xsi:type="dcterms:W3CDTF">2023-02-13T22:56:04Z</dcterms:modified>
</cp:coreProperties>
</file>