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codeName="ThisWorkbook"/>
  <mc:AlternateContent xmlns:mc="http://schemas.openxmlformats.org/markup-compatibility/2006">
    <mc:Choice Requires="x15">
      <x15ac:absPath xmlns:x15ac="http://schemas.microsoft.com/office/spreadsheetml/2010/11/ac" url="/Users/lisasimmons/Library/CloudStorage/Dropbox/LLKELLY/Orchid Ortho/CAO 2024/ODEQ CAO EMISSIONS INVENTORY SUBMITTAL/"/>
    </mc:Choice>
  </mc:AlternateContent>
  <xr:revisionPtr revIDLastSave="0" documentId="13_ncr:1_{B43F0BA9-109A-484A-AC62-69337F72CB82}" xr6:coauthVersionLast="47" xr6:coauthVersionMax="47" xr10:uidLastSave="{00000000-0000-0000-0000-000000000000}"/>
  <bookViews>
    <workbookView xWindow="2020" yWindow="500" windowWidth="24460" windowHeight="17100" tabRatio="925" firstSheet="1"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9" l="1"/>
  <c r="F62" i="9"/>
  <c r="F61" i="9"/>
  <c r="F60" i="9"/>
  <c r="F59" i="9"/>
  <c r="J59" i="9" s="1"/>
  <c r="L59" i="9" s="1"/>
  <c r="F58" i="9"/>
  <c r="J60" i="9"/>
  <c r="L60" i="9" s="1"/>
  <c r="J61" i="9"/>
  <c r="L61" i="9" s="1"/>
  <c r="J62" i="9"/>
  <c r="L62" i="9" s="1"/>
  <c r="J63" i="9"/>
  <c r="L63" i="9" s="1"/>
  <c r="J58" i="9"/>
  <c r="L58" i="9" s="1"/>
  <c r="N35" i="11" l="1"/>
  <c r="M35" i="11"/>
  <c r="L35" i="11"/>
  <c r="M33" i="11"/>
  <c r="N33" i="11"/>
  <c r="N32" i="11"/>
  <c r="M32" i="11"/>
  <c r="N30" i="11"/>
  <c r="M30" i="11"/>
  <c r="L28" i="11"/>
  <c r="M28" i="11"/>
  <c r="N28" i="11"/>
  <c r="N27" i="11"/>
  <c r="M27" i="11"/>
  <c r="L27" i="11"/>
  <c r="M26" i="11"/>
  <c r="N26" i="11"/>
  <c r="N25" i="11"/>
  <c r="M25" i="11"/>
  <c r="L25" i="11"/>
  <c r="L23" i="11"/>
  <c r="L22" i="11"/>
  <c r="N23" i="11"/>
  <c r="M23" i="11"/>
  <c r="N22" i="11"/>
  <c r="M22" i="11"/>
  <c r="M20" i="11"/>
  <c r="N20" i="11"/>
  <c r="N19" i="11"/>
  <c r="M19" i="11"/>
  <c r="L19" i="11"/>
  <c r="M96" i="9"/>
  <c r="N96" i="9"/>
  <c r="O96" i="9"/>
  <c r="M97" i="9"/>
  <c r="N97" i="9"/>
  <c r="O97" i="9"/>
  <c r="M98" i="9"/>
  <c r="N98" i="9"/>
  <c r="O98" i="9"/>
  <c r="M99" i="9"/>
  <c r="N99" i="9"/>
  <c r="O99" i="9"/>
  <c r="O95" i="9"/>
  <c r="N95" i="9"/>
  <c r="M95" i="9"/>
  <c r="J95" i="9"/>
  <c r="O94" i="9"/>
  <c r="N94" i="9"/>
  <c r="M94" i="9"/>
  <c r="M88" i="9"/>
  <c r="N88" i="9"/>
  <c r="O88" i="9"/>
  <c r="M89" i="9"/>
  <c r="N89" i="9"/>
  <c r="O89" i="9"/>
  <c r="M90" i="9"/>
  <c r="N90" i="9"/>
  <c r="O90" i="9"/>
  <c r="M91" i="9"/>
  <c r="N91" i="9"/>
  <c r="O91" i="9"/>
  <c r="O87" i="9"/>
  <c r="N87" i="9"/>
  <c r="M87" i="9"/>
  <c r="J87" i="9"/>
  <c r="O86" i="9"/>
  <c r="N86" i="9"/>
  <c r="M86" i="9"/>
  <c r="M80" i="9"/>
  <c r="N80" i="9"/>
  <c r="O80" i="9"/>
  <c r="M81" i="9"/>
  <c r="N81" i="9"/>
  <c r="O81" i="9"/>
  <c r="M82" i="9"/>
  <c r="N82" i="9"/>
  <c r="O82" i="9"/>
  <c r="M83" i="9"/>
  <c r="N83" i="9"/>
  <c r="O83" i="9"/>
  <c r="O79" i="9"/>
  <c r="N79" i="9"/>
  <c r="M79" i="9"/>
  <c r="J79" i="9"/>
  <c r="O78" i="9"/>
  <c r="N78" i="9"/>
  <c r="M78" i="9"/>
  <c r="J78" i="9"/>
  <c r="M74" i="9"/>
  <c r="N74" i="9"/>
  <c r="O74" i="9"/>
  <c r="M75" i="9"/>
  <c r="N75" i="9"/>
  <c r="O75" i="9"/>
  <c r="O73" i="9"/>
  <c r="N73" i="9"/>
  <c r="M73" i="9"/>
  <c r="J73" i="9"/>
  <c r="J67" i="9"/>
  <c r="L67" i="9"/>
  <c r="K67" i="9" s="1"/>
  <c r="M67" i="9"/>
  <c r="N67" i="9"/>
  <c r="O67" i="9"/>
  <c r="J68" i="9"/>
  <c r="L68" i="9" s="1"/>
  <c r="K68" i="9" s="1"/>
  <c r="M68" i="9"/>
  <c r="N68" i="9"/>
  <c r="O68" i="9"/>
  <c r="J69" i="9"/>
  <c r="K69" i="9"/>
  <c r="L69" i="9"/>
  <c r="M69" i="9"/>
  <c r="N69" i="9"/>
  <c r="O69" i="9"/>
  <c r="J70" i="9"/>
  <c r="L70" i="9"/>
  <c r="K70" i="9" s="1"/>
  <c r="M70" i="9"/>
  <c r="N70" i="9"/>
  <c r="O70" i="9"/>
  <c r="O66" i="9"/>
  <c r="N66" i="9"/>
  <c r="M66" i="9"/>
  <c r="J66" i="9"/>
  <c r="O65" i="9"/>
  <c r="N65" i="9"/>
  <c r="M65" i="9"/>
  <c r="J65" i="9"/>
  <c r="J47" i="9"/>
  <c r="L47" i="9"/>
  <c r="K47" i="9" s="1"/>
  <c r="M47" i="9"/>
  <c r="N47" i="9"/>
  <c r="O47" i="9"/>
  <c r="J48" i="9"/>
  <c r="L48" i="9" s="1"/>
  <c r="K48" i="9" s="1"/>
  <c r="M48" i="9"/>
  <c r="N48" i="9"/>
  <c r="O48" i="9"/>
  <c r="J49" i="9"/>
  <c r="L49" i="9"/>
  <c r="K49" i="9" s="1"/>
  <c r="M49" i="9"/>
  <c r="N49" i="9"/>
  <c r="O49" i="9"/>
  <c r="J50" i="9"/>
  <c r="L50" i="9"/>
  <c r="K50" i="9" s="1"/>
  <c r="M50" i="9"/>
  <c r="N50" i="9"/>
  <c r="O50" i="9"/>
  <c r="O46" i="9"/>
  <c r="N46" i="9"/>
  <c r="M46" i="9"/>
  <c r="J46" i="9"/>
  <c r="O44" i="9"/>
  <c r="N44" i="9"/>
  <c r="M44" i="9"/>
  <c r="J44" i="9"/>
  <c r="M53" i="9"/>
  <c r="N53" i="9"/>
  <c r="O53" i="9"/>
  <c r="M54" i="9"/>
  <c r="N54" i="9"/>
  <c r="O54" i="9"/>
  <c r="M55" i="9"/>
  <c r="N55" i="9"/>
  <c r="O55" i="9"/>
  <c r="O52" i="9"/>
  <c r="N52" i="9"/>
  <c r="M52" i="9"/>
  <c r="M33" i="9"/>
  <c r="N33" i="9"/>
  <c r="O33" i="9"/>
  <c r="M34" i="9"/>
  <c r="N34" i="9"/>
  <c r="O34" i="9"/>
  <c r="M35" i="9"/>
  <c r="N35" i="9"/>
  <c r="O35" i="9"/>
  <c r="M36" i="9"/>
  <c r="N36" i="9"/>
  <c r="O36" i="9"/>
  <c r="M37" i="9"/>
  <c r="N37" i="9"/>
  <c r="O37" i="9"/>
  <c r="M38" i="9"/>
  <c r="N38" i="9"/>
  <c r="O38" i="9"/>
  <c r="M39" i="9"/>
  <c r="N39" i="9"/>
  <c r="O39" i="9"/>
  <c r="M40" i="9"/>
  <c r="N40" i="9"/>
  <c r="O40" i="9"/>
  <c r="M41" i="9"/>
  <c r="N41" i="9"/>
  <c r="O41" i="9"/>
  <c r="M17" i="9"/>
  <c r="N17" i="9"/>
  <c r="O17" i="9"/>
  <c r="M18" i="9"/>
  <c r="N18" i="9"/>
  <c r="O18" i="9"/>
  <c r="M19" i="9"/>
  <c r="N19" i="9"/>
  <c r="O19" i="9"/>
  <c r="M20" i="9"/>
  <c r="N20" i="9"/>
  <c r="O20" i="9"/>
  <c r="M21" i="9"/>
  <c r="N21" i="9"/>
  <c r="O21" i="9"/>
  <c r="M22" i="9"/>
  <c r="N22" i="9"/>
  <c r="O22" i="9"/>
  <c r="M23" i="9"/>
  <c r="N23" i="9"/>
  <c r="O23" i="9"/>
  <c r="M24" i="9"/>
  <c r="N24" i="9"/>
  <c r="O24" i="9"/>
  <c r="M25" i="9"/>
  <c r="N25" i="9"/>
  <c r="O25" i="9"/>
  <c r="M26" i="9"/>
  <c r="N26" i="9"/>
  <c r="O26" i="9"/>
  <c r="M27" i="9"/>
  <c r="N27" i="9"/>
  <c r="O27" i="9"/>
  <c r="M28" i="9"/>
  <c r="N28" i="9"/>
  <c r="O28" i="9"/>
  <c r="M29" i="9"/>
  <c r="N29" i="9"/>
  <c r="O29" i="9"/>
  <c r="M30" i="9"/>
  <c r="N30" i="9"/>
  <c r="O30" i="9"/>
  <c r="M31" i="9"/>
  <c r="N31" i="9"/>
  <c r="O31" i="9"/>
  <c r="M32" i="9"/>
  <c r="N32" i="9"/>
  <c r="O32" i="9"/>
  <c r="O16" i="9"/>
  <c r="N16" i="9"/>
  <c r="M16" i="9"/>
  <c r="L28" i="6" l="1"/>
  <c r="K28" i="6"/>
  <c r="L27" i="6"/>
  <c r="K27" i="6"/>
  <c r="L23" i="6"/>
  <c r="K23" i="6"/>
  <c r="L22" i="6"/>
  <c r="K22" i="6"/>
  <c r="J28" i="6"/>
  <c r="J23" i="6"/>
  <c r="J20" i="6"/>
  <c r="L20" i="6" s="1"/>
  <c r="K20" i="6" s="1"/>
  <c r="J19" i="6"/>
  <c r="J22" i="6"/>
  <c r="L30" i="6"/>
  <c r="K30" i="6"/>
  <c r="L25" i="6"/>
  <c r="K25" i="6"/>
  <c r="L19" i="6"/>
  <c r="K19" i="6"/>
  <c r="L17" i="6"/>
  <c r="K17" i="6" s="1"/>
  <c r="K16" i="6"/>
  <c r="L16" i="6"/>
  <c r="M30" i="2"/>
  <c r="L30" i="2"/>
  <c r="M29" i="2"/>
  <c r="L29" i="2"/>
  <c r="M28" i="2"/>
  <c r="L28" i="2"/>
  <c r="M26" i="2"/>
  <c r="L26" i="2" s="1"/>
  <c r="M24" i="2"/>
  <c r="L24" i="2" s="1"/>
  <c r="M23" i="2"/>
  <c r="L23" i="2" s="1"/>
  <c r="M21" i="2"/>
  <c r="L21" i="2" s="1"/>
  <c r="M20" i="2"/>
  <c r="L20" i="2"/>
  <c r="L16" i="2"/>
  <c r="L17" i="2"/>
  <c r="L18" i="2"/>
  <c r="L15" i="2"/>
  <c r="M16" i="2"/>
  <c r="M17" i="2"/>
  <c r="M18" i="2"/>
  <c r="M15" i="2"/>
  <c r="K30" i="2"/>
  <c r="K29" i="2"/>
  <c r="K28" i="2"/>
  <c r="K26" i="2"/>
  <c r="K24" i="2"/>
  <c r="K23" i="2"/>
  <c r="K21" i="2"/>
  <c r="K20" i="2"/>
  <c r="K15" i="2"/>
  <c r="K17" i="2" l="1"/>
  <c r="K16" i="2"/>
  <c r="J30" i="6"/>
  <c r="J27" i="6"/>
  <c r="J25" i="6"/>
  <c r="G30" i="6"/>
  <c r="I30" i="6" s="1"/>
  <c r="H30" i="6" s="1"/>
  <c r="J17" i="6"/>
  <c r="J16" i="6"/>
  <c r="K18" i="2"/>
  <c r="I28" i="6"/>
  <c r="H28" i="6"/>
  <c r="I27" i="6"/>
  <c r="H27" i="6"/>
  <c r="I25" i="6"/>
  <c r="H25" i="6"/>
  <c r="I20" i="6"/>
  <c r="H20" i="6" s="1"/>
  <c r="I19" i="6"/>
  <c r="H19" i="6"/>
  <c r="I17" i="6"/>
  <c r="H17" i="6" s="1"/>
  <c r="I16" i="6"/>
  <c r="H16" i="6" s="1"/>
  <c r="J30" i="2"/>
  <c r="I30" i="2"/>
  <c r="J29" i="2"/>
  <c r="I29" i="2" s="1"/>
  <c r="J28" i="2"/>
  <c r="I28" i="2" s="1"/>
  <c r="J26" i="2"/>
  <c r="I26" i="2"/>
  <c r="J24" i="2"/>
  <c r="I24" i="2"/>
  <c r="J23" i="2"/>
  <c r="I23" i="2"/>
  <c r="J21" i="2"/>
  <c r="I21" i="2" s="1"/>
  <c r="J20" i="2"/>
  <c r="I20" i="2"/>
  <c r="J16" i="2"/>
  <c r="I16" i="2" s="1"/>
  <c r="J17" i="2"/>
  <c r="I17" i="2" s="1"/>
  <c r="J18" i="2"/>
  <c r="I18" i="2" s="1"/>
  <c r="I15" i="2"/>
  <c r="J15" i="2"/>
  <c r="I35" i="11" l="1"/>
  <c r="K35" i="11" s="1"/>
  <c r="J35" i="11" s="1"/>
  <c r="D27" i="11"/>
  <c r="D28" i="11"/>
  <c r="J96" i="9"/>
  <c r="L96" i="9" s="1"/>
  <c r="K96" i="9" s="1"/>
  <c r="J97" i="9"/>
  <c r="L97" i="9" s="1"/>
  <c r="K97" i="9" s="1"/>
  <c r="J98" i="9"/>
  <c r="L98" i="9" s="1"/>
  <c r="K98" i="9" s="1"/>
  <c r="J99" i="9"/>
  <c r="L99" i="9" s="1"/>
  <c r="K99" i="9" s="1"/>
  <c r="L95" i="9"/>
  <c r="K95" i="9" s="1"/>
  <c r="J94" i="9"/>
  <c r="L94" i="9" s="1"/>
  <c r="K94" i="9" s="1"/>
  <c r="J88" i="9"/>
  <c r="L88" i="9" s="1"/>
  <c r="K88" i="9" s="1"/>
  <c r="J89" i="9"/>
  <c r="L89" i="9" s="1"/>
  <c r="K89" i="9" s="1"/>
  <c r="J90" i="9"/>
  <c r="L90" i="9" s="1"/>
  <c r="K90" i="9" s="1"/>
  <c r="J91" i="9"/>
  <c r="L91" i="9" s="1"/>
  <c r="K91" i="9" s="1"/>
  <c r="L87" i="9"/>
  <c r="K87" i="9" s="1"/>
  <c r="J86" i="9"/>
  <c r="L86" i="9" s="1"/>
  <c r="K86" i="9" s="1"/>
  <c r="J80" i="9"/>
  <c r="L80" i="9" s="1"/>
  <c r="K80" i="9" s="1"/>
  <c r="J81" i="9"/>
  <c r="L81" i="9" s="1"/>
  <c r="K81" i="9" s="1"/>
  <c r="J82" i="9"/>
  <c r="L82" i="9" s="1"/>
  <c r="K82" i="9" s="1"/>
  <c r="J83" i="9"/>
  <c r="L83" i="9" s="1"/>
  <c r="K83" i="9" s="1"/>
  <c r="L79" i="9"/>
  <c r="K79" i="9" s="1"/>
  <c r="L78" i="9"/>
  <c r="K78" i="9" s="1"/>
  <c r="G59" i="9"/>
  <c r="G60" i="9"/>
  <c r="G61" i="9"/>
  <c r="G62" i="9"/>
  <c r="G63" i="9"/>
  <c r="G65" i="9"/>
  <c r="G66" i="9"/>
  <c r="G67" i="9"/>
  <c r="G68" i="9"/>
  <c r="G69" i="9"/>
  <c r="G70" i="9"/>
  <c r="G73" i="9"/>
  <c r="G74" i="9"/>
  <c r="G75" i="9"/>
  <c r="G78" i="9"/>
  <c r="G79" i="9"/>
  <c r="G80" i="9"/>
  <c r="G81" i="9"/>
  <c r="G82" i="9"/>
  <c r="G83" i="9"/>
  <c r="G86" i="9"/>
  <c r="G87" i="9"/>
  <c r="G88" i="9"/>
  <c r="G89" i="9"/>
  <c r="G90" i="9"/>
  <c r="G91" i="9"/>
  <c r="G94" i="9"/>
  <c r="G95" i="9"/>
  <c r="G96" i="9"/>
  <c r="G97" i="9"/>
  <c r="G98" i="9"/>
  <c r="G99" i="9"/>
  <c r="G58" i="9"/>
  <c r="F99" i="9"/>
  <c r="F98" i="9"/>
  <c r="F97" i="9"/>
  <c r="F96" i="9"/>
  <c r="F95" i="9"/>
  <c r="F94" i="9"/>
  <c r="F91" i="9"/>
  <c r="F90" i="9"/>
  <c r="F89" i="9"/>
  <c r="F88" i="9"/>
  <c r="F87" i="9"/>
  <c r="F86" i="9"/>
  <c r="F83" i="9"/>
  <c r="F82" i="9"/>
  <c r="F81" i="9"/>
  <c r="F80" i="9"/>
  <c r="F79" i="9"/>
  <c r="F78" i="9"/>
  <c r="C86" i="9"/>
  <c r="C87" i="9"/>
  <c r="C88" i="9"/>
  <c r="C83" i="9"/>
  <c r="C82" i="9"/>
  <c r="C81" i="9"/>
  <c r="C80" i="9"/>
  <c r="C79" i="9"/>
  <c r="C78" i="9"/>
  <c r="H26" i="2"/>
  <c r="H29" i="2"/>
  <c r="H30" i="2"/>
  <c r="H28" i="2"/>
  <c r="J75" i="9"/>
  <c r="L75" i="9" s="1"/>
  <c r="K75" i="9" s="1"/>
  <c r="J74" i="9"/>
  <c r="L74" i="9" s="1"/>
  <c r="K74" i="9" s="1"/>
  <c r="L73" i="9"/>
  <c r="K73" i="9" s="1"/>
  <c r="F75" i="9"/>
  <c r="F74" i="9"/>
  <c r="F73" i="9"/>
  <c r="C75" i="9"/>
  <c r="C74" i="9"/>
  <c r="C73" i="9"/>
  <c r="G23" i="6"/>
  <c r="I27" i="11" s="1"/>
  <c r="K27" i="11" s="1"/>
  <c r="J27" i="11" s="1"/>
  <c r="G22" i="6"/>
  <c r="O63" i="9" l="1"/>
  <c r="M63" i="9"/>
  <c r="N63" i="9"/>
  <c r="O62" i="9"/>
  <c r="M62" i="9"/>
  <c r="N62" i="9"/>
  <c r="O61" i="9"/>
  <c r="M61" i="9"/>
  <c r="N61" i="9"/>
  <c r="O60" i="9"/>
  <c r="M60" i="9"/>
  <c r="N60" i="9"/>
  <c r="M59" i="9"/>
  <c r="O59" i="9"/>
  <c r="N59" i="9"/>
  <c r="M58" i="9"/>
  <c r="O58" i="9"/>
  <c r="N58" i="9"/>
  <c r="I23" i="6"/>
  <c r="H23" i="6" s="1"/>
  <c r="I22" i="6"/>
  <c r="H22" i="6" s="1"/>
  <c r="I28" i="11"/>
  <c r="K28" i="11" s="1"/>
  <c r="J28" i="11" s="1"/>
  <c r="F70" i="9"/>
  <c r="F69" i="9"/>
  <c r="F68" i="9"/>
  <c r="F67" i="9"/>
  <c r="F66" i="9"/>
  <c r="F65" i="9"/>
  <c r="C70" i="9"/>
  <c r="C69" i="9"/>
  <c r="C68" i="9"/>
  <c r="C67" i="9"/>
  <c r="C66" i="9"/>
  <c r="C65" i="9"/>
  <c r="H21" i="2"/>
  <c r="K61" i="9" s="1"/>
  <c r="H20" i="2"/>
  <c r="K58" i="9" s="1"/>
  <c r="C52" i="9"/>
  <c r="K60" i="9" l="1"/>
  <c r="H23" i="2"/>
  <c r="L65" i="9" s="1"/>
  <c r="K65" i="9" s="1"/>
  <c r="K59" i="9"/>
  <c r="K63" i="9"/>
  <c r="H24" i="2"/>
  <c r="K62" i="9"/>
  <c r="I33" i="11"/>
  <c r="K33" i="11" s="1"/>
  <c r="J33" i="11" s="1"/>
  <c r="L33" i="11"/>
  <c r="L32" i="11"/>
  <c r="I32" i="11"/>
  <c r="K32" i="11" s="1"/>
  <c r="J32" i="11" s="1"/>
  <c r="L20" i="11"/>
  <c r="I20" i="11"/>
  <c r="K20" i="11" s="1"/>
  <c r="J20" i="11" s="1"/>
  <c r="I19" i="11"/>
  <c r="K19" i="11" s="1"/>
  <c r="J19" i="11" s="1"/>
  <c r="G30" i="11"/>
  <c r="L30" i="11" s="1"/>
  <c r="I23" i="11"/>
  <c r="K23" i="11" s="1"/>
  <c r="J23" i="11" s="1"/>
  <c r="I22" i="11"/>
  <c r="K22" i="11" s="1"/>
  <c r="J22" i="11" s="1"/>
  <c r="L26" i="11"/>
  <c r="I26" i="11"/>
  <c r="K26" i="11" s="1"/>
  <c r="J26" i="11" s="1"/>
  <c r="I25" i="11"/>
  <c r="K25" i="11" s="1"/>
  <c r="J25" i="11" s="1"/>
  <c r="D36" i="11"/>
  <c r="D35" i="11"/>
  <c r="D34" i="11"/>
  <c r="D33" i="11"/>
  <c r="D32" i="11"/>
  <c r="D31" i="11"/>
  <c r="D30" i="11"/>
  <c r="D29" i="11"/>
  <c r="D26" i="11"/>
  <c r="D25" i="11"/>
  <c r="D24" i="11"/>
  <c r="D23" i="11"/>
  <c r="D22" i="11"/>
  <c r="J53" i="9"/>
  <c r="L53" i="9" s="1"/>
  <c r="K53" i="9" s="1"/>
  <c r="J54" i="9"/>
  <c r="L54" i="9" s="1"/>
  <c r="K54" i="9" s="1"/>
  <c r="J55" i="9"/>
  <c r="L55" i="9" s="1"/>
  <c r="K55" i="9" s="1"/>
  <c r="J52" i="9"/>
  <c r="L52" i="9" s="1"/>
  <c r="K52" i="9" s="1"/>
  <c r="C58" i="9"/>
  <c r="C59" i="9"/>
  <c r="C60" i="9"/>
  <c r="C61" i="9"/>
  <c r="C62" i="9"/>
  <c r="C63" i="9"/>
  <c r="C55" i="9"/>
  <c r="C54" i="9"/>
  <c r="C53" i="9"/>
  <c r="L66" i="9" l="1"/>
  <c r="K66" i="9" s="1"/>
  <c r="I30" i="11"/>
  <c r="K30" i="11" s="1"/>
  <c r="J30" i="11" s="1"/>
  <c r="L46" i="9"/>
  <c r="K46" i="9" s="1"/>
  <c r="C44" i="9"/>
  <c r="C46" i="9"/>
  <c r="C47" i="9"/>
  <c r="C48" i="9"/>
  <c r="C49" i="9"/>
  <c r="C50" i="9"/>
  <c r="H17" i="2"/>
  <c r="H16" i="2"/>
  <c r="L44" i="9" s="1"/>
  <c r="K44" i="9" s="1"/>
  <c r="J27" i="9" l="1"/>
  <c r="L27" i="9" s="1"/>
  <c r="K27" i="9" s="1"/>
  <c r="J28" i="9"/>
  <c r="L28" i="9" s="1"/>
  <c r="K28" i="9" s="1"/>
  <c r="J29" i="9"/>
  <c r="L29" i="9" s="1"/>
  <c r="K29" i="9" s="1"/>
  <c r="J30" i="9"/>
  <c r="L30" i="9" s="1"/>
  <c r="K30" i="9" s="1"/>
  <c r="J31" i="9"/>
  <c r="L31" i="9" s="1"/>
  <c r="K31" i="9" s="1"/>
  <c r="J32" i="9"/>
  <c r="L32" i="9" s="1"/>
  <c r="K32" i="9" s="1"/>
  <c r="J33" i="9"/>
  <c r="L33" i="9" s="1"/>
  <c r="K33" i="9" s="1"/>
  <c r="J34" i="9"/>
  <c r="L34" i="9" s="1"/>
  <c r="K34" i="9" s="1"/>
  <c r="J35" i="9"/>
  <c r="L35" i="9" s="1"/>
  <c r="K35" i="9" s="1"/>
  <c r="J36" i="9"/>
  <c r="L36" i="9" s="1"/>
  <c r="K36" i="9" s="1"/>
  <c r="J37" i="9"/>
  <c r="L37" i="9" s="1"/>
  <c r="K37" i="9" s="1"/>
  <c r="J38" i="9"/>
  <c r="L38" i="9" s="1"/>
  <c r="K38" i="9" s="1"/>
  <c r="J39" i="9"/>
  <c r="L39" i="9" s="1"/>
  <c r="K39" i="9" s="1"/>
  <c r="J40" i="9"/>
  <c r="L40" i="9" s="1"/>
  <c r="K40" i="9" s="1"/>
  <c r="J41" i="9"/>
  <c r="L41" i="9" s="1"/>
  <c r="K41" i="9" s="1"/>
  <c r="J17" i="9"/>
  <c r="L17" i="9" s="1"/>
  <c r="K17" i="9" s="1"/>
  <c r="J18" i="9"/>
  <c r="L18" i="9" s="1"/>
  <c r="K18" i="9" s="1"/>
  <c r="J19" i="9"/>
  <c r="L19" i="9" s="1"/>
  <c r="K19" i="9" s="1"/>
  <c r="J20" i="9"/>
  <c r="L20" i="9" s="1"/>
  <c r="K20" i="9" s="1"/>
  <c r="J21" i="9"/>
  <c r="L21" i="9" s="1"/>
  <c r="K21" i="9" s="1"/>
  <c r="J22" i="9"/>
  <c r="L22" i="9" s="1"/>
  <c r="K22" i="9" s="1"/>
  <c r="J23" i="9"/>
  <c r="L23" i="9" s="1"/>
  <c r="K23" i="9" s="1"/>
  <c r="J24" i="9"/>
  <c r="L24" i="9" s="1"/>
  <c r="K24" i="9" s="1"/>
  <c r="J25" i="9"/>
  <c r="L25" i="9" s="1"/>
  <c r="K25" i="9" s="1"/>
  <c r="J26" i="9"/>
  <c r="L26" i="9" s="1"/>
  <c r="K26" i="9" s="1"/>
  <c r="J16" i="9"/>
  <c r="L16" i="9" s="1"/>
  <c r="K16" i="9" s="1"/>
  <c r="D20" i="11" l="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19" i="11"/>
  <c r="E14" i="11" l="1"/>
  <c r="E15" i="11"/>
  <c r="E16" i="11"/>
  <c r="E17" i="11"/>
  <c r="E18" i="11"/>
  <c r="E19" i="11"/>
  <c r="E20" i="11"/>
  <c r="E21" i="11"/>
  <c r="E22" i="11"/>
  <c r="E23" i="11"/>
  <c r="E24" i="11"/>
  <c r="E25" i="11"/>
  <c r="E26"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13" i="11"/>
  <c r="E12" i="11"/>
  <c r="D14" i="11"/>
  <c r="D15" i="11"/>
  <c r="D16" i="11"/>
  <c r="D17" i="11"/>
  <c r="D13" i="11"/>
  <c r="D12" i="11"/>
  <c r="D16" i="9"/>
  <c r="D17" i="9"/>
  <c r="D26" i="9"/>
  <c r="D34" i="9"/>
  <c r="D42" i="9"/>
  <c r="D50" i="9"/>
  <c r="D58" i="9"/>
  <c r="D66" i="9"/>
  <c r="D82" i="9"/>
  <c r="D90" i="9"/>
  <c r="D98" i="9"/>
  <c r="D106" i="9"/>
  <c r="D114" i="9"/>
  <c r="D122" i="9"/>
  <c r="D146" i="9"/>
  <c r="D154" i="9"/>
  <c r="D162" i="9"/>
  <c r="D170" i="9"/>
  <c r="D178" i="9"/>
  <c r="D186" i="9"/>
  <c r="D210" i="9"/>
  <c r="D218" i="9"/>
  <c r="D226" i="9"/>
  <c r="D234" i="9"/>
  <c r="D242" i="9"/>
  <c r="D250" i="9"/>
  <c r="D274" i="9"/>
  <c r="D282" i="9"/>
  <c r="D290" i="9"/>
  <c r="D298" i="9"/>
  <c r="D306" i="9"/>
  <c r="D314" i="9"/>
  <c r="D338" i="9"/>
  <c r="D346" i="9"/>
  <c r="D354" i="9"/>
  <c r="D362" i="9"/>
  <c r="D370" i="9"/>
  <c r="D378" i="9"/>
  <c r="D402" i="9"/>
  <c r="D410" i="9"/>
  <c r="D418" i="9"/>
  <c r="D426" i="9"/>
  <c r="D434" i="9"/>
  <c r="D442" i="9"/>
  <c r="D466" i="9"/>
  <c r="D474" i="9"/>
  <c r="D482" i="9"/>
  <c r="D490" i="9"/>
  <c r="D498" i="9"/>
  <c r="D14" i="9"/>
  <c r="D13" i="9"/>
  <c r="D18" i="9"/>
  <c r="D19" i="9"/>
  <c r="D20" i="9"/>
  <c r="D21" i="9"/>
  <c r="D22" i="9"/>
  <c r="D23" i="9"/>
  <c r="D24" i="9"/>
  <c r="D25" i="9"/>
  <c r="D27" i="9"/>
  <c r="D28" i="9"/>
  <c r="D29" i="9"/>
  <c r="D30" i="9"/>
  <c r="D31" i="9"/>
  <c r="D32" i="9"/>
  <c r="D33" i="9"/>
  <c r="D35" i="9"/>
  <c r="D36" i="9"/>
  <c r="D37" i="9"/>
  <c r="D38" i="9"/>
  <c r="D39" i="9"/>
  <c r="D40" i="9"/>
  <c r="D41" i="9"/>
  <c r="C42" i="9"/>
  <c r="D43" i="9"/>
  <c r="D44" i="9"/>
  <c r="D45" i="9"/>
  <c r="D46" i="9"/>
  <c r="D47" i="9"/>
  <c r="D48" i="9"/>
  <c r="D49" i="9"/>
  <c r="C51" i="9"/>
  <c r="D51" i="9" s="1"/>
  <c r="D52" i="9"/>
  <c r="D53" i="9"/>
  <c r="D54" i="9"/>
  <c r="D55" i="9"/>
  <c r="C56" i="9"/>
  <c r="D56" i="9" s="1"/>
  <c r="D57" i="9"/>
  <c r="D59" i="9"/>
  <c r="D60" i="9"/>
  <c r="D61" i="9"/>
  <c r="D62" i="9"/>
  <c r="D63" i="9"/>
  <c r="D64" i="9"/>
  <c r="D65" i="9"/>
  <c r="D67" i="9"/>
  <c r="D68" i="9"/>
  <c r="D69" i="9"/>
  <c r="D70" i="9"/>
  <c r="D71" i="9"/>
  <c r="D72" i="9"/>
  <c r="D73" i="9"/>
  <c r="D74" i="9"/>
  <c r="D75" i="9"/>
  <c r="D76" i="9"/>
  <c r="D77" i="9"/>
  <c r="D78" i="9"/>
  <c r="D79" i="9"/>
  <c r="D80" i="9"/>
  <c r="D81" i="9"/>
  <c r="D83" i="9"/>
  <c r="D84" i="9"/>
  <c r="D85" i="9"/>
  <c r="D86" i="9"/>
  <c r="D87" i="9"/>
  <c r="D88" i="9"/>
  <c r="C89" i="9"/>
  <c r="D89" i="9" s="1"/>
  <c r="C90" i="9"/>
  <c r="C91" i="9"/>
  <c r="D91" i="9" s="1"/>
  <c r="C92" i="9"/>
  <c r="D92" i="9" s="1"/>
  <c r="C93" i="9"/>
  <c r="D93" i="9" s="1"/>
  <c r="C94" i="9"/>
  <c r="D94" i="9" s="1"/>
  <c r="C95" i="9"/>
  <c r="D95" i="9" s="1"/>
  <c r="C96" i="9"/>
  <c r="D96" i="9" s="1"/>
  <c r="C97" i="9"/>
  <c r="D97" i="9" s="1"/>
  <c r="C98" i="9"/>
  <c r="C99" i="9"/>
  <c r="D99" i="9" s="1"/>
  <c r="D100" i="9"/>
  <c r="D101" i="9"/>
  <c r="C102" i="9"/>
  <c r="D102" i="9" s="1"/>
  <c r="D103" i="9"/>
  <c r="D104" i="9"/>
  <c r="D105" i="9"/>
  <c r="D107" i="9"/>
  <c r="D108" i="9"/>
  <c r="D109" i="9"/>
  <c r="D110" i="9"/>
  <c r="C111" i="9"/>
  <c r="D111" i="9" s="1"/>
  <c r="D112" i="9"/>
  <c r="D113" i="9"/>
  <c r="D115" i="9"/>
  <c r="D116" i="9"/>
  <c r="D117" i="9"/>
  <c r="D118" i="9"/>
  <c r="D119" i="9"/>
  <c r="D120" i="9"/>
  <c r="D121" i="9"/>
  <c r="D123" i="9"/>
  <c r="D124" i="9"/>
  <c r="D125" i="9"/>
  <c r="D126" i="9"/>
  <c r="D127" i="9"/>
  <c r="D128" i="9"/>
  <c r="D129" i="9"/>
  <c r="D130" i="9"/>
  <c r="D131" i="9"/>
  <c r="D132" i="9"/>
  <c r="D133" i="9"/>
  <c r="D134" i="9"/>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C147" i="9"/>
  <c r="D147" i="9" s="1"/>
  <c r="C148" i="9"/>
  <c r="D148" i="9" s="1"/>
  <c r="C149" i="9"/>
  <c r="D149" i="9" s="1"/>
  <c r="C150" i="9"/>
  <c r="D150" i="9" s="1"/>
  <c r="C151" i="9"/>
  <c r="D151" i="9" s="1"/>
  <c r="C152" i="9"/>
  <c r="D152" i="9" s="1"/>
  <c r="C153" i="9"/>
  <c r="D153" i="9" s="1"/>
  <c r="C154" i="9"/>
  <c r="C155" i="9"/>
  <c r="D155" i="9" s="1"/>
  <c r="C156" i="9"/>
  <c r="D156" i="9" s="1"/>
  <c r="C157" i="9"/>
  <c r="D157" i="9" s="1"/>
  <c r="C158" i="9"/>
  <c r="D158" i="9" s="1"/>
  <c r="C159" i="9"/>
  <c r="D159" i="9" s="1"/>
  <c r="C160" i="9"/>
  <c r="D160" i="9" s="1"/>
  <c r="C161" i="9"/>
  <c r="D161" i="9" s="1"/>
  <c r="C162" i="9"/>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C211" i="9"/>
  <c r="D211" i="9" s="1"/>
  <c r="C212" i="9"/>
  <c r="D212" i="9" s="1"/>
  <c r="C213" i="9"/>
  <c r="D213" i="9" s="1"/>
  <c r="C214" i="9"/>
  <c r="D214" i="9" s="1"/>
  <c r="C215" i="9"/>
  <c r="D215" i="9" s="1"/>
  <c r="C216" i="9"/>
  <c r="D216" i="9" s="1"/>
  <c r="C217" i="9"/>
  <c r="D217" i="9" s="1"/>
  <c r="C218" i="9"/>
  <c r="C219" i="9"/>
  <c r="D219" i="9" s="1"/>
  <c r="C220" i="9"/>
  <c r="D220" i="9" s="1"/>
  <c r="C221" i="9"/>
  <c r="D221" i="9" s="1"/>
  <c r="C222" i="9"/>
  <c r="D222" i="9" s="1"/>
  <c r="C223" i="9"/>
  <c r="D223" i="9" s="1"/>
  <c r="C224" i="9"/>
  <c r="D224" i="9" s="1"/>
  <c r="C225" i="9"/>
  <c r="D225" i="9" s="1"/>
  <c r="C226" i="9"/>
  <c r="C227" i="9"/>
  <c r="D227" i="9" s="1"/>
  <c r="C228" i="9"/>
  <c r="D228" i="9" s="1"/>
  <c r="C229" i="9"/>
  <c r="D229" i="9" s="1"/>
  <c r="C230" i="9"/>
  <c r="D230" i="9" s="1"/>
  <c r="C231" i="9"/>
  <c r="D231" i="9" s="1"/>
  <c r="C232" i="9"/>
  <c r="D232" i="9" s="1"/>
  <c r="C233" i="9"/>
  <c r="D233" i="9" s="1"/>
  <c r="C234" i="9"/>
  <c r="C235" i="9"/>
  <c r="D235" i="9" s="1"/>
  <c r="C236" i="9"/>
  <c r="D236" i="9" s="1"/>
  <c r="C237" i="9"/>
  <c r="D237" i="9" s="1"/>
  <c r="C238" i="9"/>
  <c r="D238" i="9" s="1"/>
  <c r="C239" i="9"/>
  <c r="D239" i="9" s="1"/>
  <c r="C240" i="9"/>
  <c r="D240" i="9" s="1"/>
  <c r="C241" i="9"/>
  <c r="D241" i="9" s="1"/>
  <c r="C242" i="9"/>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C275" i="9"/>
  <c r="D275" i="9" s="1"/>
  <c r="C276" i="9"/>
  <c r="D276" i="9" s="1"/>
  <c r="C277" i="9"/>
  <c r="D277" i="9" s="1"/>
  <c r="C278" i="9"/>
  <c r="D278" i="9" s="1"/>
  <c r="C279" i="9"/>
  <c r="D279" i="9" s="1"/>
  <c r="C280" i="9"/>
  <c r="D280" i="9" s="1"/>
  <c r="C281" i="9"/>
  <c r="D281" i="9" s="1"/>
  <c r="C282" i="9"/>
  <c r="C283" i="9"/>
  <c r="D283" i="9" s="1"/>
  <c r="C284" i="9"/>
  <c r="D284" i="9" s="1"/>
  <c r="C285" i="9"/>
  <c r="D285" i="9" s="1"/>
  <c r="C286" i="9"/>
  <c r="D286" i="9" s="1"/>
  <c r="C287" i="9"/>
  <c r="D287" i="9" s="1"/>
  <c r="C288" i="9"/>
  <c r="D288" i="9" s="1"/>
  <c r="C289" i="9"/>
  <c r="D289" i="9" s="1"/>
  <c r="C290" i="9"/>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C403" i="9"/>
  <c r="D403" i="9" s="1"/>
  <c r="C404" i="9"/>
  <c r="D404" i="9" s="1"/>
  <c r="C405" i="9"/>
  <c r="D405" i="9" s="1"/>
  <c r="C406" i="9"/>
  <c r="D406" i="9" s="1"/>
  <c r="C407" i="9"/>
  <c r="D407" i="9" s="1"/>
  <c r="C408" i="9"/>
  <c r="D408" i="9" s="1"/>
  <c r="C409" i="9"/>
  <c r="D409" i="9" s="1"/>
  <c r="C410" i="9"/>
  <c r="C411" i="9"/>
  <c r="D411" i="9" s="1"/>
  <c r="C412" i="9"/>
  <c r="D412" i="9" s="1"/>
  <c r="C413" i="9"/>
  <c r="D413" i="9" s="1"/>
  <c r="C414" i="9"/>
  <c r="D414" i="9" s="1"/>
  <c r="C415" i="9"/>
  <c r="D415" i="9" s="1"/>
  <c r="C416" i="9"/>
  <c r="D416" i="9" s="1"/>
  <c r="C417" i="9"/>
  <c r="D417" i="9" s="1"/>
  <c r="C418" i="9"/>
  <c r="C419" i="9"/>
  <c r="D419" i="9" s="1"/>
  <c r="C420" i="9"/>
  <c r="D420" i="9" s="1"/>
  <c r="C421" i="9"/>
  <c r="D421" i="9" s="1"/>
  <c r="C422" i="9"/>
  <c r="D422" i="9" s="1"/>
  <c r="C423" i="9"/>
  <c r="D423" i="9" s="1"/>
  <c r="C424" i="9"/>
  <c r="D424" i="9" s="1"/>
  <c r="C425" i="9"/>
  <c r="D425" i="9" s="1"/>
  <c r="C426" i="9"/>
  <c r="C427" i="9"/>
  <c r="D427" i="9" s="1"/>
  <c r="C428" i="9"/>
  <c r="D428" i="9" s="1"/>
  <c r="C429" i="9"/>
  <c r="D429" i="9" s="1"/>
  <c r="C430" i="9"/>
  <c r="D430" i="9" s="1"/>
  <c r="C431" i="9"/>
  <c r="D431" i="9" s="1"/>
  <c r="C432" i="9"/>
  <c r="D432" i="9" s="1"/>
  <c r="C433" i="9"/>
  <c r="D433" i="9" s="1"/>
  <c r="C434" i="9"/>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C467" i="9"/>
  <c r="D467" i="9" s="1"/>
  <c r="C468" i="9"/>
  <c r="D468" i="9" s="1"/>
  <c r="C469" i="9"/>
  <c r="D469" i="9" s="1"/>
  <c r="C470" i="9"/>
  <c r="D470" i="9" s="1"/>
  <c r="C471" i="9"/>
  <c r="D471" i="9" s="1"/>
  <c r="C472" i="9"/>
  <c r="D472" i="9" s="1"/>
  <c r="C473" i="9"/>
  <c r="D473" i="9" s="1"/>
  <c r="C474" i="9"/>
  <c r="C475" i="9"/>
  <c r="D475" i="9" s="1"/>
  <c r="C476" i="9"/>
  <c r="D476" i="9" s="1"/>
  <c r="C477" i="9"/>
  <c r="D477" i="9" s="1"/>
  <c r="C478" i="9"/>
  <c r="D478" i="9" s="1"/>
  <c r="C479" i="9"/>
  <c r="D479" i="9" s="1"/>
  <c r="C480" i="9"/>
  <c r="D480" i="9" s="1"/>
  <c r="C481" i="9"/>
  <c r="D481" i="9" s="1"/>
  <c r="C482" i="9"/>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K14" i="11"/>
  <c r="I14" i="11"/>
  <c r="C15" i="9"/>
  <c r="D15" i="9" s="1"/>
  <c r="M14" i="11" l="1"/>
  <c r="L14" i="11"/>
  <c r="N14" i="1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tc={C76EA461-B4D2-C04C-B33E-F7E08EDC37F6}</author>
    <author>tc={6F489106-F0F8-714E-AD1A-D27447BD849B}</author>
    <author>tc={9BF513FA-7D76-CD48-A706-AFEC0F6BA6BB}</author>
    <author>tc={C3F86A0B-DBE8-4348-AA92-CA6D81247B78}</author>
    <author>tc={79B1FFC9-8B4B-8A4F-B0A9-E407DE1A0DC6}</author>
    <author>tc={AA33F6D9-63EF-CB46-BFFB-6F8B98932627}</author>
    <author>tc={F48B2E0C-F479-6A41-92DF-B3643DD4EF01}</author>
    <author>tc={36512377-C64D-6B42-884D-598667F983A2}</author>
    <author>tc={A9182B6D-C30A-E84E-8183-9092416560A0}</author>
    <author>tc={1FAEEA1A-AA56-0D49-85C6-FC66C869830C}</author>
    <author>tc={6DB7FE3A-4BD5-454E-B6CE-529EFF3DBBF6}</author>
    <author>tc={FB24BDC4-5E1E-7C40-99EF-130C6DF100BA}</author>
    <author>tc={3670C227-B182-4849-A476-83E5ADD7D683}</author>
    <author>tc={2542BA69-9CB2-D545-8F3C-35B466F05ECA}</author>
    <author>tc={6C56E233-E174-EF47-81FB-DBAA5AAEA3AE}</author>
    <author>tc={DCE5A170-1533-1D4B-B69A-56D736AC3393}</author>
    <author>tc={6B9698A4-6F29-164A-9D2D-FB73AEEFE793}</author>
  </authors>
  <commentList>
    <comment ref="I12" authorId="0" shapeId="0" xr:uid="{C76EA461-B4D2-C04C-B33E-F7E08EDC37F6}">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J12" authorId="1" shapeId="0" xr:uid="{6F489106-F0F8-714E-AD1A-D27447BD849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H15" authorId="2" shapeId="0" xr:uid="{9BF513FA-7D76-CD48-A706-AFEC0F6BA6BB}">
      <text>
        <t xml:space="preserve">[Threaded comment]
Your version of Excel allows you to read this threaded comment; however, any edits to it will get removed if the file is opened in a newer version of Excel. Learn more: https://go.microsoft.com/fwlink/?linkid=870924
Comment:
    Based on 2023 facility-wide use.
</t>
      </text>
    </comment>
    <comment ref="K15" authorId="3" shapeId="0" xr:uid="{C3F86A0B-DBE8-4348-AA92-CA6D81247B78}">
      <text>
        <t>[Threaded comment]
Your version of Excel allows you to read this threaded comment; however, any edits to it will get removed if the file is opened in a newer version of Excel. Learn more: https://go.microsoft.com/fwlink/?linkid=870924
Comment:
    Reviewing Natural Gas bills identified January as the highest-use month.  The average per day was 745.3 Therms.  Therefore we are estimating 750 therms for highest actual use in a day.
ODEQ’s ghg calculator for fuel combustion used to convert to MMSCF.</t>
      </text>
    </comment>
    <comment ref="K16" authorId="4" shapeId="0" xr:uid="{79B1FFC9-8B4B-8A4F-B0A9-E407DE1A0DC6}">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t>
      </text>
    </comment>
    <comment ref="K17" authorId="5" shapeId="0" xr:uid="{AA33F6D9-63EF-CB46-BFFB-6F8B98932627}">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t>
      </text>
    </comment>
    <comment ref="K18" authorId="6" shapeId="0" xr:uid="{F48B2E0C-F479-6A41-92DF-B3643DD4EF01}">
      <text>
        <t>[Threaded comment]
Your version of Excel allows you to read this threaded comment; however, any edits to it will get removed if the file is opened in a newer version of Excel. Learn more: https://go.microsoft.com/fwlink/?linkid=870924
Comment:
    Maintenance and repair welding of equipment (not parts) is done on an as-needed base.  Assuming 10 days out of the year.</t>
      </text>
    </comment>
    <comment ref="K20" authorId="7" shapeId="0" xr:uid="{36512377-C64D-6B42-884D-598667F983A2}">
      <text>
        <t>[Threaded comment]
Your version of Excel allows you to read this threaded comment; however, any edits to it will get removed if the file is opened in a newer version of Excel. Learn more: https://go.microsoft.com/fwlink/?linkid=870924
Comment:
    Casting activities are conducted 250 days a year</t>
      </text>
    </comment>
    <comment ref="K21" authorId="8" shapeId="0" xr:uid="{A9182B6D-C30A-E84E-8183-9092416560A0}">
      <text>
        <t>[Threaded comment]
Your version of Excel allows you to read this threaded comment; however, any edits to it will get removed if the file is opened in a newer version of Excel. Learn more: https://go.microsoft.com/fwlink/?linkid=870924
Comment:
    Casting activities are conducted 250 days a year</t>
      </text>
    </comment>
    <comment ref="K23" authorId="9" shapeId="0" xr:uid="{1FAEEA1A-AA56-0D49-85C6-FC66C869830C}">
      <text>
        <t>[Threaded comment]
Your version of Excel allows you to read this threaded comment; however, any edits to it will get removed if the file is opened in a newer version of Excel. Learn more: https://go.microsoft.com/fwlink/?linkid=870924
Comment:
    Cutting activities are conducted 250 days a year</t>
      </text>
    </comment>
    <comment ref="K24" authorId="10" shapeId="0" xr:uid="{6DB7FE3A-4BD5-454E-B6CE-529EFF3DBBF6}">
      <text>
        <t>[Threaded comment]
Your version of Excel allows you to read this threaded comment; however, any edits to it will get removed if the file is opened in a newer version of Excel. Learn more: https://go.microsoft.com/fwlink/?linkid=870924
Comment:
    Cutting activities are conducted 250 days a year</t>
      </text>
    </comment>
    <comment ref="K26" authorId="11" shapeId="0" xr:uid="{FB24BDC4-5E1E-7C40-99EF-130C6DF100BA}">
      <text>
        <t>[Threaded comment]
Your version of Excel allows you to read this threaded comment; however, any edits to it will get removed if the file is opened in a newer version of Excel. Learn more: https://go.microsoft.com/fwlink/?linkid=870924
Comment:
    Knock out activities are conducted 250 days a year</t>
      </text>
    </comment>
    <comment ref="G28" authorId="12" shapeId="0" xr:uid="{3670C227-B182-4849-A476-83E5ADD7D683}">
      <text>
        <t>[Threaded comment]
Your version of Excel allows you to read this threaded comment; however, any edits to it will get removed if the file is opened in a newer version of Excel. Learn more: https://go.microsoft.com/fwlink/?linkid=870924
Comment:
    Assumption that the same ratio of F-75:17-4 alloy cast is represented in the alloy shipped.</t>
      </text>
    </comment>
    <comment ref="H28" authorId="13" shapeId="0" xr:uid="{2542BA69-9CB2-D545-8F3C-35B466F05ECA}">
      <text>
        <t xml:space="preserve">[Threaded comment]
Your version of Excel allows you to read this threaded comment; however, any edits to it will get removed if the file is opened in a newer version of Excel. Learn more: https://go.microsoft.com/fwlink/?linkid=870924
Comment:
    275,084 lbs product shipped. Assumption is that 95% of grind emissions are from CELL 1 GATE GRIND
and 2.5% each are from CELL 2 HAND GRIND and REWORK GRIND </t>
      </text>
    </comment>
    <comment ref="K28" authorId="14" shapeId="0" xr:uid="{6C56E233-E174-EF47-81FB-DBAA5AAEA3AE}">
      <text>
        <t>[Threaded comment]
Your version of Excel allows you to read this threaded comment; however, any edits to it will get removed if the file is opened in a newer version of Excel. Learn more: https://go.microsoft.com/fwlink/?linkid=870924
Comment:
    Cell 1 sandblast activities are conducted 250 days a year</t>
      </text>
    </comment>
    <comment ref="K29" authorId="15" shapeId="0" xr:uid="{DCE5A170-1533-1D4B-B69A-56D736AC3393}">
      <text>
        <t>[Threaded comment]
Your version of Excel allows you to read this threaded comment; however, any edits to it will get removed if the file is opened in a newer version of Excel. Learn more: https://go.microsoft.com/fwlink/?linkid=870924
Comment:
    Hand grinding activities occur 250 days per year; some work is also done on weeks by a smaller crew, so this number is conservative.</t>
      </text>
    </comment>
    <comment ref="K30" authorId="16" shapeId="0" xr:uid="{6B9698A4-6F29-164A-9D2D-FB73AEEFE793}">
      <text>
        <t>[Threaded comment]
Your version of Excel allows you to read this threaded comment; however, any edits to it will get removed if the file is opened in a newer version of Excel. Learn more: https://go.microsoft.com/fwlink/?linkid=870924
Comment:
    Hand grinding activities occur 250 days per year; some work is also done on weeks by a smaller crew, so this number is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tc={3AC69E1E-F19D-144D-9974-44874BB2C387}</author>
    <author>tc={F225D1CF-12A6-AE4F-9EAB-9FE5877BA76D}</author>
    <author>tc={AE408DA3-E53A-EC48-BA28-05B480F8CE5E}</author>
    <author>tc={F09D25A0-A950-314D-9820-9E63A1F424C2}</author>
    <author>tc={8B445E4A-085D-3C48-8146-CEB406A35E8A}</author>
    <author>tc={A0202F3B-B079-304D-8554-B3B9110866E2}</author>
    <author>tc={F4341223-5092-E841-9C3B-C333EFA182A0}</author>
    <author>tc={B90713B9-24C5-E545-971E-B1B340A6A301}</author>
    <author>tc={94577954-06DA-BE4E-B2FF-B1A1914C66C0}</author>
    <author>tc={C935C48E-05A5-C747-8107-44374A94978D}</author>
    <author>tc={B39FE1F4-36FF-E24F-80B0-E606176BB304}</author>
    <author>tc={FCE5C933-A1C9-4B4A-96BB-2837C21FA6B9}</author>
    <author>tc={91B43383-DD73-9749-89F5-E85DF8A3075F}</author>
    <author>tc={0BE76A23-A2D9-E845-91C7-5093E4C022C4}</author>
    <author>tc={F4C92806-E1E1-F142-A201-9282F5A4AF8A}</author>
    <author>tc={6523E60B-306B-C14E-8B66-138DCFAB2B32}</author>
    <author>tc={3CFC6C5C-6E5B-6F44-BD8E-665E2C947EBA}</author>
    <author>tc={45460F97-8EF3-B94B-8A27-C1E5616B6457}</author>
  </authors>
  <commentList>
    <comment ref="C12" authorId="0" shapeId="0" xr:uid="{00000000-0006-0000-03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J78" authorId="1" shapeId="0" xr:uid="{3AC69E1E-F19D-144D-9974-44874BB2C387}">
      <text>
        <t>[Threaded comment]
Your version of Excel allows you to read this threaded comment; however, any edits to it will get removed if the file is opened in a newer version of Excel. Learn more: https://go.microsoft.com/fwlink/?linkid=870924
Comment:
    Ratio of F-75 alloy cast as portion of total alloy cast applied at end of formula.</t>
      </text>
    </comment>
    <comment ref="J79" authorId="2" shapeId="0" xr:uid="{F225D1CF-12A6-AE4F-9EAB-9FE5877BA76D}">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0" authorId="3" shapeId="0" xr:uid="{AE408DA3-E53A-EC48-BA28-05B480F8CE5E}">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1" authorId="4" shapeId="0" xr:uid="{F09D25A0-A950-314D-9820-9E63A1F424C2}">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2" authorId="5" shapeId="0" xr:uid="{8B445E4A-085D-3C48-8146-CEB406A35E8A}">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3" authorId="6" shapeId="0" xr:uid="{A0202F3B-B079-304D-8554-B3B9110866E2}">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6" authorId="7" shapeId="0" xr:uid="{F4341223-5092-E841-9C3B-C333EFA182A0}">
      <text>
        <t>[Threaded comment]
Your version of Excel allows you to read this threaded comment; however, any edits to it will get removed if the file is opened in a newer version of Excel. Learn more: https://go.microsoft.com/fwlink/?linkid=870924
Comment:
    Ratio of F-75 alloy cast as portion of total alloy cast applied at end of formula.</t>
      </text>
    </comment>
    <comment ref="J87" authorId="8" shapeId="0" xr:uid="{B90713B9-24C5-E545-971E-B1B340A6A301}">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8" authorId="9" shapeId="0" xr:uid="{94577954-06DA-BE4E-B2FF-B1A1914C66C0}">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89" authorId="10" shapeId="0" xr:uid="{C935C48E-05A5-C747-8107-44374A94978D}">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0" authorId="11" shapeId="0" xr:uid="{B39FE1F4-36FF-E24F-80B0-E606176BB304}">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1" authorId="12" shapeId="0" xr:uid="{FCE5C933-A1C9-4B4A-96BB-2837C21FA6B9}">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4" authorId="13" shapeId="0" xr:uid="{91B43383-DD73-9749-89F5-E85DF8A3075F}">
      <text>
        <t>[Threaded comment]
Your version of Excel allows you to read this threaded comment; however, any edits to it will get removed if the file is opened in a newer version of Excel. Learn more: https://go.microsoft.com/fwlink/?linkid=870924
Comment:
    Ratio of F-75 alloy cast as portion of total alloy cast applied at end of formula.</t>
      </text>
    </comment>
    <comment ref="J95" authorId="14" shapeId="0" xr:uid="{0BE76A23-A2D9-E845-91C7-5093E4C022C4}">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6" authorId="15" shapeId="0" xr:uid="{F4C92806-E1E1-F142-A201-9282F5A4AF8A}">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7" authorId="16" shapeId="0" xr:uid="{6523E60B-306B-C14E-8B66-138DCFAB2B32}">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8" authorId="17" shapeId="0" xr:uid="{3CFC6C5C-6E5B-6F44-BD8E-665E2C947EBA}">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 ref="J99" authorId="18" shapeId="0" xr:uid="{45460F97-8EF3-B94B-8A27-C1E5616B6457}">
      <text>
        <t>[Threaded comment]
Your version of Excel allows you to read this threaded comment; however, any edits to it will get removed if the file is opened in a newer version of Excel. Learn more: https://go.microsoft.com/fwlink/?linkid=870924
Comment:
    Ratio of 17-4 alloy cast as portion of total alloy cast applied at end of formula.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tc={D6156202-04A4-894B-A2FF-25ECE5E83DD2}</author>
    <author>tc={7F277B5A-80C9-414B-BDC4-A8A068A230BB}</author>
    <author>tc={188AF82C-C44C-5A42-B672-677FF39DB9B4}</author>
    <author>tc={166B5572-139F-3F47-A24D-7E56359EE96E}</author>
    <author>tc={9F66E8E2-3BC7-4444-B0CF-1B67C34FD935}</author>
    <author>tc={39CF90FD-80DA-9E49-B648-27DD455FECDA}</author>
    <author>tc={CFA19CC0-B35C-6148-96E1-FA7606D68E22}</author>
    <author>tc={26602F46-4647-7E4A-84F3-7D5A977DB90F}</author>
    <author>tc={7C23C2DA-6E4D-144E-9CFF-A65653FE293C}</author>
    <author>tc={64206491-0FE7-1B4C-ABCF-6E8055A1A0D3}</author>
    <author>tc={E7044D0E-4F4D-6E40-92B0-FEE4F2E014FE}</author>
    <author>tc={73C7AE48-E3B6-674B-A60B-949F8A9BBEE8}</author>
    <author>tc={C9F79BE5-BD69-8041-B0F5-339B31298EB3}</author>
    <author>tc={C66D0809-70E4-0E4F-A52F-A593707B79C8}</author>
  </authors>
  <commentList>
    <comment ref="M10" authorId="0" shapeId="0" xr:uid="{00000000-0006-0000-0400-00000100000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H12" authorId="1" shapeId="0" xr:uid="{D6156202-04A4-894B-A2FF-25ECE5E83DD2}">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I12" authorId="2" shapeId="0" xr:uid="{7F277B5A-80C9-414B-BDC4-A8A068A230B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J16" authorId="3" shapeId="0" xr:uid="{188AF82C-C44C-5A42-B672-677FF39DB9B4}">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J17" authorId="4" shapeId="0" xr:uid="{166B5572-139F-3F47-A24D-7E56359EE96E}">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G19" authorId="5" shapeId="0" xr:uid="{9F66E8E2-3BC7-4444-B0CF-1B67C34FD935}">
      <text>
        <t>[Threaded comment]
Your version of Excel allows you to read this threaded comment; however, any edits to it will get removed if the file is opened in a newer version of Excel. Learn more: https://go.microsoft.com/fwlink/?linkid=870924
Comment:
    Wax lb/year and lb/day values reflect estimate of wax that is treated by the Flashfire Dewax furnace afterburner.  See excel file with supporting calculations, Tab “Dewax”.</t>
      </text>
    </comment>
    <comment ref="J19" authorId="6" shapeId="0" xr:uid="{39CF90FD-80DA-9E49-B648-27DD455FECDA}">
      <text>
        <t>[Threaded comment]
Your version of Excel allows you to read this threaded comment; however, any edits to it will get removed if the file is opened in a newer version of Excel. Learn more: https://go.microsoft.com/fwlink/?linkid=870924
Comment:
    Flashfire Dewax furnace operates 250 days a year</t>
      </text>
    </comment>
    <comment ref="G22" authorId="7" shapeId="0" xr:uid="{CFA19CC0-B35C-6148-96E1-FA7606D68E22}">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2" authorId="8" shapeId="0" xr:uid="{26602F46-4647-7E4A-84F3-7D5A977DB90F}">
      <text>
        <t>[Threaded comment]
Your version of Excel allows you to read this threaded comment; however, any edits to it will get removed if the file is opened in a newer version of Excel. Learn more: https://go.microsoft.com/fwlink/?linkid=870924
Comment:
    Cell 1 sandblast activities occur 250 days a year</t>
      </text>
    </comment>
    <comment ref="G23" authorId="9" shapeId="0" xr:uid="{7C23C2DA-6E4D-144E-9CFF-A65653FE293C}">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3" authorId="10" shapeId="0" xr:uid="{64206491-0FE7-1B4C-ABCF-6E8055A1A0D3}">
      <text>
        <t>[Threaded comment]
Your version of Excel allows you to read this threaded comment; however, any edits to it will get removed if the file is opened in a newer version of Excel. Learn more: https://go.microsoft.com/fwlink/?linkid=870924
Comment:
    Cell 2 sandblast activities occur 250 days a year</t>
      </text>
    </comment>
    <comment ref="J25" authorId="11" shapeId="0" xr:uid="{E7044D0E-4F4D-6E40-92B0-FEE4F2E014FE}">
      <text>
        <t>[Threaded comment]
Your version of Excel allows you to read this threaded comment; however, any edits to it will get removed if the file is opened in a newer version of Excel. Learn more: https://go.microsoft.com/fwlink/?linkid=870924
Comment:
    ~1 Quart is poured into machines reservoirs weekly. Daily use calculated by Annual amount/350 - the number a days machining operates</t>
      </text>
    </comment>
    <comment ref="J27" authorId="12" shapeId="0" xr:uid="{73C7AE48-E3B6-674B-A60B-949F8A9BBEE8}">
      <text>
        <t>[Threaded comment]
Your version of Excel allows you to read this threaded comment; however, any edits to it will get removed if the file is opened in a newer version of Excel. Learn more: https://go.microsoft.com/fwlink/?linkid=870924
Comment:
    Finishing operations are conducted 360 days a year</t>
      </text>
    </comment>
    <comment ref="J28" authorId="13" shapeId="0" xr:uid="{C9F79BE5-BD69-8041-B0F5-339B31298EB3}">
      <text>
        <t>[Threaded comment]
Your version of Excel allows you to read this threaded comment; however, any edits to it will get removed if the file is opened in a newer version of Excel. Learn more: https://go.microsoft.com/fwlink/?linkid=870924
Comment:
    Robot polishing occurs 250 days a year</t>
      </text>
    </comment>
    <comment ref="J30" authorId="14" shapeId="0" xr:uid="{C66D0809-70E4-0E4F-A52F-A593707B79C8}">
      <text>
        <t>[Threaded comment]
Your version of Excel allows you to read this threaded comment; however, any edits to it will get removed if the file is opened in a newer version of Excel. Learn more: https://go.microsoft.com/fwlink/?linkid=870924
Comment:
    Caustic soda in Kolene system kept heated 24/7</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tc={E4920AA5-DC4B-604C-A5DE-6BA6685D9E32}</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 ref="I35" authorId="1" shapeId="0" xr:uid="{E4920AA5-DC4B-604C-A5DE-6BA6685D9E32}">
      <text>
        <t>[Threaded comment]
Your version of Excel allows you to read this threaded comment; however, any edits to it will get removed if the file is opened in a newer version of Excel. Learn more: https://go.microsoft.com/fwlink/?linkid=870924
Comment:
    Assumes 90% of purchased NaOH emitted as ‘mist’ and captured by scrubber. (See Support Calcs for Emissions.xlsx)</t>
      </text>
    </comment>
  </commentList>
</comments>
</file>

<file path=xl/sharedStrings.xml><?xml version="1.0" encoding="utf-8"?>
<sst xmlns="http://schemas.openxmlformats.org/spreadsheetml/2006/main" count="2429" uniqueCount="1495">
  <si>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</si>
  <si>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</si>
  <si>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</si>
  <si>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</si>
  <si>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</si>
  <si>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</si>
  <si>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</si>
  <si>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</si>
  <si>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</si>
  <si>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</si>
  <si>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</si>
  <si>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</si>
  <si>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</si>
  <si>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</si>
  <si>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</si>
  <si>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</si>
  <si>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</si>
  <si>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</si>
  <si>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</si>
  <si>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</si>
  <si>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</si>
  <si>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</si>
  <si>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</si>
  <si>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</si>
  <si>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</si>
  <si>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</si>
  <si>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</si>
  <si>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</si>
  <si>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</si>
  <si>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</si>
  <si>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</si>
  <si>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</si>
  <si>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</si>
  <si>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</si>
  <si>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</si>
  <si>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</si>
  <si>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</si>
  <si>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</si>
  <si>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</si>
  <si>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</si>
  <si>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</si>
  <si>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</si>
  <si>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</si>
  <si>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</si>
  <si>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</si>
  <si>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</si>
  <si>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</si>
  <si>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</si>
  <si>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</si>
  <si>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</si>
  <si>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</si>
  <si>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</si>
  <si>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</si>
  <si>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</si>
  <si>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</si>
  <si>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</si>
  <si>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</si>
  <si>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</si>
  <si>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</si>
  <si>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</si>
  <si>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</si>
  <si>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</si>
  <si>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</si>
  <si>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</si>
  <si>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</si>
  <si>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</si>
  <si>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</si>
  <si>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</si>
  <si>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</si>
  <si>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</si>
  <si>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</si>
  <si>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</si>
  <si>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</si>
  <si>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</si>
  <si>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</si>
  <si>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</si>
  <si>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</si>
  <si>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</si>
  <si>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</si>
  <si>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</si>
  <si>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</si>
  <si>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</si>
  <si>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</si>
  <si>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</si>
  <si>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</si>
  <si>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</si>
  <si>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</si>
  <si>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</si>
  <si>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</si>
  <si>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</si>
  <si>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</si>
  <si>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</si>
  <si>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</si>
  <si>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</si>
  <si>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</si>
  <si>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</si>
  <si>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</si>
  <si>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</si>
  <si>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</si>
  <si>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</si>
  <si>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</si>
  <si>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</si>
  <si>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</si>
  <si>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</si>
  <si>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</si>
  <si>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</si>
  <si>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</si>
  <si>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</si>
  <si>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</si>
  <si>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</si>
  <si>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</si>
  <si>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</si>
  <si>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</si>
  <si>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</si>
  <si>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</si>
  <si>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</si>
  <si>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</si>
  <si>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</si>
  <si>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</si>
  <si>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</si>
  <si>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</si>
  <si>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</si>
  <si>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</si>
  <si>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</si>
  <si>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</si>
  <si>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</si>
  <si>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</si>
  <si>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</si>
  <si>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</si>
  <si>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</si>
  <si>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</si>
  <si>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</si>
  <si>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</si>
  <si>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</si>
  <si>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</si>
  <si>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</si>
  <si>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</si>
  <si>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</si>
  <si>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</si>
  <si>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</si>
  <si>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</si>
  <si>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</si>
  <si>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</si>
  <si>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</si>
  <si>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</si>
  <si>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</si>
  <si>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</si>
  <si>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</si>
  <si>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</si>
  <si>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</si>
  <si>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</si>
  <si>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</si>
  <si>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</si>
  <si>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</si>
  <si>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</si>
  <si>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</si>
  <si>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</si>
  <si>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</si>
  <si>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</si>
  <si>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</si>
  <si>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</si>
  <si>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</si>
  <si>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</si>
  <si>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</si>
  <si>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</si>
  <si>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</si>
  <si>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</si>
  <si>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</si>
  <si>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</si>
  <si>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</si>
  <si>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</si>
  <si>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</si>
  <si>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</si>
  <si>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</si>
  <si>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</si>
  <si>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</si>
  <si>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</si>
  <si>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</si>
  <si>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</si>
  <si>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</si>
  <si>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</si>
  <si>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</si>
  <si>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</si>
  <si>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</si>
  <si>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</si>
  <si>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</si>
  <si>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</si>
  <si>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</si>
  <si>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</si>
  <si>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</si>
  <si>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</si>
  <si>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</si>
  <si>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</si>
  <si>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</si>
  <si>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</si>
  <si>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</si>
  <si>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</si>
  <si>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</si>
  <si>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</si>
  <si>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</si>
  <si>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</si>
  <si>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</si>
  <si>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</si>
  <si>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</si>
  <si>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</si>
  <si>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</si>
  <si>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</si>
  <si>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</si>
  <si>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</si>
  <si>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</si>
  <si>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</si>
  <si>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</si>
  <si>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</si>
  <si>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</si>
  <si>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</si>
  <si>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</si>
  <si>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</si>
  <si>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</si>
  <si>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</si>
  <si>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</si>
  <si>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</si>
  <si>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</si>
  <si>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</si>
  <si>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</si>
  <si>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</si>
  <si>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</si>
  <si>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</si>
  <si>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</si>
  <si>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</si>
  <si>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</si>
  <si>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</si>
  <si>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</si>
  <si>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</si>
  <si>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</si>
  <si>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</si>
  <si>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</si>
  <si>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</si>
  <si>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</si>
  <si>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</si>
  <si>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</si>
  <si>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</si>
  <si>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</si>
  <si>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</si>
  <si>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</si>
  <si>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</si>
  <si>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</si>
  <si>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</si>
  <si>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</si>
  <si>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</si>
  <si>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</si>
  <si>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</si>
  <si>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</si>
  <si>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</si>
  <si>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</si>
  <si>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</si>
  <si>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</si>
  <si>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</si>
  <si>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</si>
  <si>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</si>
  <si>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</si>
  <si>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</si>
  <si>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</si>
  <si>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</si>
  <si>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</si>
  <si>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</si>
  <si>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</si>
  <si>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</si>
  <si>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</si>
  <si>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</si>
  <si>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</si>
  <si>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</si>
  <si>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</si>
  <si>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</si>
  <si>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</si>
  <si>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</si>
  <si>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</si>
  <si>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</si>
  <si>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</si>
  <si>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</si>
  <si>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</si>
  <si>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</si>
  <si>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</si>
  <si>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</si>
  <si>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</si>
  <si>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</si>
  <si>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</si>
  <si>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</si>
  <si>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</si>
  <si>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</si>
  <si>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</si>
  <si>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</si>
  <si>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</si>
  <si>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</si>
  <si>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</si>
  <si>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</si>
  <si>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</si>
  <si>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</si>
  <si>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</si>
  <si>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</si>
  <si>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</si>
  <si>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</si>
  <si>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</si>
  <si>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</si>
  <si>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</si>
  <si>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</si>
  <si>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</si>
  <si>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</si>
  <si>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</si>
  <si>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</si>
  <si>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</si>
  <si>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</si>
  <si>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</si>
  <si>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</si>
  <si>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</si>
  <si>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</si>
  <si>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</si>
  <si>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</si>
  <si>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</si>
  <si>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</si>
  <si>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</si>
  <si>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</si>
  <si>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</si>
  <si>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</si>
  <si>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</si>
  <si>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</si>
  <si>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</si>
  <si>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</si>
  <si>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</si>
  <si>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</si>
  <si>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</si>
  <si>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</si>
  <si>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</si>
  <si>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</si>
  <si>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</si>
  <si>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</si>
  <si>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</si>
  <si>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</si>
  <si>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</si>
  <si>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</si>
  <si>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</si>
  <si>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</si>
  <si>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</si>
  <si>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</si>
  <si>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</si>
  <si>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</si>
  <si>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</si>
  <si>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</si>
  <si>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</si>
  <si>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</si>
  <si>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</si>
  <si>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</si>
  <si>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</si>
  <si>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</si>
  <si>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</si>
  <si>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</si>
  <si>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</si>
  <si>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</si>
  <si>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</si>
  <si>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</si>
  <si>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</si>
  <si>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</si>
  <si>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</si>
  <si>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</si>
  <si>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</si>
  <si>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</si>
  <si>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</si>
  <si>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</si>
  <si>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</si>
  <si>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</si>
  <si>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</si>
  <si>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</si>
  <si>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</si>
  <si>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</si>
  <si>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</si>
  <si>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</si>
  <si>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</si>
  <si>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</si>
  <si>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</si>
  <si>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</si>
  <si>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</si>
  <si>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</si>
  <si>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</si>
  <si>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</si>
  <si>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</si>
  <si>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</si>
  <si>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</si>
  <si>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</si>
  <si>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</si>
  <si>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</si>
  <si>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</si>
  <si>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</si>
  <si>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</si>
  <si>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</si>
  <si>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</si>
  <si>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</si>
  <si>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</si>
  <si>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</si>
  <si>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</si>
  <si>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</si>
  <si>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</si>
  <si>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</si>
  <si>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</si>
  <si>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</si>
  <si>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</si>
  <si>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</si>
  <si>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</si>
  <si>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</si>
  <si>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</si>
  <si>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</si>
  <si>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</si>
  <si>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</si>
  <si>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</si>
  <si>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</si>
  <si>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</si>
  <si>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</si>
  <si>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</si>
  <si>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</si>
  <si>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</si>
  <si>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</si>
  <si>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</si>
  <si>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</si>
  <si>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</si>
  <si>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</si>
  <si>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</si>
  <si>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</si>
  <si>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</si>
  <si>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</si>
  <si>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</si>
  <si>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</si>
  <si>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</si>
  <si>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</si>
  <si>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</si>
  <si>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</si>
  <si>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</si>
  <si>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</si>
  <si>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</si>
  <si>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</si>
  <si>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</si>
  <si>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</si>
  <si>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</si>
  <si>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</si>
  <si>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</si>
  <si>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</si>
  <si>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</si>
  <si>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</si>
  <si>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</si>
  <si>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</si>
  <si>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</si>
  <si>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</si>
  <si>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</si>
  <si>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</si>
  <si>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</si>
  <si>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</si>
  <si>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</si>
  <si>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</si>
  <si>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</si>
  <si>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</si>
  <si>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</si>
  <si>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</si>
  <si>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</si>
  <si>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</si>
  <si>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</si>
  <si>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</si>
  <si>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</si>
  <si>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</si>
  <si>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</si>
  <si>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</si>
  <si>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</si>
  <si>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</si>
  <si>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</si>
  <si>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</si>
  <si>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</si>
  <si>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</si>
  <si>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</si>
  <si>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</si>
  <si>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</si>
  <si>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</si>
  <si>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</si>
  <si>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</si>
  <si>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</si>
  <si>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</si>
  <si>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</si>
  <si>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</si>
  <si>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</si>
  <si>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</si>
  <si>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</si>
  <si>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</si>
  <si>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</si>
  <si>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</si>
  <si>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</si>
  <si>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</si>
  <si>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</si>
  <si>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</si>
  <si>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</si>
  <si>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</si>
  <si>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</si>
  <si>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</si>
  <si>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</si>
  <si>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</si>
  <si>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</si>
  <si>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</si>
  <si>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</si>
  <si>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</si>
  <si>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</si>
  <si>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</si>
  <si>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</si>
  <si>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</si>
  <si>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</si>
  <si>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</si>
  <si>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</si>
  <si>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</si>
  <si>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</si>
  <si>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</si>
  <si>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</si>
  <si>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</si>
  <si>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</si>
  <si>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</si>
  <si>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</si>
  <si>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</si>
  <si>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</si>
  <si>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</si>
  <si>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</si>
  <si>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</si>
  <si>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</si>
  <si>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</si>
  <si>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</si>
  <si>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</si>
  <si>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</si>
  <si>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</si>
  <si>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</si>
  <si>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</si>
  <si>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</si>
  <si>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</si>
  <si>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</si>
  <si>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</si>
  <si>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</si>
  <si>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</si>
  <si>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</si>
  <si>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</si>
  <si>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</si>
  <si>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</si>
  <si>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</si>
  <si>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</si>
  <si>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</si>
  <si>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</si>
  <si>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</si>
  <si>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</si>
  <si>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</si>
  <si>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</si>
  <si>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</si>
  <si>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</si>
  <si>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</si>
  <si>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</si>
  <si>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</si>
  <si>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</si>
  <si>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</si>
  <si>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</si>
  <si>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</si>
  <si>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</si>
  <si>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</si>
  <si>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</si>
  <si>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</si>
  <si>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</si>
  <si>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</si>
  <si>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</si>
  <si>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</si>
  <si>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</si>
  <si>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</si>
  <si>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</si>
  <si>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</si>
  <si>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</si>
  <si>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</si>
  <si>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</si>
  <si>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</si>
  <si>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</si>
  <si>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</si>
  <si>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</si>
  <si>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</si>
  <si>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</si>
  <si>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</si>
  <si>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</si>
  <si>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</si>
  <si>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</si>
  <si>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</si>
  <si>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</si>
  <si>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</si>
  <si>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</si>
  <si>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</si>
  <si>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</si>
  <si>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</si>
  <si>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</si>
  <si>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</si>
  <si>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</si>
  <si>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</si>
  <si>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</si>
  <si>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</si>
  <si>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</si>
  <si>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</si>
  <si>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</si>
  <si>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</si>
  <si>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</si>
  <si>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</si>
  <si>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</si>
  <si>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</si>
  <si>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</si>
  <si>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</si>
  <si>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</si>
  <si>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</si>
  <si>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</si>
  <si>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</si>
  <si>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</si>
  <si>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</si>
  <si>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</si>
  <si>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</si>
  <si>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</si>
  <si>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</si>
  <si>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</si>
  <si>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</si>
  <si>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</si>
  <si>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</si>
  <si>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</si>
  <si>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</si>
  <si>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</si>
  <si>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</si>
  <si>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</si>
  <si>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</si>
  <si>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</si>
  <si>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</si>
  <si>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</si>
  <si>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</si>
  <si>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</si>
  <si>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</si>
  <si>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</si>
  <si>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</si>
  <si>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</si>
  <si>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</si>
  <si>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</si>
  <si>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</si>
  <si>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</si>
  <si>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</si>
  <si>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</si>
  <si>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</si>
  <si>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</si>
  <si>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</si>
  <si>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</si>
  <si>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</si>
  <si>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</si>
  <si>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</si>
  <si>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</si>
  <si>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</si>
  <si>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</si>
  <si>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</si>
  <si>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</si>
  <si>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</si>
  <si>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</si>
  <si>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</si>
  <si>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</si>
  <si>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</si>
  <si>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</si>
  <si>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</si>
  <si>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</si>
  <si>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</si>
  <si>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</si>
  <si>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</si>
  <si>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</si>
  <si>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</si>
  <si>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</si>
  <si>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</si>
  <si>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</si>
  <si>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</si>
  <si>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</si>
  <si>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</si>
  <si>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</si>
  <si>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</si>
  <si>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</si>
  <si>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</si>
  <si>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</si>
  <si>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</si>
  <si>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</si>
  <si>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</si>
  <si>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</si>
  <si>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</si>
  <si>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</si>
  <si>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</si>
  <si>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</si>
  <si>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</si>
  <si>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</si>
  <si>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</si>
  <si>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</si>
  <si>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</si>
  <si>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</si>
  <si>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</si>
  <si>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</si>
  <si>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</si>
  <si>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</si>
  <si>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</si>
  <si>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</si>
  <si>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</si>
  <si>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</si>
  <si>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</si>
  <si>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</si>
  <si>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</si>
  <si>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</si>
  <si>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</si>
  <si>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</si>
  <si>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</si>
  <si>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</si>
  <si>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</si>
  <si>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</si>
  <si>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</si>
  <si>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</si>
  <si>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</si>
  <si>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</si>
  <si>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</si>
  <si>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</si>
  <si>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</si>
  <si>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</si>
  <si>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</si>
  <si>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</si>
  <si>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</si>
  <si>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</si>
  <si>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</si>
  <si>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</si>
  <si>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</si>
  <si>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</si>
  <si>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</si>
  <si>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</si>
  <si>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</si>
  <si>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</si>
  <si>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</si>
  <si>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</si>
  <si>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</si>
  <si>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</si>
  <si>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</si>
  <si>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</si>
  <si>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</si>
  <si>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</si>
  <si>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</si>
  <si>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</si>
  <si>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</si>
  <si>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</si>
  <si>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</si>
  <si>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</si>
  <si>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</si>
  <si>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</si>
  <si>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</si>
  <si>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</si>
  <si>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</si>
  <si>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</si>
  <si>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</si>
  <si>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</si>
  <si>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</si>
  <si>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</si>
  <si>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</si>
  <si>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</si>
  <si>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</si>
  <si>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</si>
  <si>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</si>
  <si>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</si>
  <si>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</si>
  <si>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</si>
  <si>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</si>
  <si>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</si>
  <si>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</si>
  <si>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</si>
  <si>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</si>
  <si>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</si>
  <si>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</si>
  <si>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</si>
  <si>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</si>
  <si>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</si>
  <si>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</si>
  <si>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</si>
  <si>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</si>
  <si>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</si>
  <si>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</si>
  <si>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</si>
  <si>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</si>
  <si>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</si>
  <si>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</si>
  <si>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</si>
  <si>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</si>
  <si>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</si>
  <si>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</si>
  <si>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</si>
  <si>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</si>
  <si>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</si>
  <si>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</si>
  <si>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</si>
  <si>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</si>
  <si>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</si>
  <si>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</si>
  <si>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</si>
  <si>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</si>
  <si>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</si>
  <si>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</si>
  <si>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</si>
  <si>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</si>
  <si>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</si>
  <si>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</si>
  <si>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</si>
  <si>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</si>
  <si>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</si>
  <si>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</si>
  <si>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</si>
  <si>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</si>
  <si>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</si>
  <si>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</si>
  <si>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</si>
  <si>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</si>
  <si>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</si>
  <si>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</si>
  <si>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</si>
  <si>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</si>
  <si>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</si>
  <si>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</si>
  <si>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</si>
  <si>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</si>
  <si>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</si>
  <si>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</si>
  <si>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</si>
  <si>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</si>
  <si>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</si>
  <si>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</si>
  <si>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</si>
  <si>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</si>
  <si>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</si>
  <si>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</si>
  <si>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</si>
  <si>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</si>
  <si>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</si>
  <si>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</si>
  <si>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</si>
  <si>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</si>
  <si>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</si>
  <si>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</si>
  <si>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</si>
  <si>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</si>
  <si>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</si>
  <si>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</si>
  <si>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</si>
  <si>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</si>
  <si>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</si>
  <si>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</si>
  <si>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</si>
  <si>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</si>
  <si>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</si>
  <si>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</si>
  <si>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</si>
  <si>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</si>
  <si>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</si>
  <si>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</si>
  <si>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</si>
  <si>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</si>
  <si>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</si>
  <si>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</si>
  <si>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</si>
  <si>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</si>
  <si>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</si>
  <si>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</si>
  <si>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</si>
  <si>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</si>
  <si>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</si>
  <si>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</si>
  <si>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</si>
  <si>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</si>
  <si>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</si>
  <si>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</si>
  <si>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</si>
  <si>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</si>
  <si>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</si>
  <si>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</si>
  <si>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</si>
  <si>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</si>
  <si>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</si>
  <si>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</si>
  <si>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</si>
  <si>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</si>
  <si>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</si>
  <si>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</si>
  <si>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</si>
  <si>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</si>
  <si>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</si>
  <si>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</si>
  <si>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</si>
  <si>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</si>
  <si>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</si>
  <si>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</si>
  <si>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</si>
  <si>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</si>
  <si>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</si>
  <si>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</si>
  <si>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</si>
  <si>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</si>
  <si>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</si>
  <si>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</si>
  <si>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</si>
  <si>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</si>
  <si>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</si>
  <si>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</si>
  <si>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</si>
  <si>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</si>
  <si>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</si>
  <si>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</si>
  <si>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</si>
  <si>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</si>
  <si>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</si>
  <si>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</si>
  <si>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</si>
  <si>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</si>
  <si>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</si>
  <si>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</si>
  <si>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</si>
  <si>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</si>
  <si>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</si>
  <si>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</si>
  <si>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</si>
  <si>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</si>
  <si>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</si>
  <si>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</si>
  <si>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</si>
  <si>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</si>
  <si>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</si>
  <si>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</si>
  <si>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</si>
  <si>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</si>
  <si>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</si>
  <si>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</si>
  <si>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</si>
  <si>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</si>
  <si>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</si>
  <si>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</si>
  <si>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</si>
  <si>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</si>
  <si>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</si>
  <si>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</si>
  <si>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</si>
  <si>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</si>
  <si>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</si>
  <si>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</si>
  <si>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</si>
  <si>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</si>
  <si>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</si>
  <si>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</si>
  <si>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</si>
  <si>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</si>
  <si>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</si>
  <si>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</si>
  <si>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</si>
  <si>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</si>
  <si>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</si>
  <si>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</si>
  <si>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</si>
  <si>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</si>
  <si>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</si>
  <si>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</si>
  <si>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</si>
  <si>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</si>
  <si>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</si>
  <si>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</si>
  <si>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</si>
  <si>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</si>
  <si>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</si>
  <si>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</si>
  <si>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</si>
  <si>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</si>
  <si>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</si>
  <si>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</si>
  <si>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</si>
  <si>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</si>
  <si>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</si>
  <si>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</si>
  <si>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</si>
  <si>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</si>
  <si>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</si>
  <si>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</si>
  <si>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</si>
  <si>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</si>
  <si>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</si>
  <si>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</si>
  <si>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</si>
  <si>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</si>
  <si>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</si>
  <si>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</si>
  <si>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</si>
  <si>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</si>
  <si>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</si>
  <si>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</si>
  <si>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</si>
  <si>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</si>
  <si>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</si>
  <si>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</si>
  <si>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</si>
  <si>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</si>
  <si>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</si>
  <si>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</si>
  <si>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</si>
  <si>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</si>
  <si>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</si>
  <si>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</si>
  <si>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</si>
  <si>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</si>
  <si>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</si>
  <si>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</si>
  <si>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</si>
  <si>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</si>
  <si>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</si>
  <si>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</si>
  <si>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</si>
  <si>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</si>
  <si>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</si>
  <si>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</si>
  <si>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</si>
  <si>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</si>
  <si>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</si>
  <si>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</si>
  <si>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</si>
  <si>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</si>
  <si>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</si>
  <si>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</si>
  <si>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</si>
  <si>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</si>
  <si>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</si>
  <si>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</si>
  <si>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</si>
  <si>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</si>
  <si>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</si>
  <si>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</si>
  <si>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</si>
  <si>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</si>
  <si>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</si>
  <si>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</si>
  <si>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</si>
  <si>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</si>
  <si>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</si>
  <si>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</si>
  <si>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</si>
  <si>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</si>
  <si>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</si>
  <si>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</si>
  <si>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</si>
  <si>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</si>
  <si>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</si>
  <si>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</si>
  <si>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</si>
  <si>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</si>
  <si>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</si>
  <si>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</si>
  <si>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</si>
  <si>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</si>
  <si>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</si>
  <si>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</si>
  <si>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</si>
  <si>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</si>
  <si>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</si>
  <si>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</si>
  <si>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</si>
  <si>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</si>
  <si>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</si>
  <si>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</si>
  <si>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</si>
  <si>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</si>
  <si>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</si>
  <si>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</si>
  <si>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</si>
  <si>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</si>
  <si>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</si>
  <si>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</si>
  <si>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</si>
  <si>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</si>
  <si>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</si>
  <si>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</si>
  <si>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</si>
  <si>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</si>
  <si>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</si>
  <si>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</si>
  <si>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</si>
  <si>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</si>
  <si>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</si>
  <si>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</si>
  <si>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</si>
  <si>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</si>
  <si>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</si>
  <si>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</si>
  <si>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</si>
  <si>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</si>
  <si>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</si>
  <si>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</si>
  <si>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</si>
  <si>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</si>
  <si>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</si>
  <si>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</si>
  <si>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</si>
  <si>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</si>
  <si>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</si>
  <si>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</si>
  <si>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</si>
  <si>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</si>
  <si>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</si>
  <si>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</si>
  <si>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</si>
  <si>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</si>
  <si>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</si>
  <si>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</si>
  <si>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</si>
  <si>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</si>
  <si>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</si>
  <si>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</si>
  <si>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</si>
  <si>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</si>
  <si>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</si>
  <si>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</si>
  <si>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</si>
  <si>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</si>
  <si>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</si>
  <si>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</si>
  <si>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</si>
  <si>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</si>
  <si>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</si>
  <si>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</si>
  <si>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</si>
  <si>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</si>
  <si>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</si>
  <si>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</si>
  <si>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</si>
  <si>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</si>
  <si>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</si>
  <si>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</si>
  <si>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</si>
  <si>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</si>
  <si>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</si>
  <si>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</si>
  <si>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</si>
  <si>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</si>
  <si>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</si>
  <si>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</si>
  <si>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</si>
  <si>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</si>
  <si>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</si>
  <si>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</si>
  <si>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</si>
  <si>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</si>
  <si>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</si>
  <si>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</si>
  <si>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</si>
  <si>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</si>
  <si>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</si>
  <si>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</si>
  <si>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</si>
  <si>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</si>
  <si>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</si>
  <si>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</si>
  <si>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</si>
  <si>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</si>
  <si>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</si>
  <si>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</si>
  <si>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</si>
  <si>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</si>
  <si>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</si>
  <si>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</si>
  <si>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</si>
  <si>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</si>
  <si>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</si>
  <si>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</si>
  <si>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</si>
  <si>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</si>
  <si>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</si>
  <si>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</si>
  <si>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</si>
  <si>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</si>
  <si>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</si>
  <si>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</si>
  <si>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</si>
  <si>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</si>
  <si>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</si>
  <si>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</si>
  <si>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</si>
  <si>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</si>
  <si>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</si>
  <si>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</si>
  <si>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</si>
  <si>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</si>
  <si>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</si>
  <si>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</si>
  <si>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</si>
  <si>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</si>
  <si>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</si>
  <si>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</si>
  <si>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</si>
  <si>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</si>
  <si>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</si>
  <si>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</si>
  <si>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</si>
  <si>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</si>
  <si>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</si>
  <si>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</si>
  <si>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</si>
  <si>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</si>
  <si>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</si>
  <si>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</si>
  <si>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</si>
  <si>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</si>
  <si>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</si>
  <si>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</si>
  <si>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</si>
  <si>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</si>
  <si>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</si>
  <si>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</si>
  <si>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</si>
  <si>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</si>
  <si>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</si>
  <si>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</si>
  <si>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</si>
  <si>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</si>
  <si>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</si>
  <si>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</si>
  <si>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</si>
  <si>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</si>
  <si>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</si>
  <si>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</si>
  <si>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</si>
  <si>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</si>
  <si>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</si>
  <si>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</si>
  <si>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</si>
  <si>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</si>
  <si>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</si>
  <si>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</si>
  <si>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</si>
  <si>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</si>
  <si>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</si>
  <si>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</si>
  <si>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</si>
  <si>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</si>
  <si>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</si>
  <si>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</si>
  <si>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</si>
  <si>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</si>
  <si>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</si>
  <si>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</si>
  <si>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</si>
  <si>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</si>
  <si>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</si>
  <si>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</si>
  <si>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</si>
  <si>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</si>
  <si>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</si>
  <si>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</si>
  <si>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</si>
  <si>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</si>
  <si>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</si>
  <si>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</si>
  <si>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</si>
  <si>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</si>
  <si>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</si>
  <si>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</si>
  <si>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</si>
  <si>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</si>
  <si>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</si>
  <si>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</si>
  <si>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</si>
  <si>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</si>
  <si>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</si>
  <si>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</si>
  <si>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</si>
  <si>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</si>
  <si>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</si>
  <si>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</si>
  <si>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</si>
  <si>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</si>
  <si>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</si>
  <si>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</si>
  <si>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</si>
  <si>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</si>
  <si>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</si>
  <si>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</si>
  <si>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</si>
  <si>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</si>
  <si>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</si>
  <si>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</si>
  <si>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</si>
  <si>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</si>
  <si>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</si>
  <si>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</si>
  <si>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</si>
  <si>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</si>
  <si>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</si>
  <si>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</si>
  <si>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</si>
  <si>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</si>
  <si>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</si>
  <si>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</si>
  <si>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</si>
  <si>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</si>
  <si>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</si>
  <si>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</si>
  <si>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</si>
  <si>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</si>
  <si>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</si>
  <si>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</si>
  <si>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</si>
  <si>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</si>
  <si>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</si>
  <si>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</si>
  <si>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</si>
  <si>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</si>
  <si>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</si>
  <si>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</si>
  <si>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</si>
  <si>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</si>
  <si>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</si>
  <si>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</si>
  <si>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</si>
  <si>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</si>
  <si>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</si>
  <si>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</si>
  <si>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</si>
  <si>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</si>
  <si>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</si>
  <si>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</si>
  <si>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</si>
  <si>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</si>
  <si>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</si>
  <si>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</si>
  <si>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</si>
  <si>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</si>
  <si>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</si>
  <si>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</si>
  <si>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</si>
  <si>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</si>
  <si>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</si>
  <si>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</si>
  <si>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</si>
  <si>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</si>
  <si>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</si>
  <si>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</si>
  <si>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</si>
  <si>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</si>
  <si>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</si>
  <si>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</si>
  <si>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</si>
  <si>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</si>
  <si>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</si>
  <si>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</si>
  <si>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</si>
  <si>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</si>
  <si>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</si>
  <si>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</si>
  <si>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</si>
  <si>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</si>
  <si>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</si>
  <si>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</si>
  <si>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</si>
  <si>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</si>
  <si>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</si>
  <si>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</si>
  <si>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</si>
  <si>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</si>
  <si>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</si>
  <si>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</si>
  <si>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</si>
  <si>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Orchid Orthopedic Solutions Oregon, Inc.</t>
  </si>
  <si>
    <t>13963 Fir Street</t>
  </si>
  <si>
    <t>Oregon City</t>
  </si>
  <si>
    <t>03-2505-SI-01</t>
  </si>
  <si>
    <t>Nate Holwege</t>
  </si>
  <si>
    <t>971-563-2754</t>
  </si>
  <si>
    <t>None</t>
  </si>
  <si>
    <t>Fugitive</t>
  </si>
  <si>
    <t>MMSCF</t>
  </si>
  <si>
    <t>Natural Gas</t>
  </si>
  <si>
    <t>Welding Rod</t>
  </si>
  <si>
    <t>Dust Collection System</t>
  </si>
  <si>
    <t>Tons</t>
  </si>
  <si>
    <t>Dust Collection Systems</t>
  </si>
  <si>
    <t>Emissions related to Pacific Kiln FlashFire Dewax system</t>
  </si>
  <si>
    <t>F-75 CAST</t>
  </si>
  <si>
    <t>17-4 CAST</t>
  </si>
  <si>
    <t>DC2</t>
  </si>
  <si>
    <t>F-75 CUT</t>
  </si>
  <si>
    <t>17-4 CUT</t>
  </si>
  <si>
    <t>DC1</t>
  </si>
  <si>
    <t>Emissions related to F-75 alloy gate assemblies being cut into individual parts</t>
  </si>
  <si>
    <t>Emissions related to 7-14 alloy gate assemblies being cut into individual parts</t>
  </si>
  <si>
    <t>Emissions related to F-75 alloy melting, charging/tapping, pouring/casting and cooling</t>
  </si>
  <si>
    <t>Emissions related to 17-4 alloy melting, charging/tapping, pouring/casting and cooling</t>
  </si>
  <si>
    <t>lb/MMSCF</t>
  </si>
  <si>
    <t>CAO NG Ext. Comb. (a)</t>
  </si>
  <si>
    <t>lbs/ton</t>
  </si>
  <si>
    <t>994-1-1002 Green Cerita Casting Wax</t>
  </si>
  <si>
    <t>M. Argüeso &amp; Co., Inc. (dba Paramelt)</t>
  </si>
  <si>
    <t>POINT</t>
  </si>
  <si>
    <t>2-R736 Mod-A Reclaim Wax</t>
  </si>
  <si>
    <t>pounds</t>
  </si>
  <si>
    <t>WELD (F-75)</t>
  </si>
  <si>
    <t>WELD (17-4)</t>
  </si>
  <si>
    <t>lb/lb rod</t>
  </si>
  <si>
    <t>SDS range (5-20% w/w), average used.  Afterburner control (99%) based on manufacturer literature.</t>
  </si>
  <si>
    <t>SDS range (10-45% w/w), average used.  Afterburner control (99%) based on manufacturer literature.</t>
  </si>
  <si>
    <t>TIG welding of F-75 Alloy during product Rework</t>
  </si>
  <si>
    <t>TIG welding of 17-4 Alloy during product Rework</t>
  </si>
  <si>
    <t>WELD (MIG)</t>
  </si>
  <si>
    <t>MIG welding during occasional maintenance activities</t>
  </si>
  <si>
    <t>EF = 6 lbs PM / ton alloy poured x Ci (from SDS: 0-2%)</t>
  </si>
  <si>
    <t>EF = 6 lbs PM / ton alloy poured x Ci (from SDS: 0-1%)</t>
  </si>
  <si>
    <t>EF = 6 lbs PM / ton alloy poured x Ci (from SDS: 0-5%)</t>
  </si>
  <si>
    <t>EF = 6 lbs PM / ton alloy poured x Ci (from SDS: 63-68%)</t>
  </si>
  <si>
    <t>EF = 6 lbs PM / ton alloy poured x Ci (from SDS: 0-10%)</t>
  </si>
  <si>
    <t>EF = 6 lbs PM / ton alloy poured x Ci (from SDS: 0-6%)</t>
  </si>
  <si>
    <t>Cutting: EF from RTI; see Process Flow Notes; average Ci used</t>
  </si>
  <si>
    <t>Welding Wire</t>
  </si>
  <si>
    <t>lb/lb wire</t>
  </si>
  <si>
    <t>San Diego APCD; see supporting calculations excel file.</t>
  </si>
  <si>
    <t>FUGITIVE</t>
  </si>
  <si>
    <t>Facility-Wide Parts Cleaning by Hand</t>
  </si>
  <si>
    <t>Isopropyl Alcohol</t>
  </si>
  <si>
    <t>Sunnyside Corporation</t>
  </si>
  <si>
    <t>Airgas USA LLC</t>
  </si>
  <si>
    <t>F-AGGREGATE</t>
  </si>
  <si>
    <t>PARTS CLEANING</t>
  </si>
  <si>
    <t>SDS range (60-100% w/w), average used.</t>
  </si>
  <si>
    <t>Emissions from sand used for sandblasting parts</t>
  </si>
  <si>
    <t>Washington Mills</t>
  </si>
  <si>
    <t>SDS states (&gt;90% w/w), average used.</t>
  </si>
  <si>
    <t>SDS states (&lt;5% w/w), average used.</t>
  </si>
  <si>
    <t>Washington mills Duralum 60 Grit, aka Brown Aluminum oxide 60 grit</t>
  </si>
  <si>
    <t>Washington Mills Electro Minerals Corp.</t>
  </si>
  <si>
    <t>Emissions from machining oil</t>
  </si>
  <si>
    <t>Shell Morlina S2 BL 10 oil</t>
  </si>
  <si>
    <t>Shell Oil Products US</t>
  </si>
  <si>
    <t>SDS states (&gt;5% w/w of the main costituent with a conc. Of 0.25-0.9%); averages used.</t>
  </si>
  <si>
    <t>ROBOT POLISH</t>
  </si>
  <si>
    <t>Duralum Special White 24 Grit</t>
  </si>
  <si>
    <t>P-255 Liquid Polishing Compound</t>
  </si>
  <si>
    <t>Pinnacle Technologies, Inc.</t>
  </si>
  <si>
    <t>Emissions from the enclosed robot polishing booth</t>
  </si>
  <si>
    <t>SDS did not list a %, therefore assumed 100%</t>
  </si>
  <si>
    <t>SDS range (30-35% w/w), average used.</t>
  </si>
  <si>
    <t>KNOCK OUT</t>
  </si>
  <si>
    <t>Total Alloy Cast</t>
  </si>
  <si>
    <t>Emissions from breaking off the ceramic molds with pneumatic hammer</t>
  </si>
  <si>
    <t>EF = 79.3 lbs PM / ton alloy produced x Ci (from Ceramic Mold Estimate: 16%)</t>
  </si>
  <si>
    <t>EF = 79.3 lbs PM / ton alloy produced x Ci (from Ceramic Mold Estimate: 0.086%)</t>
  </si>
  <si>
    <t>EF = 79.3 lbs PM / ton alloy produced x Ci (from Ceramic Mold Estimate: 0.0032%)</t>
  </si>
  <si>
    <t>Knockout: EF from RTI; see Process Flow Notes; Ci estimate calculations presented in file: Ceramic Molds ODEQ Pollutant Estimate Calculations</t>
  </si>
  <si>
    <t>KOLENE</t>
  </si>
  <si>
    <t>Emissions from the Kolene system</t>
  </si>
  <si>
    <t>Caustic Soda Beads</t>
  </si>
  <si>
    <t>Westlake Corporation</t>
  </si>
  <si>
    <t>SCRUBBER</t>
  </si>
  <si>
    <t>FINISH SANDBLAST</t>
  </si>
  <si>
    <t>Emissions from the Finishing process sandblast cabinets</t>
  </si>
  <si>
    <t>DC6</t>
  </si>
  <si>
    <t>DC3</t>
  </si>
  <si>
    <t>DC9</t>
  </si>
  <si>
    <t>FLASHFIRE DEWAX</t>
  </si>
  <si>
    <t>NATURAL GAS</t>
  </si>
  <si>
    <t>Facility-wide natural gas use</t>
  </si>
  <si>
    <t>Alloy Shipped (Produced)</t>
  </si>
  <si>
    <t>REWORK GRIND</t>
  </si>
  <si>
    <t xml:space="preserve">Emissions from manual and auto grinding activities in Cell #1 to remove residual gate material </t>
  </si>
  <si>
    <t>Emissions using small hand die grinders during inspection and rework</t>
  </si>
  <si>
    <t>MACHINING OIL</t>
  </si>
  <si>
    <t>CELL 1 GATE GRIND</t>
  </si>
  <si>
    <t>CELL 2 HAND GRIND</t>
  </si>
  <si>
    <t>DC4</t>
  </si>
  <si>
    <t>CELL 1 SANDBLAST</t>
  </si>
  <si>
    <t>CELL 2 SANDBLAST</t>
  </si>
  <si>
    <t>F-75 Alloy Cast</t>
  </si>
  <si>
    <t xml:space="preserve">17-4 Alloy Cast </t>
  </si>
  <si>
    <t xml:space="preserve">F-75 Alloy Cast </t>
  </si>
  <si>
    <t>17-4 Alloy Cast</t>
  </si>
  <si>
    <t>CELL 1 GATE GRIND assumes 95% of Grinding EF from RTI = 16 lbs PM / ton alloy poured; see Process Flow Notes; average Ci used</t>
  </si>
  <si>
    <t>CELL 2 HAND GRIND assumes 2.5% of Grinding EF from RTI = 16 lbs PM / ton alloy poured; see Process Flow Notes; average Ci used</t>
  </si>
  <si>
    <t>REWORK GRIND assumes 2.5% of Grinding EF from RTI = 16 lbs PM / ton alloy poured; see Process Flow Notes; average Ci used</t>
  </si>
  <si>
    <t>F-75 Alloy: EF = 0.4 lbs PM / ton alloy poured x Ci (from SDS: 63-68%)</t>
  </si>
  <si>
    <t>F-75 Alloy: EF = 15.2 lbs PM / ton alloy poured x Ci (from SDS: 63-68%)</t>
  </si>
  <si>
    <t>17-4 Alloy: EF = 15.2 lbs PM / ton alloy poured x Ci (from SDS: 0-10%)</t>
  </si>
  <si>
    <t>17-4 Alloy: EF = 15.2 lbs PM / ton alloy poured x Ci (from SDS: 0-6%)</t>
  </si>
  <si>
    <t>17-4 Alloy: EF = 15.2 lbs PM / ton alloy poured x Ci (from SDS: 0-1%)</t>
  </si>
  <si>
    <t>17-4 Alloy: EF = 15.2 lbs PM / ton alloy poured x Ci (from SDS: 0-5%)</t>
  </si>
  <si>
    <t>17-4 Alloy: EF = 15.2 lbs PM / ton alloy poured x Ci (from SDS: 0-2%)</t>
  </si>
  <si>
    <t>17-4 Alloy: EF = 0.4 lbs PM / ton alloy poured x Ci (from SDS: 0-10%)</t>
  </si>
  <si>
    <t>17-4 Alloy: EF = 0.4 lbs PM / ton alloy poured x Ci (from SDS: 0-6%)</t>
  </si>
  <si>
    <t>17-4 Alloy: EF = 0.4 lbs PM / ton alloy poured x Ci (from SDS: 0-1%)</t>
  </si>
  <si>
    <t>17-4 Alloy: EF = 0.4 lbs PM / ton alloy poured x Ci (from SDS: 0-5%)</t>
  </si>
  <si>
    <t>17-4 Alloy: EF = 0.4 lbs PM / ton alloy poured x Ci (from SDS: 0-2%)</t>
  </si>
  <si>
    <t>SDS range (90-98% w/w), average used. Control efficency is 98.5% to 99.5%, average used.</t>
  </si>
  <si>
    <t>Casting: combines EFs from AP-42 &amp; RTI; see Process Flow Notes; average Ci used; building control efficiency of 99% used</t>
  </si>
  <si>
    <t>EF = 0.477 lbs PM / ton alloy poured x Ci (from SDS: 63-68%)</t>
  </si>
  <si>
    <t>EF = 0.477 lbs PM / ton alloy poured x Ci (from SDS: 0-10%)</t>
  </si>
  <si>
    <t>EF = 0.477 lbs PM / ton alloy poured x Ci (from SDS: 0-6%)</t>
  </si>
  <si>
    <t>EF = 0.477 lbs PM / ton alloy poured x Ci (from SDS: 0-1%)</t>
  </si>
  <si>
    <t>EF = 0.477 lbs PM / ton alloy poured x Ci (from SDS: 0-5%)</t>
  </si>
  <si>
    <t>EF = 0.477 lbs PM / ton alloy poured x Ci (from SDS: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</si>
</sst>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9"/>
      <color rgb="FF000000"/>
      <name val="Tahoma"/>
      <family val="2"/>
    </font>
    <font>
      <sz val="9"/>
      <color rgb="FF000000"/>
      <name val="Tahoma"/>
      <family val="2"/>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8" xfId="0" applyNumberFormat="1" applyFont="1" applyBorder="1" applyAlignment="1" applyProtection="1">
      <alignment horizontal="center"/>
      <protection locked="0"/>
    </xf>
    <xf numFmtId="0" fontId="0" fillId="0" borderId="0" xfId="0" applyAlignment="1" applyProtection="1">
      <alignment horizontal="center"/>
      <protection locked="0"/>
    </xf>
    <xf numFmtId="3" fontId="19" fillId="0" borderId="31" xfId="0" applyNumberFormat="1" applyFont="1" applyBorder="1" applyAlignment="1" applyProtection="1">
      <alignment horizontal="center"/>
      <protection locked="0"/>
    </xf>
    <xf numFmtId="0" fontId="50" fillId="0" borderId="13" xfId="0" applyFont="1" applyBorder="1" applyAlignment="1" applyProtection="1">
      <alignment horizontal="center"/>
      <protection locked="0"/>
    </xf>
    <xf numFmtId="0" fontId="0" fillId="0" borderId="0" xfId="0" applyProtection="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Lisa Simmons" id="{FC51C25C-73E0-CA47-BD7D-5EBAB4A0AF6F}" userId="c66913ddc8220625"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2" dT="2024-11-20T20:57:20.91" personId="{FC51C25C-73E0-CA47-BD7D-5EBAB4A0AF6F}" id="{C76EA461-B4D2-C04C-B33E-F7E08EDC37F6}">
    <text>Requested PTE is equal to capacity.</text>
  </threadedComment>
  <threadedComment ref="J12" dT="2024-11-20T20:56:54.76" personId="{FC51C25C-73E0-CA47-BD7D-5EBAB4A0AF6F}" id="{6F489106-F0F8-714E-AD1A-D27447BD849B}">
    <text>The facility is close to capacity, limited by their electricity bandwidth.  Capacity is assumed to be 1.25 times the Annual Actual Value.</text>
  </threadedComment>
  <threadedComment ref="H15" dT="2024-11-19T00:06:29.78" personId="{FC51C25C-73E0-CA47-BD7D-5EBAB4A0AF6F}" id="{9BF513FA-7D76-CD48-A706-AFEC0F6BA6BB}">
    <text xml:space="preserve">Based on 2023 facility-wide use.
</text>
  </threadedComment>
  <threadedComment ref="K15" dT="2024-11-20T21:21:28.74" personId="{FC51C25C-73E0-CA47-BD7D-5EBAB4A0AF6F}" id="{C3F86A0B-DBE8-4348-AA92-CA6D81247B78}">
    <text>Reviewing Natural Gas bills identified January as the highest-use month.  The average per day was 745.3 Therms.  Therefore we are estimating 750 therms for highest actual use in a day.
ODEQ’s ghg calculator for fuel combustion used to convert to MMSCF.</text>
  </threadedComment>
  <threadedComment ref="K16" dT="2024-11-20T21:23:49.91" personId="{FC51C25C-73E0-CA47-BD7D-5EBAB4A0AF6F}" id="{79B1FFC9-8B4B-8A4F-B0A9-E407DE1A0DC6}">
    <text>Production welding activities occur 250 days per year</text>
  </threadedComment>
  <threadedComment ref="K17" dT="2024-11-20T21:23:59.24" personId="{FC51C25C-73E0-CA47-BD7D-5EBAB4A0AF6F}" id="{AA33F6D9-63EF-CB46-BFFB-6F8B98932627}">
    <text>Production welding activities occur 250 days per year</text>
  </threadedComment>
  <threadedComment ref="K18" dT="2024-11-20T21:25:55.39" personId="{FC51C25C-73E0-CA47-BD7D-5EBAB4A0AF6F}" id="{F48B2E0C-F479-6A41-92DF-B3643DD4EF01}">
    <text>Maintenance and repair welding of equipment (not parts) is done on an as-needed base.  Assuming 10 days out of the year.</text>
  </threadedComment>
  <threadedComment ref="K20" dT="2024-11-20T21:21:28.74" personId="{FC51C25C-73E0-CA47-BD7D-5EBAB4A0AF6F}" id="{36512377-C64D-6B42-884D-598667F983A2}">
    <text>Casting activities are conducted 250 days a year</text>
  </threadedComment>
  <threadedComment ref="K21" dT="2024-11-20T21:21:28.74" personId="{FC51C25C-73E0-CA47-BD7D-5EBAB4A0AF6F}" id="{A9182B6D-C30A-E84E-8183-9092416560A0}">
    <text>Casting activities are conducted 250 days a year</text>
  </threadedComment>
  <threadedComment ref="K23" dT="2024-11-20T21:21:28.74" personId="{FC51C25C-73E0-CA47-BD7D-5EBAB4A0AF6F}" id="{1FAEEA1A-AA56-0D49-85C6-FC66C869830C}">
    <text>Cutting activities are conducted 250 days a year</text>
  </threadedComment>
  <threadedComment ref="K24" dT="2024-11-20T21:21:28.74" personId="{FC51C25C-73E0-CA47-BD7D-5EBAB4A0AF6F}" id="{6DB7FE3A-4BD5-454E-B6CE-529EFF3DBBF6}">
    <text>Cutting activities are conducted 250 days a year</text>
  </threadedComment>
  <threadedComment ref="K26" dT="2024-11-20T21:21:28.74" personId="{FC51C25C-73E0-CA47-BD7D-5EBAB4A0AF6F}" id="{FB24BDC4-5E1E-7C40-99EF-130C6DF100BA}">
    <text>Knock out activities are conducted 250 days a year</text>
  </threadedComment>
  <threadedComment ref="G28" dT="2024-11-19T00:42:30.78" personId="{FC51C25C-73E0-CA47-BD7D-5EBAB4A0AF6F}" id="{3670C227-B182-4849-A476-83E5ADD7D683}">
    <text>Assumption that the same ratio of F-75:17-4 alloy cast is represented in the alloy shipped.</text>
  </threadedComment>
  <threadedComment ref="H28" dT="2024-10-14T20:56:51.69" personId="{FC51C25C-73E0-CA47-BD7D-5EBAB4A0AF6F}" id="{2542BA69-9CB2-D545-8F3C-35B466F05ECA}">
    <text xml:space="preserve">275,084 lbs product shipped. Assumption is that 95% of grind emissions are from CELL 1 GATE GRIND
and 2.5% each are from CELL 2 HAND GRIND and REWORK GRIND </text>
  </threadedComment>
  <threadedComment ref="K28" dT="2024-11-20T21:21:28.74" personId="{FC51C25C-73E0-CA47-BD7D-5EBAB4A0AF6F}" id="{6C56E233-E174-EF47-81FB-DBAA5AAEA3AE}">
    <text>Cell 1 sandblast activities are conducted 250 days a year</text>
  </threadedComment>
  <threadedComment ref="K29" dT="2024-11-20T21:33:52.74" personId="{FC51C25C-73E0-CA47-BD7D-5EBAB4A0AF6F}" id="{DCE5A170-1533-1D4B-B69A-56D736AC3393}">
    <text>Hand grinding activities occur 250 days per year; some work is also done on weeks by a smaller crew, so this number is conservative.</text>
  </threadedComment>
  <threadedComment ref="K30" dT="2024-11-20T22:29:48.79" personId="{FC51C25C-73E0-CA47-BD7D-5EBAB4A0AF6F}" id="{6B9698A4-6F29-164A-9D2D-FB73AEEFE793}">
    <text>Hand grinding activities occur 250 days per year; some work is also done on weeks by a smaller crew, so this number is conservative.</text>
  </threadedComment>
</ThreadedComments>
</file>

<file path=xl/threadedComments/threadedComment2.xml><?xml version="1.0" encoding="utf-8"?>
<ThreadedComments xmlns="http://schemas.microsoft.com/office/spreadsheetml/2018/threadedcomments" xmlns:x="http://schemas.openxmlformats.org/spreadsheetml/2006/main">
  <threadedComment ref="J78" dT="2024-11-19T01:07:16.78" personId="{FC51C25C-73E0-CA47-BD7D-5EBAB4A0AF6F}" id="{3AC69E1E-F19D-144D-9974-44874BB2C387}">
    <text>Ratio of F-75 alloy cast as portion of total alloy cast applied at end of formula.</text>
  </threadedComment>
  <threadedComment ref="J79" dT="2024-11-19T01:08:33.94" personId="{FC51C25C-73E0-CA47-BD7D-5EBAB4A0AF6F}" id="{F225D1CF-12A6-AE4F-9EAB-9FE5877BA76D}">
    <text>Ratio of 17-4 alloy cast as portion of total alloy cast applied at end of formula.</text>
  </threadedComment>
  <threadedComment ref="J80" dT="2024-11-19T01:09:40.27" personId="{FC51C25C-73E0-CA47-BD7D-5EBAB4A0AF6F}" id="{AE408DA3-E53A-EC48-BA28-05B480F8CE5E}">
    <text>Ratio of 17-4 alloy cast as portion of total alloy cast applied at end of formula.</text>
  </threadedComment>
  <threadedComment ref="J81" dT="2024-11-19T01:09:47.94" personId="{FC51C25C-73E0-CA47-BD7D-5EBAB4A0AF6F}" id="{F09D25A0-A950-314D-9820-9E63A1F424C2}">
    <text>Ratio of 17-4 alloy cast as portion of total alloy cast applied at end of formula.</text>
  </threadedComment>
  <threadedComment ref="J82" dT="2024-11-19T01:09:55.80" personId="{FC51C25C-73E0-CA47-BD7D-5EBAB4A0AF6F}" id="{8B445E4A-085D-3C48-8146-CEB406A35E8A}">
    <text>Ratio of 17-4 alloy cast as portion of total alloy cast applied at end of formula.</text>
  </threadedComment>
  <threadedComment ref="J83" dT="2024-11-19T01:10:02.82" personId="{FC51C25C-73E0-CA47-BD7D-5EBAB4A0AF6F}" id="{A0202F3B-B079-304D-8554-B3B9110866E2}">
    <text>Ratio of 17-4 alloy cast as portion of total alloy cast applied at end of formula.</text>
  </threadedComment>
  <threadedComment ref="J86" dT="2024-11-19T01:07:16.78" personId="{FC51C25C-73E0-CA47-BD7D-5EBAB4A0AF6F}" id="{F4341223-5092-E841-9C3B-C333EFA182A0}">
    <text>Ratio of F-75 alloy cast as portion of total alloy cast applied at end of formula.</text>
  </threadedComment>
  <threadedComment ref="J87" dT="2024-11-19T01:08:33.94" personId="{FC51C25C-73E0-CA47-BD7D-5EBAB4A0AF6F}" id="{B90713B9-24C5-E545-971E-B1B340A6A301}">
    <text>Ratio of 17-4 alloy cast as portion of total alloy cast applied at end of formula.</text>
  </threadedComment>
  <threadedComment ref="J88" dT="2024-11-19T01:09:40.27" personId="{FC51C25C-73E0-CA47-BD7D-5EBAB4A0AF6F}" id="{94577954-06DA-BE4E-B2FF-B1A1914C66C0}">
    <text>Ratio of 17-4 alloy cast as portion of total alloy cast applied at end of formula.</text>
  </threadedComment>
  <threadedComment ref="J89" dT="2024-11-19T01:09:47.94" personId="{FC51C25C-73E0-CA47-BD7D-5EBAB4A0AF6F}" id="{C935C48E-05A5-C747-8107-44374A94978D}">
    <text>Ratio of 17-4 alloy cast as portion of total alloy cast applied at end of formula.</text>
  </threadedComment>
  <threadedComment ref="J90" dT="2024-11-19T01:09:55.80" personId="{FC51C25C-73E0-CA47-BD7D-5EBAB4A0AF6F}" id="{B39FE1F4-36FF-E24F-80B0-E606176BB304}">
    <text>Ratio of 17-4 alloy cast as portion of total alloy cast applied at end of formula.</text>
  </threadedComment>
  <threadedComment ref="J91" dT="2024-11-19T01:10:02.82" personId="{FC51C25C-73E0-CA47-BD7D-5EBAB4A0AF6F}" id="{FCE5C933-A1C9-4B4A-96BB-2837C21FA6B9}">
    <text>Ratio of 17-4 alloy cast as portion of total alloy cast applied at end of formula.</text>
  </threadedComment>
  <threadedComment ref="J94" dT="2024-11-19T01:07:16.78" personId="{FC51C25C-73E0-CA47-BD7D-5EBAB4A0AF6F}" id="{91B43383-DD73-9749-89F5-E85DF8A3075F}">
    <text>Ratio of F-75 alloy cast as portion of total alloy cast applied at end of formula.</text>
  </threadedComment>
  <threadedComment ref="J95" dT="2024-11-19T01:08:33.94" personId="{FC51C25C-73E0-CA47-BD7D-5EBAB4A0AF6F}" id="{0BE76A23-A2D9-E845-91C7-5093E4C022C4}">
    <text>Ratio of 17-4 alloy cast as portion of total alloy cast applied at end of formula.</text>
  </threadedComment>
  <threadedComment ref="J96" dT="2024-11-19T01:09:40.27" personId="{FC51C25C-73E0-CA47-BD7D-5EBAB4A0AF6F}" id="{F4C92806-E1E1-F142-A201-9282F5A4AF8A}">
    <text>Ratio of 17-4 alloy cast as portion of total alloy cast applied at end of formula.</text>
  </threadedComment>
  <threadedComment ref="J97" dT="2024-11-19T01:09:47.94" personId="{FC51C25C-73E0-CA47-BD7D-5EBAB4A0AF6F}" id="{6523E60B-306B-C14E-8B66-138DCFAB2B32}">
    <text>Ratio of 17-4 alloy cast as portion of total alloy cast applied at end of formula.</text>
  </threadedComment>
  <threadedComment ref="J98" dT="2024-11-19T01:09:55.80" personId="{FC51C25C-73E0-CA47-BD7D-5EBAB4A0AF6F}" id="{3CFC6C5C-6E5B-6F44-BD8E-665E2C947EBA}">
    <text>Ratio of 17-4 alloy cast as portion of total alloy cast applied at end of formula.</text>
  </threadedComment>
  <threadedComment ref="J99" dT="2024-11-19T01:10:02.82" personId="{FC51C25C-73E0-CA47-BD7D-5EBAB4A0AF6F}" id="{45460F97-8EF3-B94B-8A27-C1E5616B6457}">
    <text>Ratio of 17-4 alloy cast as portion of total alloy cast applied at end of formula.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H12" dT="2024-11-20T20:59:21.69" personId="{FC51C25C-73E0-CA47-BD7D-5EBAB4A0AF6F}" id="{D6156202-04A4-894B-A2FF-25ECE5E83DD2}">
    <text>Requested PTE is equal to capacity.</text>
  </threadedComment>
  <threadedComment ref="I12" dT="2024-11-20T20:59:04.80" personId="{FC51C25C-73E0-CA47-BD7D-5EBAB4A0AF6F}" id="{7F277B5A-80C9-414B-BDC4-A8A068A230BB}">
    <text>The facility is close to capacity, limited by their electricity bandwidth.  Capacity is assumed to be 1.25 times the Annual Actual Value.</text>
  </threadedComment>
  <threadedComment ref="J16" dT="2024-11-01T22:18:54.46" personId="{FC51C25C-73E0-CA47-BD7D-5EBAB4A0AF6F}" id="{188AF82C-C44C-5A42-B672-677FF39DB9B4}">
    <text>Hand cleaning of parts occurs 360 days per year</text>
  </threadedComment>
  <threadedComment ref="J17" dT="2024-11-01T22:19:03.95" personId="{FC51C25C-73E0-CA47-BD7D-5EBAB4A0AF6F}" id="{166B5572-139F-3F47-A24D-7E56359EE96E}">
    <text>Hand cleaning of parts occurs 360 days per year</text>
  </threadedComment>
  <threadedComment ref="G19" dT="2024-08-15T22:42:17.57" personId="{FC51C25C-73E0-CA47-BD7D-5EBAB4A0AF6F}" id="{9F66E8E2-3BC7-4444-B0CF-1B67C34FD935}">
    <text>Wax lb/year and lb/day values reflect estimate of wax that is treated by the Flashfire Dewax furnace afterburner.  See excel file with supporting calculations, Tab “Dewax”.</text>
  </threadedComment>
  <threadedComment ref="J19" dT="2024-11-20T21:37:15.47" personId="{FC51C25C-73E0-CA47-BD7D-5EBAB4A0AF6F}" id="{39CF90FD-80DA-9E49-B648-27DD455FECDA}">
    <text>Flashfire Dewax furnace operates 250 days a year</text>
  </threadedComment>
  <threadedComment ref="G22" dT="2024-11-19T00:04:28.83" personId="{FC51C25C-73E0-CA47-BD7D-5EBAB4A0AF6F}" id="{CFA19CC0-B35C-6148-96E1-FA7606D68E22}">
    <text>Assumption that 75% of material purchased is used in CELL 1 SANDBLAST and 25% in CELL 2 SANDBLAST</text>
  </threadedComment>
  <threadedComment ref="J22" dT="2024-11-20T21:38:44.49" personId="{FC51C25C-73E0-CA47-BD7D-5EBAB4A0AF6F}" id="{26602F46-4647-7E4A-84F3-7D5A977DB90F}">
    <text>Cell 1 sandblast activities occur 250 days a year</text>
  </threadedComment>
  <threadedComment ref="G23" dT="2024-11-19T00:04:38.70" personId="{FC51C25C-73E0-CA47-BD7D-5EBAB4A0AF6F}" id="{7C23C2DA-6E4D-144E-9CFF-A65653FE293C}">
    <text>Assumption that 75% of material purchased is used in CELL 1 SANDBLAST and 25% in CELL 2 SANDBLAST</text>
  </threadedComment>
  <threadedComment ref="J23" dT="2024-11-20T21:41:35.26" personId="{FC51C25C-73E0-CA47-BD7D-5EBAB4A0AF6F}" id="{64206491-0FE7-1B4C-ABCF-6E8055A1A0D3}">
    <text>Cell 2 sandblast activities occur 250 days a year</text>
  </threadedComment>
  <threadedComment ref="J25" dT="2024-11-01T22:23:24.28" personId="{FC51C25C-73E0-CA47-BD7D-5EBAB4A0AF6F}" id="{E7044D0E-4F4D-6E40-92B0-FEE4F2E014FE}">
    <text>~1 Quart is poured into machines reservoirs weekly. Daily use calculated by Annual amount/350 - the number a days machining operates</text>
  </threadedComment>
  <threadedComment ref="J27" dT="2024-11-01T22:18:54.46" personId="{FC51C25C-73E0-CA47-BD7D-5EBAB4A0AF6F}" id="{73C7AE48-E3B6-674B-A60B-949F8A9BBEE8}">
    <text>Finishing operations are conducted 360 days a year</text>
  </threadedComment>
  <threadedComment ref="J28" dT="2024-11-01T22:18:54.46" personId="{FC51C25C-73E0-CA47-BD7D-5EBAB4A0AF6F}" id="{C9F79BE5-BD69-8041-B0F5-339B31298EB3}">
    <text>Robot polishing occurs 250 days a year</text>
  </threadedComment>
  <threadedComment ref="J30" dT="2024-11-20T21:45:25.40" personId="{FC51C25C-73E0-CA47-BD7D-5EBAB4A0AF6F}" id="{C66D0809-70E4-0E4F-A52F-A593707B79C8}">
    <text>Caustic soda in Kolene system kept heated 24/7</text>
  </threadedComment>
</ThreadedComments>
</file>

<file path=xl/threadedComments/threadedComment4.xml><?xml version="1.0" encoding="utf-8"?>
<ThreadedComments xmlns="http://schemas.microsoft.com/office/spreadsheetml/2018/threadedcomments" xmlns:x="http://schemas.openxmlformats.org/spreadsheetml/2006/main">
  <threadedComment ref="I35" dT="2024-11-17T00:24:45.08" personId="{FC51C25C-73E0-CA47-BD7D-5EBAB4A0AF6F}" id="{E4920AA5-DC4B-604C-A5DE-6BA6685D9E32}">
    <text>Assumes 90% of purchased NaOH emitted as ‘mist’ and captured by scrubber. (See Support Calcs for Emissions.xlsx)</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3" t="s">
        <v>1160</v>
      </c>
      <c r="B5" s="203"/>
      <c r="C5" s="203"/>
      <c r="D5" s="203"/>
      <c r="E5" s="203"/>
      <c r="F5" s="203"/>
      <c r="G5" s="203"/>
      <c r="H5" s="203"/>
      <c r="I5" s="203"/>
      <c r="J5" s="203"/>
      <c r="K5" s="203"/>
      <c r="L5" s="203"/>
      <c r="M5" s="203"/>
    </row>
    <row r="6" spans="1:21" ht="34.5" customHeight="1" x14ac:dyDescent="0.25">
      <c r="A6" s="32" t="s">
        <v>1231</v>
      </c>
      <c r="B6" s="33"/>
      <c r="C6" s="33"/>
      <c r="D6" s="33"/>
      <c r="E6" s="33"/>
      <c r="F6" s="33"/>
      <c r="G6" s="33"/>
      <c r="H6" s="33"/>
      <c r="I6" s="33"/>
      <c r="J6" s="33"/>
      <c r="K6" s="33"/>
      <c r="L6" s="33"/>
      <c r="M6" s="33"/>
    </row>
    <row r="7" spans="1:21" ht="34.5" customHeight="1" x14ac:dyDescent="0.25">
      <c r="A7" s="208" t="s">
        <v>1224</v>
      </c>
      <c r="B7" s="208"/>
      <c r="C7" s="208"/>
      <c r="D7" s="208"/>
      <c r="E7" s="208"/>
      <c r="F7" s="33"/>
      <c r="G7" s="33"/>
      <c r="H7" s="33"/>
      <c r="I7" s="33"/>
      <c r="J7" s="33"/>
      <c r="K7" s="33"/>
      <c r="L7" s="33"/>
      <c r="M7" s="33"/>
    </row>
    <row r="8" spans="1:21" ht="16" thickBot="1" x14ac:dyDescent="0.25">
      <c r="A8" s="207"/>
      <c r="B8" s="207"/>
      <c r="C8" s="207"/>
      <c r="D8" s="207"/>
      <c r="E8" s="207"/>
      <c r="F8" s="34"/>
      <c r="G8" s="34"/>
      <c r="H8" s="34"/>
      <c r="I8" s="34"/>
      <c r="J8" s="34"/>
      <c r="K8" s="34"/>
      <c r="L8" s="34"/>
      <c r="M8" s="35"/>
    </row>
    <row r="9" spans="1:21" s="13" customFormat="1" ht="15" customHeight="1" x14ac:dyDescent="0.2">
      <c r="A9" s="204" t="s">
        <v>1183</v>
      </c>
      <c r="B9" s="204"/>
      <c r="C9" s="204"/>
      <c r="D9" s="204"/>
      <c r="E9" s="204"/>
      <c r="F9" s="204"/>
      <c r="G9" s="204"/>
      <c r="H9" s="204"/>
      <c r="I9" s="204"/>
      <c r="J9" s="204"/>
      <c r="K9" s="204"/>
      <c r="L9" s="204"/>
      <c r="M9" s="36"/>
      <c r="N9" s="12"/>
      <c r="O9" s="12"/>
      <c r="P9" s="12"/>
      <c r="Q9" s="12"/>
      <c r="R9" s="12"/>
      <c r="S9" s="12"/>
      <c r="T9" s="12"/>
      <c r="U9" s="12"/>
    </row>
    <row r="10" spans="1:21" s="13" customFormat="1" ht="21.75" customHeight="1" x14ac:dyDescent="0.2">
      <c r="A10" s="205"/>
      <c r="B10" s="205"/>
      <c r="C10" s="205"/>
      <c r="D10" s="205"/>
      <c r="E10" s="205"/>
      <c r="F10" s="205"/>
      <c r="G10" s="205"/>
      <c r="H10" s="205"/>
      <c r="I10" s="205"/>
      <c r="J10" s="205"/>
      <c r="K10" s="205"/>
      <c r="L10" s="205"/>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06" t="s">
        <v>1184</v>
      </c>
      <c r="B12" s="206"/>
      <c r="C12" s="206"/>
      <c r="D12" s="206"/>
      <c r="E12" s="206"/>
      <c r="F12" s="206"/>
      <c r="G12" s="206"/>
      <c r="H12" s="206"/>
      <c r="I12" s="206"/>
      <c r="J12" s="206"/>
      <c r="K12" s="206"/>
      <c r="L12" s="206"/>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2" t="s">
        <v>1163</v>
      </c>
      <c r="D14" s="202"/>
      <c r="E14" s="202"/>
      <c r="F14" s="202"/>
      <c r="G14" s="202"/>
      <c r="H14" s="202"/>
      <c r="I14" s="202"/>
      <c r="J14" s="202"/>
      <c r="K14" s="202"/>
      <c r="L14" s="202"/>
      <c r="M14" s="41"/>
      <c r="N14" s="14"/>
      <c r="O14" s="14"/>
      <c r="P14" s="14"/>
    </row>
    <row r="15" spans="1:21" s="13" customFormat="1" ht="69" customHeight="1" x14ac:dyDescent="0.2">
      <c r="A15" s="40" t="s">
        <v>1164</v>
      </c>
      <c r="B15" s="40" t="s">
        <v>1188</v>
      </c>
      <c r="C15" s="202" t="s">
        <v>1229</v>
      </c>
      <c r="D15" s="202"/>
      <c r="E15" s="202"/>
      <c r="F15" s="202"/>
      <c r="G15" s="202"/>
      <c r="H15" s="202"/>
      <c r="I15" s="202"/>
      <c r="J15" s="202"/>
      <c r="K15" s="202"/>
      <c r="L15" s="202"/>
      <c r="M15" s="41"/>
      <c r="N15" s="14"/>
      <c r="O15" s="14"/>
      <c r="P15" s="14"/>
    </row>
    <row r="16" spans="1:21" s="13" customFormat="1" ht="46.5" customHeight="1" x14ac:dyDescent="0.2">
      <c r="A16" s="42" t="s">
        <v>1165</v>
      </c>
      <c r="B16" s="42" t="s">
        <v>1190</v>
      </c>
      <c r="C16" s="202" t="s">
        <v>1241</v>
      </c>
      <c r="D16" s="202"/>
      <c r="E16" s="202"/>
      <c r="F16" s="202"/>
      <c r="G16" s="202"/>
      <c r="H16" s="202"/>
      <c r="I16" s="202"/>
      <c r="J16" s="202"/>
      <c r="K16" s="202"/>
      <c r="L16" s="202"/>
      <c r="M16" s="43"/>
      <c r="N16" s="15"/>
      <c r="O16" s="15"/>
      <c r="P16" s="15"/>
    </row>
    <row r="17" spans="1:16" s="13" customFormat="1" ht="69" customHeight="1" x14ac:dyDescent="0.2">
      <c r="A17" s="42" t="s">
        <v>1166</v>
      </c>
      <c r="B17" s="42" t="s">
        <v>1191</v>
      </c>
      <c r="C17" s="202" t="s">
        <v>1230</v>
      </c>
      <c r="D17" s="202"/>
      <c r="E17" s="202"/>
      <c r="F17" s="202"/>
      <c r="G17" s="202"/>
      <c r="H17" s="202"/>
      <c r="I17" s="202"/>
      <c r="J17" s="202"/>
      <c r="K17" s="202"/>
      <c r="L17" s="202"/>
      <c r="M17" s="41"/>
      <c r="N17" s="14"/>
      <c r="O17" s="14"/>
      <c r="P17" s="14"/>
    </row>
    <row r="18" spans="1:16" s="13" customFormat="1" ht="46.5" customHeight="1" x14ac:dyDescent="0.2">
      <c r="A18" s="42" t="s">
        <v>1189</v>
      </c>
      <c r="B18" s="42" t="s">
        <v>1192</v>
      </c>
      <c r="C18" s="202" t="s">
        <v>1242</v>
      </c>
      <c r="D18" s="202"/>
      <c r="E18" s="202"/>
      <c r="F18" s="202"/>
      <c r="G18" s="202"/>
      <c r="H18" s="202"/>
      <c r="I18" s="202"/>
      <c r="J18" s="202"/>
      <c r="K18" s="202"/>
      <c r="L18" s="202"/>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1" t="s">
        <v>1209</v>
      </c>
      <c r="B32" s="201"/>
      <c r="C32" s="201"/>
      <c r="D32" s="201"/>
      <c r="E32" s="201"/>
      <c r="F32" s="201"/>
      <c r="G32" s="201"/>
      <c r="H32" s="201"/>
      <c r="I32" s="201"/>
      <c r="J32" s="201"/>
      <c r="K32" s="201"/>
      <c r="L32" s="201"/>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1" t="s">
        <v>1334</v>
      </c>
      <c r="B36" s="201"/>
      <c r="C36" s="201"/>
      <c r="D36" s="201"/>
      <c r="E36" s="201"/>
      <c r="F36" s="201"/>
      <c r="G36" s="201"/>
      <c r="H36" s="201"/>
      <c r="I36" s="201"/>
      <c r="J36" s="201"/>
      <c r="K36" s="201"/>
      <c r="L36" s="201"/>
      <c r="M36" s="39"/>
    </row>
    <row r="37" spans="1:13" s="13" customFormat="1" ht="46.5" customHeight="1" x14ac:dyDescent="0.2">
      <c r="A37" s="201" t="s">
        <v>1213</v>
      </c>
      <c r="B37" s="201"/>
      <c r="C37" s="201"/>
      <c r="D37" s="201"/>
      <c r="E37" s="201"/>
      <c r="F37" s="201"/>
      <c r="G37" s="201"/>
      <c r="H37" s="201"/>
      <c r="I37" s="201"/>
      <c r="J37" s="201"/>
      <c r="K37" s="201"/>
      <c r="L37" s="201"/>
      <c r="M37" s="39"/>
    </row>
    <row r="38" spans="1:13" s="13" customFormat="1" ht="37.5" customHeight="1" x14ac:dyDescent="0.2">
      <c r="A38" s="201" t="s">
        <v>1335</v>
      </c>
      <c r="B38" s="201"/>
      <c r="C38" s="201"/>
      <c r="D38" s="201"/>
      <c r="E38" s="201"/>
      <c r="F38" s="201"/>
      <c r="G38" s="201"/>
      <c r="H38" s="201"/>
      <c r="I38" s="201"/>
      <c r="J38" s="201"/>
      <c r="K38" s="201"/>
      <c r="L38" s="201"/>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1" t="s">
        <v>1336</v>
      </c>
      <c r="B40" s="201"/>
      <c r="C40" s="201"/>
      <c r="D40" s="201"/>
      <c r="E40" s="201"/>
      <c r="F40" s="201"/>
      <c r="G40" s="201"/>
      <c r="H40" s="201"/>
      <c r="I40" s="201"/>
      <c r="J40" s="201"/>
      <c r="K40" s="201"/>
      <c r="L40" s="201"/>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1" t="s">
        <v>1244</v>
      </c>
      <c r="B47" s="201"/>
      <c r="C47" s="201"/>
      <c r="D47" s="201"/>
      <c r="E47" s="201"/>
      <c r="F47" s="201"/>
      <c r="G47" s="201"/>
      <c r="H47" s="201"/>
      <c r="I47" s="201"/>
      <c r="J47" s="201"/>
      <c r="K47" s="201"/>
      <c r="L47" s="201"/>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1" t="s">
        <v>1339</v>
      </c>
      <c r="B49" s="201"/>
      <c r="C49" s="201"/>
      <c r="D49" s="201"/>
      <c r="E49" s="201"/>
      <c r="F49" s="201"/>
      <c r="G49" s="201"/>
      <c r="H49" s="201"/>
      <c r="I49" s="201"/>
      <c r="J49" s="201"/>
      <c r="K49" s="201"/>
      <c r="L49" s="201"/>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1" t="s">
        <v>1340</v>
      </c>
      <c r="B51" s="201"/>
      <c r="C51" s="201"/>
      <c r="D51" s="201"/>
      <c r="E51" s="201"/>
      <c r="F51" s="201"/>
      <c r="G51" s="201"/>
      <c r="H51" s="201"/>
      <c r="I51" s="201"/>
      <c r="J51" s="201"/>
      <c r="K51" s="201"/>
      <c r="L51" s="201"/>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1" t="s">
        <v>1356</v>
      </c>
      <c r="B53" s="201"/>
      <c r="C53" s="201"/>
      <c r="D53" s="201"/>
      <c r="E53" s="201"/>
      <c r="F53" s="201"/>
      <c r="G53" s="201"/>
      <c r="H53" s="201"/>
      <c r="I53" s="201"/>
      <c r="J53" s="201"/>
      <c r="K53" s="201"/>
      <c r="L53" s="201"/>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1" t="s">
        <v>1214</v>
      </c>
      <c r="B66" s="201"/>
      <c r="C66" s="201"/>
      <c r="D66" s="201"/>
      <c r="E66" s="201"/>
      <c r="F66" s="201"/>
      <c r="G66" s="201"/>
      <c r="H66" s="201"/>
      <c r="I66" s="201"/>
      <c r="J66" s="201"/>
      <c r="K66" s="201"/>
      <c r="L66" s="201"/>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1" t="s">
        <v>1347</v>
      </c>
      <c r="B68" s="201"/>
      <c r="C68" s="201"/>
      <c r="D68" s="201"/>
      <c r="E68" s="201"/>
      <c r="F68" s="201"/>
      <c r="G68" s="201"/>
      <c r="H68" s="201"/>
      <c r="I68" s="201"/>
      <c r="J68" s="201"/>
      <c r="K68" s="201"/>
      <c r="L68" s="201"/>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1" t="s">
        <v>1243</v>
      </c>
      <c r="B80" s="201"/>
      <c r="C80" s="201"/>
      <c r="D80" s="201"/>
      <c r="E80" s="201"/>
      <c r="F80" s="201"/>
      <c r="G80" s="201"/>
      <c r="H80" s="201"/>
      <c r="I80" s="201"/>
      <c r="J80" s="201"/>
      <c r="K80" s="201"/>
      <c r="L80" s="201"/>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1" t="s">
        <v>1349</v>
      </c>
      <c r="B82" s="201"/>
      <c r="C82" s="201"/>
      <c r="D82" s="201"/>
      <c r="E82" s="201"/>
      <c r="F82" s="201"/>
      <c r="G82" s="201"/>
      <c r="H82" s="201"/>
      <c r="I82" s="201"/>
      <c r="J82" s="201"/>
      <c r="K82" s="201"/>
      <c r="L82" s="201"/>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1" t="s">
        <v>1222</v>
      </c>
      <c r="B84" s="201"/>
      <c r="C84" s="201"/>
      <c r="D84" s="201"/>
      <c r="E84" s="201"/>
      <c r="F84" s="201"/>
      <c r="G84" s="201"/>
      <c r="H84" s="201"/>
      <c r="I84" s="201"/>
      <c r="J84" s="201"/>
      <c r="K84" s="201"/>
      <c r="L84" s="201"/>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1" t="s">
        <v>1221</v>
      </c>
      <c r="C86" s="201"/>
      <c r="D86" s="201"/>
      <c r="E86" s="201"/>
      <c r="F86" s="201"/>
      <c r="G86" s="201"/>
      <c r="H86" s="201"/>
      <c r="I86" s="201"/>
      <c r="J86" s="201"/>
      <c r="K86" s="201"/>
      <c r="L86" s="201"/>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1" t="s">
        <v>1227</v>
      </c>
      <c r="B88" s="201"/>
      <c r="C88" s="201"/>
      <c r="D88" s="201"/>
      <c r="E88" s="201"/>
      <c r="F88" s="201"/>
      <c r="G88" s="201"/>
      <c r="H88" s="201"/>
      <c r="I88" s="201"/>
      <c r="J88" s="201"/>
      <c r="K88" s="201"/>
      <c r="L88" s="201"/>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1" t="s">
        <v>1355</v>
      </c>
      <c r="B90" s="201"/>
      <c r="C90" s="201"/>
      <c r="D90" s="201"/>
      <c r="E90" s="201"/>
      <c r="F90" s="201"/>
      <c r="G90" s="201"/>
      <c r="H90" s="201"/>
      <c r="I90" s="201"/>
      <c r="J90" s="201"/>
      <c r="K90" s="201"/>
      <c r="L90" s="201"/>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
    </sheetView>
  </sheetViews>
  <sheetFormatPr baseColWidth="10" defaultColWidth="9.1640625" defaultRowHeight="15" x14ac:dyDescent="0.2"/>
  <cols>
    <col min="1" max="1" width="30.5" customWidth="1"/>
    <col min="2" max="2" width="60.5" customWidth="1"/>
  </cols>
  <sheetData>
    <row r="5" spans="1:2" ht="20" x14ac:dyDescent="0.2">
      <c r="A5" s="209" t="s">
        <v>1206</v>
      </c>
      <c r="B5" s="209"/>
    </row>
    <row r="6" spans="1:2" ht="22" customHeight="1" x14ac:dyDescent="0.2">
      <c r="A6" s="65" t="s">
        <v>0</v>
      </c>
      <c r="B6" s="66" t="s">
        <v>1361</v>
      </c>
    </row>
    <row r="7" spans="1:2" ht="22" customHeight="1" x14ac:dyDescent="0.2">
      <c r="A7" s="65" t="s">
        <v>1</v>
      </c>
      <c r="B7" s="66" t="s">
        <v>1362</v>
      </c>
    </row>
    <row r="8" spans="1:2" ht="22" customHeight="1" x14ac:dyDescent="0.2">
      <c r="A8" s="65" t="s">
        <v>2</v>
      </c>
      <c r="B8" s="66" t="s">
        <v>1363</v>
      </c>
    </row>
    <row r="9" spans="1:2" ht="22" customHeight="1" x14ac:dyDescent="0.2">
      <c r="A9" s="65" t="s">
        <v>3</v>
      </c>
      <c r="B9" s="66">
        <v>97045</v>
      </c>
    </row>
    <row r="10" spans="1:2" ht="42" x14ac:dyDescent="0.2">
      <c r="A10" s="65" t="s">
        <v>1207</v>
      </c>
      <c r="B10" s="66" t="s">
        <v>1364</v>
      </c>
    </row>
    <row r="11" spans="1:2" ht="22" customHeight="1" x14ac:dyDescent="0.2">
      <c r="A11" s="65" t="s">
        <v>4</v>
      </c>
      <c r="B11" s="66" t="s">
        <v>1365</v>
      </c>
    </row>
    <row r="12" spans="1:2" ht="22" customHeight="1" x14ac:dyDescent="0.2">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2"/>
  <sheetViews>
    <sheetView topLeftCell="B1" zoomScale="120" zoomScaleNormal="120" workbookViewId="0">
      <pane ySplit="12" topLeftCell="A16" activePane="bottomLeft" state="frozen"/>
      <selection pane="bottomLeft" activeCell="E16" sqref="E16"/>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3" t="s">
        <v>13</v>
      </c>
      <c r="B10" s="214"/>
      <c r="C10" s="214"/>
      <c r="D10" s="229" t="s">
        <v>1087</v>
      </c>
      <c r="E10" s="230"/>
      <c r="F10" s="213" t="s">
        <v>6</v>
      </c>
      <c r="G10" s="214"/>
      <c r="H10" s="214"/>
      <c r="I10" s="214"/>
      <c r="J10" s="214"/>
      <c r="K10" s="214"/>
      <c r="L10" s="214"/>
      <c r="M10" s="215"/>
    </row>
    <row r="11" spans="1:13" ht="20" customHeight="1" thickBot="1" x14ac:dyDescent="0.25">
      <c r="A11" s="231" t="s">
        <v>1139</v>
      </c>
      <c r="B11" s="216" t="s">
        <v>9</v>
      </c>
      <c r="C11" s="218" t="s">
        <v>12</v>
      </c>
      <c r="D11" s="227" t="s">
        <v>11</v>
      </c>
      <c r="E11" s="220" t="s">
        <v>1086</v>
      </c>
      <c r="F11" s="222" t="s">
        <v>1354</v>
      </c>
      <c r="G11" s="220" t="s">
        <v>10</v>
      </c>
      <c r="H11" s="224" t="s">
        <v>1154</v>
      </c>
      <c r="I11" s="225"/>
      <c r="J11" s="226"/>
      <c r="K11" s="210" t="s">
        <v>1199</v>
      </c>
      <c r="L11" s="211"/>
      <c r="M11" s="212"/>
    </row>
    <row r="12" spans="1:13" ht="48" customHeight="1" thickBot="1" x14ac:dyDescent="0.25">
      <c r="A12" s="232"/>
      <c r="B12" s="217"/>
      <c r="C12" s="219"/>
      <c r="D12" s="228"/>
      <c r="E12" s="221"/>
      <c r="F12" s="223"/>
      <c r="G12" s="221"/>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1456</v>
      </c>
      <c r="B15" s="80" t="s">
        <v>1457</v>
      </c>
      <c r="C15" s="81" t="s">
        <v>1367</v>
      </c>
      <c r="D15" s="82" t="s">
        <v>1368</v>
      </c>
      <c r="E15" s="83" t="s">
        <v>1418</v>
      </c>
      <c r="F15" s="82" t="s">
        <v>1369</v>
      </c>
      <c r="G15" s="84" t="s">
        <v>1370</v>
      </c>
      <c r="H15" s="85">
        <v>22.71</v>
      </c>
      <c r="I15" s="86">
        <f>J15</f>
        <v>28.387500000000003</v>
      </c>
      <c r="J15" s="83">
        <f>H15*1.25</f>
        <v>28.387500000000003</v>
      </c>
      <c r="K15" s="85">
        <f>0.0731</f>
        <v>7.3099999999999998E-2</v>
      </c>
      <c r="L15" s="86">
        <f>M15</f>
        <v>9.1374999999999998E-2</v>
      </c>
      <c r="M15" s="83">
        <f>K15*1.25</f>
        <v>9.1374999999999998E-2</v>
      </c>
    </row>
    <row r="16" spans="1:13" x14ac:dyDescent="0.2">
      <c r="A16" s="79" t="s">
        <v>1394</v>
      </c>
      <c r="B16" s="80" t="s">
        <v>1399</v>
      </c>
      <c r="C16" s="81" t="s">
        <v>1372</v>
      </c>
      <c r="D16" s="82" t="s">
        <v>1129</v>
      </c>
      <c r="E16" s="83" t="s">
        <v>1452</v>
      </c>
      <c r="F16" s="82" t="s">
        <v>1393</v>
      </c>
      <c r="G16" s="84" t="s">
        <v>1371</v>
      </c>
      <c r="H16" s="85">
        <f>(69.12+6.19)</f>
        <v>75.31</v>
      </c>
      <c r="I16" s="86">
        <f t="shared" ref="I16:I30" si="0">J16</f>
        <v>94.137500000000003</v>
      </c>
      <c r="J16" s="83">
        <f t="shared" ref="J16:J18" si="1">H16*1.25</f>
        <v>94.137500000000003</v>
      </c>
      <c r="K16" s="85">
        <f>H16/250</f>
        <v>0.30124000000000001</v>
      </c>
      <c r="L16" s="86">
        <f t="shared" ref="L16:L30" si="2">M16</f>
        <v>0.37655</v>
      </c>
      <c r="M16" s="83">
        <f t="shared" ref="M16:M18" si="3">K16*1.25</f>
        <v>0.37655</v>
      </c>
    </row>
    <row r="17" spans="1:13" x14ac:dyDescent="0.2">
      <c r="A17" s="79" t="s">
        <v>1395</v>
      </c>
      <c r="B17" s="80" t="s">
        <v>1400</v>
      </c>
      <c r="C17" s="81" t="s">
        <v>1372</v>
      </c>
      <c r="D17" s="82" t="s">
        <v>1129</v>
      </c>
      <c r="E17" s="83" t="s">
        <v>1452</v>
      </c>
      <c r="F17" s="82" t="s">
        <v>1393</v>
      </c>
      <c r="G17" s="84" t="s">
        <v>1371</v>
      </c>
      <c r="H17" s="85">
        <f>2.78</f>
        <v>2.78</v>
      </c>
      <c r="I17" s="86">
        <f t="shared" si="0"/>
        <v>3.4749999999999996</v>
      </c>
      <c r="J17" s="83">
        <f t="shared" si="1"/>
        <v>3.4749999999999996</v>
      </c>
      <c r="K17" s="85">
        <f>H17/250</f>
        <v>1.112E-2</v>
      </c>
      <c r="L17" s="86">
        <f t="shared" si="2"/>
        <v>1.3899999999999999E-2</v>
      </c>
      <c r="M17" s="83">
        <f t="shared" si="3"/>
        <v>1.3899999999999999E-2</v>
      </c>
    </row>
    <row r="18" spans="1:13" x14ac:dyDescent="0.2">
      <c r="A18" s="79" t="s">
        <v>1401</v>
      </c>
      <c r="B18" s="80" t="s">
        <v>1402</v>
      </c>
      <c r="C18" s="81" t="s">
        <v>1367</v>
      </c>
      <c r="D18" s="82" t="s">
        <v>1368</v>
      </c>
      <c r="E18" s="83" t="s">
        <v>1418</v>
      </c>
      <c r="F18" s="82" t="s">
        <v>1393</v>
      </c>
      <c r="G18" s="84" t="s">
        <v>1410</v>
      </c>
      <c r="H18" s="85">
        <v>4.5860000000000003</v>
      </c>
      <c r="I18" s="86">
        <f t="shared" si="0"/>
        <v>5.7324999999999999</v>
      </c>
      <c r="J18" s="83">
        <f t="shared" si="1"/>
        <v>5.7324999999999999</v>
      </c>
      <c r="K18" s="85">
        <f>H18/10</f>
        <v>0.45860000000000001</v>
      </c>
      <c r="L18" s="86">
        <f t="shared" si="2"/>
        <v>0.57325000000000004</v>
      </c>
      <c r="M18" s="83">
        <f t="shared" si="3"/>
        <v>0.57325000000000004</v>
      </c>
    </row>
    <row r="19" spans="1:13" x14ac:dyDescent="0.2">
      <c r="A19" s="79"/>
      <c r="B19" s="80"/>
      <c r="C19" s="81"/>
      <c r="D19" s="82"/>
      <c r="E19" s="83"/>
      <c r="F19" s="82"/>
      <c r="G19" s="84"/>
      <c r="H19" s="85"/>
      <c r="I19" s="86"/>
      <c r="J19" s="83"/>
      <c r="K19" s="85"/>
      <c r="L19" s="86"/>
      <c r="M19" s="83"/>
    </row>
    <row r="20" spans="1:13" x14ac:dyDescent="0.2">
      <c r="A20" s="79" t="s">
        <v>1376</v>
      </c>
      <c r="B20" s="80" t="s">
        <v>1384</v>
      </c>
      <c r="C20" s="81" t="s">
        <v>1367</v>
      </c>
      <c r="D20" s="82" t="s">
        <v>1368</v>
      </c>
      <c r="E20" s="83" t="s">
        <v>1418</v>
      </c>
      <c r="F20" s="82" t="s">
        <v>1373</v>
      </c>
      <c r="G20" s="84" t="s">
        <v>1468</v>
      </c>
      <c r="H20" s="85">
        <f>1172779/2000</f>
        <v>586.3895</v>
      </c>
      <c r="I20" s="86">
        <f t="shared" si="0"/>
        <v>732.98687500000005</v>
      </c>
      <c r="J20" s="83">
        <f t="shared" ref="J20:J21" si="4">H20*1.25</f>
        <v>732.98687500000005</v>
      </c>
      <c r="K20" s="85">
        <f>H20/250</f>
        <v>2.345558</v>
      </c>
      <c r="L20" s="86">
        <f t="shared" si="2"/>
        <v>2.9319475000000002</v>
      </c>
      <c r="M20" s="83">
        <f t="shared" ref="M20:M21" si="5">K20*1.25</f>
        <v>2.9319475000000002</v>
      </c>
    </row>
    <row r="21" spans="1:13" x14ac:dyDescent="0.2">
      <c r="A21" s="79" t="s">
        <v>1377</v>
      </c>
      <c r="B21" s="80" t="s">
        <v>1385</v>
      </c>
      <c r="C21" s="81" t="s">
        <v>1367</v>
      </c>
      <c r="D21" s="82" t="s">
        <v>1368</v>
      </c>
      <c r="E21" s="83" t="s">
        <v>1418</v>
      </c>
      <c r="F21" s="82" t="s">
        <v>1373</v>
      </c>
      <c r="G21" s="84" t="s">
        <v>1469</v>
      </c>
      <c r="H21" s="85">
        <f>5004/2000</f>
        <v>2.5019999999999998</v>
      </c>
      <c r="I21" s="86">
        <f t="shared" si="0"/>
        <v>3.1274999999999995</v>
      </c>
      <c r="J21" s="83">
        <f t="shared" si="4"/>
        <v>3.1274999999999995</v>
      </c>
      <c r="K21" s="85">
        <f>H21/250</f>
        <v>1.0008E-2</v>
      </c>
      <c r="L21" s="86">
        <f t="shared" si="2"/>
        <v>1.251E-2</v>
      </c>
      <c r="M21" s="83">
        <f t="shared" si="5"/>
        <v>1.251E-2</v>
      </c>
    </row>
    <row r="22" spans="1:13" x14ac:dyDescent="0.2">
      <c r="A22" s="79"/>
      <c r="B22" s="80"/>
      <c r="C22" s="81"/>
      <c r="D22" s="82"/>
      <c r="E22" s="83"/>
      <c r="F22" s="82"/>
      <c r="G22" s="84"/>
      <c r="H22" s="85"/>
      <c r="I22" s="86"/>
      <c r="J22" s="83"/>
      <c r="K22" s="85"/>
      <c r="L22" s="86"/>
      <c r="M22" s="83"/>
    </row>
    <row r="23" spans="1:13" x14ac:dyDescent="0.2">
      <c r="A23" s="79" t="s">
        <v>1379</v>
      </c>
      <c r="B23" s="80" t="s">
        <v>1382</v>
      </c>
      <c r="C23" s="81" t="s">
        <v>1372</v>
      </c>
      <c r="D23" s="82" t="s">
        <v>1129</v>
      </c>
      <c r="E23" s="83" t="s">
        <v>1381</v>
      </c>
      <c r="F23" s="82" t="s">
        <v>1373</v>
      </c>
      <c r="G23" s="84" t="s">
        <v>1470</v>
      </c>
      <c r="H23" s="85">
        <f>H20</f>
        <v>586.3895</v>
      </c>
      <c r="I23" s="86">
        <f t="shared" si="0"/>
        <v>732.98687500000005</v>
      </c>
      <c r="J23" s="83">
        <f t="shared" ref="J23:J24" si="6">H23*1.25</f>
        <v>732.98687500000005</v>
      </c>
      <c r="K23" s="85">
        <f>H23/250</f>
        <v>2.345558</v>
      </c>
      <c r="L23" s="86">
        <f t="shared" si="2"/>
        <v>2.9319475000000002</v>
      </c>
      <c r="M23" s="83">
        <f t="shared" ref="M23:M24" si="7">K23*1.25</f>
        <v>2.9319475000000002</v>
      </c>
    </row>
    <row r="24" spans="1:13" x14ac:dyDescent="0.2">
      <c r="A24" s="79" t="s">
        <v>1380</v>
      </c>
      <c r="B24" s="80" t="s">
        <v>1383</v>
      </c>
      <c r="C24" s="81" t="s">
        <v>1372</v>
      </c>
      <c r="D24" s="82" t="s">
        <v>1129</v>
      </c>
      <c r="E24" s="83" t="s">
        <v>1381</v>
      </c>
      <c r="F24" s="82" t="s">
        <v>1373</v>
      </c>
      <c r="G24" s="84" t="s">
        <v>1471</v>
      </c>
      <c r="H24" s="85">
        <f>H21</f>
        <v>2.5019999999999998</v>
      </c>
      <c r="I24" s="86">
        <f t="shared" si="0"/>
        <v>3.1274999999999995</v>
      </c>
      <c r="J24" s="83">
        <f t="shared" si="6"/>
        <v>3.1274999999999995</v>
      </c>
      <c r="K24" s="85">
        <f>H24/250</f>
        <v>1.0008E-2</v>
      </c>
      <c r="L24" s="86">
        <f t="shared" si="2"/>
        <v>1.251E-2</v>
      </c>
      <c r="M24" s="83">
        <f t="shared" si="7"/>
        <v>1.251E-2</v>
      </c>
    </row>
    <row r="25" spans="1:13" x14ac:dyDescent="0.2">
      <c r="A25" s="79"/>
      <c r="B25" s="80"/>
      <c r="C25" s="81"/>
      <c r="D25" s="82"/>
      <c r="E25" s="83"/>
      <c r="F25" s="82"/>
      <c r="G25" s="84"/>
      <c r="H25" s="85"/>
      <c r="I25" s="86"/>
      <c r="J25" s="83"/>
      <c r="K25" s="85"/>
      <c r="L25" s="86"/>
      <c r="M25" s="83"/>
    </row>
    <row r="26" spans="1:13" x14ac:dyDescent="0.2">
      <c r="A26" s="79" t="s">
        <v>1438</v>
      </c>
      <c r="B26" s="80" t="s">
        <v>1440</v>
      </c>
      <c r="C26" s="81" t="s">
        <v>1374</v>
      </c>
      <c r="D26" s="82" t="s">
        <v>1129</v>
      </c>
      <c r="E26" s="83" t="s">
        <v>1378</v>
      </c>
      <c r="F26" s="82" t="s">
        <v>1373</v>
      </c>
      <c r="G26" s="84" t="s">
        <v>1439</v>
      </c>
      <c r="H26" s="85">
        <f>H20+H21</f>
        <v>588.89149999999995</v>
      </c>
      <c r="I26" s="86">
        <f t="shared" si="0"/>
        <v>736.11437499999988</v>
      </c>
      <c r="J26" s="83">
        <f t="shared" ref="J26" si="8">H26*1.25</f>
        <v>736.11437499999988</v>
      </c>
      <c r="K26" s="85">
        <f>H26/250</f>
        <v>2.3555659999999996</v>
      </c>
      <c r="L26" s="86">
        <f t="shared" si="2"/>
        <v>2.9444574999999995</v>
      </c>
      <c r="M26" s="83">
        <f t="shared" ref="M26" si="9">K26*1.25</f>
        <v>2.9444574999999995</v>
      </c>
    </row>
    <row r="27" spans="1:13" x14ac:dyDescent="0.2">
      <c r="A27" s="79"/>
      <c r="B27" s="80"/>
      <c r="C27" s="81"/>
      <c r="D27" s="82"/>
      <c r="E27" s="83"/>
      <c r="F27" s="82"/>
      <c r="G27" s="84"/>
      <c r="H27" s="85"/>
      <c r="I27" s="86"/>
      <c r="J27" s="83"/>
      <c r="K27" s="85"/>
      <c r="L27" s="86"/>
      <c r="M27" s="83"/>
    </row>
    <row r="28" spans="1:13" x14ac:dyDescent="0.2">
      <c r="A28" s="79" t="s">
        <v>1463</v>
      </c>
      <c r="B28" s="80" t="s">
        <v>1460</v>
      </c>
      <c r="C28" s="81" t="s">
        <v>1374</v>
      </c>
      <c r="D28" s="82" t="s">
        <v>1129</v>
      </c>
      <c r="E28" s="83" t="s">
        <v>1453</v>
      </c>
      <c r="F28" s="82" t="s">
        <v>1373</v>
      </c>
      <c r="G28" s="84" t="s">
        <v>1458</v>
      </c>
      <c r="H28" s="85">
        <f>0.95*(275084/2000)</f>
        <v>130.66489999999999</v>
      </c>
      <c r="I28" s="86">
        <f t="shared" si="0"/>
        <v>163.33112499999999</v>
      </c>
      <c r="J28" s="83">
        <f t="shared" ref="J28:J30" si="10">H28*1.25</f>
        <v>163.33112499999999</v>
      </c>
      <c r="K28" s="85">
        <f>H28/250</f>
        <v>0.5226596</v>
      </c>
      <c r="L28" s="86">
        <f t="shared" si="2"/>
        <v>0.65332449999999997</v>
      </c>
      <c r="M28" s="83">
        <f t="shared" ref="M28:M30" si="11">K28*1.25</f>
        <v>0.65332449999999997</v>
      </c>
    </row>
    <row r="29" spans="1:13" x14ac:dyDescent="0.2">
      <c r="A29" s="79" t="s">
        <v>1464</v>
      </c>
      <c r="B29" s="80" t="s">
        <v>1461</v>
      </c>
      <c r="C29" s="81" t="s">
        <v>1374</v>
      </c>
      <c r="D29" s="82" t="s">
        <v>1129</v>
      </c>
      <c r="E29" s="83" t="s">
        <v>1465</v>
      </c>
      <c r="F29" s="82" t="s">
        <v>1373</v>
      </c>
      <c r="G29" s="84" t="s">
        <v>1458</v>
      </c>
      <c r="H29" s="85">
        <f>0.025*(275084/2000)</f>
        <v>3.4385500000000002</v>
      </c>
      <c r="I29" s="86">
        <f t="shared" si="0"/>
        <v>4.2981875</v>
      </c>
      <c r="J29" s="83">
        <f t="shared" si="10"/>
        <v>4.2981875</v>
      </c>
      <c r="K29" s="197">
        <f>H29/250</f>
        <v>1.3754200000000001E-2</v>
      </c>
      <c r="L29" s="86">
        <f t="shared" si="2"/>
        <v>1.719275E-2</v>
      </c>
      <c r="M29" s="83">
        <f t="shared" si="11"/>
        <v>1.719275E-2</v>
      </c>
    </row>
    <row r="30" spans="1:13" x14ac:dyDescent="0.2">
      <c r="A30" s="79" t="s">
        <v>1459</v>
      </c>
      <c r="B30" s="80" t="s">
        <v>1461</v>
      </c>
      <c r="C30" s="81" t="s">
        <v>1374</v>
      </c>
      <c r="D30" s="82" t="s">
        <v>1129</v>
      </c>
      <c r="E30" s="83" t="s">
        <v>1452</v>
      </c>
      <c r="F30" s="82" t="s">
        <v>1373</v>
      </c>
      <c r="G30" s="84" t="s">
        <v>1458</v>
      </c>
      <c r="H30" s="85">
        <f>0.025*(275084/2000)</f>
        <v>3.4385500000000002</v>
      </c>
      <c r="I30" s="86">
        <f t="shared" si="0"/>
        <v>4.2981875</v>
      </c>
      <c r="J30" s="83">
        <f t="shared" si="10"/>
        <v>4.2981875</v>
      </c>
      <c r="K30" s="85">
        <f>H30/250</f>
        <v>1.3754200000000001E-2</v>
      </c>
      <c r="L30" s="86">
        <f t="shared" si="2"/>
        <v>1.719275E-2</v>
      </c>
      <c r="M30" s="83">
        <f t="shared" si="11"/>
        <v>1.719275E-2</v>
      </c>
    </row>
    <row r="31" spans="1:13" x14ac:dyDescent="0.2">
      <c r="A31" s="79"/>
      <c r="B31" s="80"/>
      <c r="C31" s="81"/>
      <c r="D31" s="82"/>
      <c r="E31" s="83"/>
      <c r="F31" s="82"/>
      <c r="G31" s="84"/>
      <c r="H31" s="85"/>
      <c r="I31" s="86"/>
      <c r="J31" s="83"/>
      <c r="K31" s="85"/>
      <c r="L31" s="86"/>
      <c r="M31" s="83"/>
    </row>
    <row r="32" spans="1:13" x14ac:dyDescent="0.2">
      <c r="A32" s="79"/>
      <c r="B32" s="80"/>
      <c r="C32" s="81"/>
      <c r="D32" s="82"/>
      <c r="E32" s="83"/>
      <c r="F32" s="82"/>
      <c r="G32" s="84"/>
      <c r="H32" s="85"/>
      <c r="I32" s="86"/>
      <c r="J32" s="83"/>
      <c r="K32" s="85"/>
      <c r="L32" s="86"/>
      <c r="M32" s="83"/>
    </row>
    <row r="33" spans="1:13" x14ac:dyDescent="0.2">
      <c r="A33" s="79"/>
      <c r="B33" s="80"/>
      <c r="C33" s="81"/>
      <c r="D33" s="82"/>
      <c r="E33" s="83"/>
      <c r="F33" s="82"/>
      <c r="G33" s="84"/>
      <c r="H33" s="85"/>
      <c r="I33" s="86"/>
      <c r="J33" s="83"/>
      <c r="K33" s="85"/>
      <c r="L33" s="86"/>
      <c r="M33" s="83"/>
    </row>
    <row r="34" spans="1:13" x14ac:dyDescent="0.2">
      <c r="A34" s="79"/>
      <c r="B34" s="80"/>
      <c r="C34" s="81"/>
      <c r="D34" s="82"/>
      <c r="E34" s="83"/>
      <c r="F34" s="82"/>
      <c r="G34" s="84"/>
      <c r="H34" s="85"/>
      <c r="I34" s="86"/>
      <c r="J34" s="83"/>
      <c r="K34" s="85"/>
      <c r="L34" s="86"/>
      <c r="M34" s="83"/>
    </row>
    <row r="35" spans="1:13" x14ac:dyDescent="0.2">
      <c r="A35" s="79"/>
      <c r="B35" s="80"/>
      <c r="C35" s="81"/>
      <c r="D35" s="82"/>
      <c r="E35" s="83"/>
      <c r="F35" s="82"/>
      <c r="G35" s="84"/>
      <c r="H35" s="85"/>
      <c r="I35" s="86"/>
      <c r="J35" s="83"/>
      <c r="K35" s="85"/>
      <c r="L35" s="86"/>
      <c r="M35" s="83"/>
    </row>
    <row r="36" spans="1:13" x14ac:dyDescent="0.2">
      <c r="A36" s="79"/>
      <c r="B36" s="80"/>
      <c r="C36" s="81"/>
      <c r="D36" s="82"/>
      <c r="E36" s="83"/>
      <c r="F36" s="82"/>
      <c r="G36" s="84"/>
      <c r="H36" s="85"/>
      <c r="I36" s="86"/>
      <c r="J36" s="83"/>
      <c r="K36" s="85"/>
      <c r="L36" s="86"/>
      <c r="M36" s="83"/>
    </row>
    <row r="37" spans="1:13" x14ac:dyDescent="0.2">
      <c r="A37" s="79"/>
      <c r="B37" s="80"/>
      <c r="C37" s="81"/>
      <c r="D37" s="82"/>
      <c r="E37" s="83"/>
      <c r="F37" s="82"/>
      <c r="G37" s="84"/>
      <c r="H37" s="85"/>
      <c r="I37" s="86"/>
      <c r="J37" s="83"/>
      <c r="K37" s="85"/>
      <c r="L37" s="86"/>
      <c r="M37" s="83"/>
    </row>
    <row r="38" spans="1:13" x14ac:dyDescent="0.2">
      <c r="A38" s="79"/>
      <c r="B38" s="80"/>
      <c r="C38" s="81"/>
      <c r="D38" s="82"/>
      <c r="E38" s="83"/>
      <c r="F38" s="82"/>
      <c r="G38" s="84"/>
      <c r="H38" s="85"/>
      <c r="I38" s="86"/>
      <c r="J38" s="83"/>
      <c r="K38" s="85"/>
      <c r="L38" s="86"/>
      <c r="M38" s="83"/>
    </row>
    <row r="39" spans="1:13" x14ac:dyDescent="0.2">
      <c r="A39" s="79"/>
      <c r="B39" s="80"/>
      <c r="C39" s="81"/>
      <c r="D39" s="82"/>
      <c r="E39" s="83"/>
      <c r="F39" s="82"/>
      <c r="G39" s="84"/>
      <c r="H39" s="85"/>
      <c r="I39" s="86"/>
      <c r="J39" s="83"/>
      <c r="K39" s="85"/>
      <c r="L39" s="86"/>
      <c r="M39" s="83"/>
    </row>
    <row r="40" spans="1:13" x14ac:dyDescent="0.2">
      <c r="A40" s="79"/>
      <c r="B40" s="80"/>
      <c r="C40" s="81"/>
      <c r="D40" s="82"/>
      <c r="E40" s="83"/>
      <c r="F40" s="82"/>
      <c r="G40" s="84"/>
      <c r="H40" s="85"/>
      <c r="I40" s="86"/>
      <c r="J40" s="83"/>
      <c r="K40" s="85"/>
      <c r="L40" s="86"/>
      <c r="M40" s="83"/>
    </row>
    <row r="41" spans="1:13" x14ac:dyDescent="0.2">
      <c r="A41" s="79"/>
      <c r="B41" s="80"/>
      <c r="C41" s="81"/>
      <c r="D41" s="82"/>
      <c r="E41" s="83"/>
      <c r="F41" s="82"/>
      <c r="G41" s="84"/>
      <c r="H41" s="85"/>
      <c r="I41" s="86"/>
      <c r="J41" s="83"/>
      <c r="K41" s="85"/>
      <c r="L41" s="86"/>
      <c r="M41" s="83"/>
    </row>
    <row r="42" spans="1:13" x14ac:dyDescent="0.2">
      <c r="A42" s="79"/>
      <c r="B42" s="80"/>
      <c r="C42" s="81"/>
      <c r="D42" s="82"/>
      <c r="E42" s="83"/>
      <c r="F42" s="82"/>
      <c r="G42" s="84"/>
      <c r="H42" s="85"/>
      <c r="I42" s="86"/>
      <c r="J42" s="83"/>
      <c r="K42" s="85"/>
      <c r="L42" s="86"/>
      <c r="M42" s="83"/>
    </row>
    <row r="43" spans="1:13" x14ac:dyDescent="0.2">
      <c r="A43" s="79"/>
      <c r="B43" s="80"/>
      <c r="C43" s="81"/>
      <c r="D43" s="82"/>
      <c r="E43" s="83"/>
      <c r="F43" s="82"/>
      <c r="G43" s="84"/>
      <c r="H43" s="85"/>
      <c r="I43" s="86"/>
      <c r="J43" s="83"/>
      <c r="K43" s="85"/>
      <c r="L43" s="86"/>
      <c r="M43" s="83"/>
    </row>
    <row r="44" spans="1:13" x14ac:dyDescent="0.2">
      <c r="A44" s="79"/>
      <c r="B44" s="80"/>
      <c r="C44" s="81"/>
      <c r="D44" s="82"/>
      <c r="E44" s="83"/>
      <c r="F44" s="82"/>
      <c r="G44" s="84"/>
      <c r="H44" s="85"/>
      <c r="I44" s="86"/>
      <c r="J44" s="83"/>
      <c r="K44" s="85"/>
      <c r="L44" s="86"/>
      <c r="M44" s="83"/>
    </row>
    <row r="45" spans="1:13" x14ac:dyDescent="0.2">
      <c r="A45" s="79"/>
      <c r="B45" s="80"/>
      <c r="C45" s="81"/>
      <c r="D45" s="82"/>
      <c r="E45" s="83"/>
      <c r="F45" s="82"/>
      <c r="G45" s="84"/>
      <c r="H45" s="85"/>
      <c r="I45" s="86"/>
      <c r="J45" s="83"/>
      <c r="K45" s="85"/>
      <c r="L45" s="86"/>
      <c r="M45" s="83"/>
    </row>
    <row r="46" spans="1:13" x14ac:dyDescent="0.2">
      <c r="A46" s="79"/>
      <c r="B46" s="80"/>
      <c r="C46" s="81"/>
      <c r="D46" s="82"/>
      <c r="E46" s="83"/>
      <c r="F46" s="82"/>
      <c r="G46" s="84"/>
      <c r="H46" s="85"/>
      <c r="I46" s="86"/>
      <c r="J46" s="83"/>
      <c r="K46" s="85"/>
      <c r="L46" s="86"/>
      <c r="M46" s="83"/>
    </row>
    <row r="47" spans="1:13" x14ac:dyDescent="0.2">
      <c r="A47" s="79"/>
      <c r="B47" s="80"/>
      <c r="C47" s="81"/>
      <c r="D47" s="82"/>
      <c r="E47" s="83"/>
      <c r="F47" s="82"/>
      <c r="G47" s="84"/>
      <c r="H47" s="85"/>
      <c r="I47" s="86"/>
      <c r="J47" s="83"/>
      <c r="K47" s="85"/>
      <c r="L47" s="86"/>
      <c r="M47" s="83"/>
    </row>
    <row r="48" spans="1:13" x14ac:dyDescent="0.2">
      <c r="A48" s="79"/>
      <c r="B48" s="80"/>
      <c r="C48" s="81"/>
      <c r="D48" s="82"/>
      <c r="E48" s="83"/>
      <c r="F48" s="82"/>
      <c r="G48" s="84"/>
      <c r="H48" s="85"/>
      <c r="I48" s="86"/>
      <c r="J48" s="83"/>
      <c r="K48" s="85"/>
      <c r="L48" s="86"/>
      <c r="M48" s="83"/>
    </row>
    <row r="49" spans="1:13" x14ac:dyDescent="0.2">
      <c r="A49" s="79"/>
      <c r="B49" s="80"/>
      <c r="C49" s="81"/>
      <c r="D49" s="82"/>
      <c r="E49" s="83"/>
      <c r="F49" s="82"/>
      <c r="G49" s="84"/>
      <c r="H49" s="85"/>
      <c r="I49" s="86"/>
      <c r="J49" s="83"/>
      <c r="K49" s="85"/>
      <c r="L49" s="86"/>
      <c r="M49" s="83"/>
    </row>
    <row r="50" spans="1:13" x14ac:dyDescent="0.2">
      <c r="A50" s="79"/>
      <c r="B50" s="80"/>
      <c r="C50" s="81"/>
      <c r="D50" s="82"/>
      <c r="E50" s="83"/>
      <c r="F50" s="82"/>
      <c r="G50" s="84"/>
      <c r="H50" s="85"/>
      <c r="I50" s="86"/>
      <c r="J50" s="83"/>
      <c r="K50" s="85"/>
      <c r="L50" s="86"/>
      <c r="M50" s="83"/>
    </row>
    <row r="51" spans="1:13" x14ac:dyDescent="0.2">
      <c r="A51" s="79"/>
      <c r="B51" s="80"/>
      <c r="C51" s="81"/>
      <c r="D51" s="82"/>
      <c r="E51" s="83"/>
      <c r="F51" s="82"/>
      <c r="G51" s="84"/>
      <c r="H51" s="85"/>
      <c r="I51" s="86"/>
      <c r="J51" s="83"/>
      <c r="K51" s="85"/>
      <c r="L51" s="86"/>
      <c r="M51" s="83"/>
    </row>
    <row r="52" spans="1:13" x14ac:dyDescent="0.2">
      <c r="A52" s="79"/>
      <c r="B52" s="80"/>
      <c r="C52" s="81"/>
      <c r="D52" s="82"/>
      <c r="E52" s="83"/>
      <c r="F52" s="82"/>
      <c r="G52" s="84"/>
      <c r="H52" s="85"/>
      <c r="I52" s="86"/>
      <c r="J52" s="83"/>
      <c r="K52" s="85"/>
      <c r="L52" s="86"/>
      <c r="M52" s="83"/>
    </row>
    <row r="53" spans="1:13" x14ac:dyDescent="0.2">
      <c r="A53" s="79"/>
      <c r="B53" s="80"/>
      <c r="C53" s="81"/>
      <c r="D53" s="82"/>
      <c r="E53" s="83"/>
      <c r="F53" s="82"/>
      <c r="G53" s="84"/>
      <c r="H53" s="85"/>
      <c r="I53" s="86"/>
      <c r="J53" s="83"/>
      <c r="K53" s="85"/>
      <c r="L53" s="86"/>
      <c r="M53" s="83"/>
    </row>
    <row r="54" spans="1:13" x14ac:dyDescent="0.2">
      <c r="A54" s="79"/>
      <c r="B54" s="80"/>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c r="C58" s="81"/>
      <c r="D58" s="82"/>
      <c r="E58" s="83"/>
      <c r="F58" s="82"/>
      <c r="G58" s="84"/>
      <c r="H58" s="85"/>
      <c r="I58" s="86"/>
      <c r="J58" s="83"/>
      <c r="K58" s="85"/>
      <c r="L58" s="86"/>
      <c r="M58" s="83"/>
    </row>
    <row r="59" spans="1:13" x14ac:dyDescent="0.2">
      <c r="A59" s="79"/>
      <c r="B59" s="80"/>
      <c r="C59" s="81"/>
      <c r="D59" s="82"/>
      <c r="E59" s="83"/>
      <c r="F59" s="82"/>
      <c r="G59" s="84"/>
      <c r="H59" s="85"/>
      <c r="I59" s="86"/>
      <c r="J59" s="83"/>
      <c r="K59" s="85"/>
      <c r="L59" s="86"/>
      <c r="M59" s="83"/>
    </row>
    <row r="60" spans="1:13" x14ac:dyDescent="0.2">
      <c r="A60" s="79"/>
      <c r="B60" s="80"/>
      <c r="C60" s="81"/>
      <c r="D60" s="82"/>
      <c r="E60" s="83"/>
      <c r="F60" s="82"/>
      <c r="G60" s="84"/>
      <c r="H60" s="85"/>
      <c r="I60" s="86"/>
      <c r="J60" s="83"/>
      <c r="K60" s="85"/>
      <c r="L60" s="86"/>
      <c r="M60" s="83"/>
    </row>
    <row r="61" spans="1:13" x14ac:dyDescent="0.2">
      <c r="A61" s="79"/>
      <c r="B61" s="80"/>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x14ac:dyDescent="0.2">
      <c r="A200" s="79"/>
      <c r="B200" s="80"/>
      <c r="C200" s="81"/>
      <c r="D200" s="82"/>
      <c r="E200" s="83"/>
      <c r="F200" s="82"/>
      <c r="G200" s="84"/>
      <c r="H200" s="85"/>
      <c r="I200" s="86"/>
      <c r="J200" s="83"/>
      <c r="K200" s="85"/>
      <c r="L200" s="86"/>
      <c r="M200" s="83"/>
    </row>
    <row r="201" spans="1:13" ht="16" thickBot="1" x14ac:dyDescent="0.25">
      <c r="A201" s="87"/>
      <c r="B201" s="88"/>
      <c r="C201" s="89"/>
      <c r="D201" s="90"/>
      <c r="E201" s="91"/>
      <c r="F201" s="90"/>
      <c r="G201" s="92"/>
      <c r="H201" s="93"/>
      <c r="I201" s="94"/>
      <c r="J201" s="91"/>
      <c r="K201" s="93"/>
      <c r="L201" s="94"/>
      <c r="M201" s="91"/>
    </row>
    <row r="202" spans="1:13" ht="40" customHeight="1" thickBot="1" x14ac:dyDescent="0.25">
      <c r="A202" s="95"/>
      <c r="B202" s="96"/>
      <c r="C202" s="96"/>
      <c r="D202" s="97"/>
      <c r="E202" s="97"/>
      <c r="F202" s="97"/>
      <c r="G202" s="96"/>
      <c r="H202" s="97"/>
      <c r="I202" s="97"/>
      <c r="J202" s="97"/>
      <c r="K202" s="97"/>
      <c r="L202" s="97"/>
      <c r="M202"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topLeftCell="C1" zoomScaleNormal="100" workbookViewId="0">
      <pane ySplit="12" topLeftCell="A49" activePane="bottomLeft" state="frozen"/>
      <selection pane="bottomLeft" activeCell="E59" sqref="E59"/>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3" t="s">
        <v>1194</v>
      </c>
      <c r="K9" s="234"/>
      <c r="L9" s="234"/>
      <c r="M9" s="234"/>
      <c r="N9" s="234"/>
      <c r="O9" s="235"/>
    </row>
    <row r="10" spans="1:15" ht="21" thickBot="1" x14ac:dyDescent="0.25">
      <c r="A10" s="248" t="s">
        <v>1151</v>
      </c>
      <c r="B10" s="254" t="s">
        <v>1083</v>
      </c>
      <c r="C10" s="218"/>
      <c r="D10" s="255"/>
      <c r="E10" s="251" t="s">
        <v>1205</v>
      </c>
      <c r="F10" s="236" t="s">
        <v>1202</v>
      </c>
      <c r="G10" s="237"/>
      <c r="H10" s="237"/>
      <c r="I10" s="238"/>
      <c r="J10" s="262" t="s">
        <v>1195</v>
      </c>
      <c r="K10" s="263"/>
      <c r="L10" s="264"/>
      <c r="M10" s="268" t="s">
        <v>1198</v>
      </c>
      <c r="N10" s="269"/>
      <c r="O10" s="270"/>
    </row>
    <row r="11" spans="1:15" ht="19" thickBot="1" x14ac:dyDescent="0.25">
      <c r="A11" s="249"/>
      <c r="B11" s="256"/>
      <c r="C11" s="219"/>
      <c r="D11" s="257"/>
      <c r="E11" s="252"/>
      <c r="F11" s="258" t="s">
        <v>1203</v>
      </c>
      <c r="G11" s="259"/>
      <c r="H11" s="260" t="s">
        <v>1089</v>
      </c>
      <c r="I11" s="260" t="s">
        <v>1088</v>
      </c>
      <c r="J11" s="265"/>
      <c r="K11" s="266"/>
      <c r="L11" s="267"/>
      <c r="M11" s="271"/>
      <c r="N11" s="272"/>
      <c r="O11" s="273"/>
    </row>
    <row r="12" spans="1:15" ht="20" customHeight="1" thickBot="1" x14ac:dyDescent="0.25">
      <c r="A12" s="250"/>
      <c r="B12" s="155" t="s">
        <v>1240</v>
      </c>
      <c r="C12" s="156" t="s">
        <v>1100</v>
      </c>
      <c r="D12" s="157" t="s">
        <v>1150</v>
      </c>
      <c r="E12" s="253"/>
      <c r="F12" s="158" t="s">
        <v>1196</v>
      </c>
      <c r="G12" s="159" t="s">
        <v>1197</v>
      </c>
      <c r="H12" s="261"/>
      <c r="I12" s="261"/>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1456</v>
      </c>
      <c r="B16" s="100" t="s">
        <v>14</v>
      </c>
      <c r="C16" s="81" t="s">
        <v>15</v>
      </c>
      <c r="D16" s="115">
        <f>IFERROR(IF(OR($B16="",$B16="No CAS"),INDEX('DEQ Pollutant List'!$A$7:$A$611,MATCH($C16,'DEQ Pollutant List'!$C$7:$C$611,0)),INDEX('DEQ Pollutant List'!$A$7:$A$611,MATCH($B16,'DEQ Pollutant List'!$B$7:$B$611,0))),"")</f>
        <v>1</v>
      </c>
      <c r="E16" s="101">
        <v>0</v>
      </c>
      <c r="F16" s="102">
        <v>4.3E-3</v>
      </c>
      <c r="G16" s="103">
        <v>4.3E-3</v>
      </c>
      <c r="H16" s="83" t="s">
        <v>1386</v>
      </c>
      <c r="I16" s="104" t="s">
        <v>1387</v>
      </c>
      <c r="J16" s="102">
        <f>F16*'2. Emissions Units &amp; Activities'!$H$15</f>
        <v>9.7653000000000004E-2</v>
      </c>
      <c r="K16" s="105">
        <f>L16</f>
        <v>0.12206625</v>
      </c>
      <c r="L16" s="83">
        <f>J16*1.25</f>
        <v>0.12206625</v>
      </c>
      <c r="M16" s="102">
        <f>G16*'2. Emissions Units &amp; Activities'!$K$15</f>
        <v>3.1432999999999998E-4</v>
      </c>
      <c r="N16" s="105">
        <f>G16*'2. Emissions Units &amp; Activities'!$L$15</f>
        <v>3.9291249999999999E-4</v>
      </c>
      <c r="O16" s="83">
        <f>G16*'2. Emissions Units &amp; Activities'!$M$15</f>
        <v>3.9291249999999999E-4</v>
      </c>
    </row>
    <row r="17" spans="1:15" x14ac:dyDescent="0.2">
      <c r="A17" s="79" t="s">
        <v>1456</v>
      </c>
      <c r="B17" s="100" t="s">
        <v>24</v>
      </c>
      <c r="C17" s="81" t="s">
        <v>25</v>
      </c>
      <c r="D17" s="115">
        <f>IFERROR(IF(OR($B17="",$B17="No CAS"),INDEX('DEQ Pollutant List'!$A$7:$A$611,MATCH($C17,'DEQ Pollutant List'!$C$7:$C$611,0)),INDEX('DEQ Pollutant List'!$A$7:$A$611,MATCH($B17,'DEQ Pollutant List'!$B$7:$B$611,0))),"")</f>
        <v>5</v>
      </c>
      <c r="E17" s="101">
        <v>0</v>
      </c>
      <c r="F17" s="102">
        <v>2.7000000000000001E-3</v>
      </c>
      <c r="G17" s="103">
        <v>2.7000000000000001E-3</v>
      </c>
      <c r="H17" s="83" t="s">
        <v>1386</v>
      </c>
      <c r="I17" s="104" t="s">
        <v>1387</v>
      </c>
      <c r="J17" s="102">
        <f>F17*'2. Emissions Units &amp; Activities'!$H$15</f>
        <v>6.1317000000000003E-2</v>
      </c>
      <c r="K17" s="105">
        <f t="shared" ref="K17:K41" si="0">L17</f>
        <v>7.6646249999999999E-2</v>
      </c>
      <c r="L17" s="83">
        <f t="shared" ref="L17:L37" si="1">J17*1.25</f>
        <v>7.6646249999999999E-2</v>
      </c>
      <c r="M17" s="102">
        <f>G17*'2. Emissions Units &amp; Activities'!$K$15</f>
        <v>1.9737000000000002E-4</v>
      </c>
      <c r="N17" s="105">
        <f>G17*'2. Emissions Units &amp; Activities'!$L$15</f>
        <v>2.4671250000000001E-4</v>
      </c>
      <c r="O17" s="83">
        <f>G17*'2. Emissions Units &amp; Activities'!$M$15</f>
        <v>2.4671250000000001E-4</v>
      </c>
    </row>
    <row r="18" spans="1:15" x14ac:dyDescent="0.2">
      <c r="A18" s="79" t="s">
        <v>1456</v>
      </c>
      <c r="B18" s="100" t="s">
        <v>61</v>
      </c>
      <c r="C18" s="81" t="s">
        <v>62</v>
      </c>
      <c r="D18" s="115">
        <f>IFERROR(IF(OR($B18="",$B18="No CAS"),INDEX('DEQ Pollutant List'!$A$7:$A$611,MATCH($C18,'DEQ Pollutant List'!$C$7:$C$611,0)),INDEX('DEQ Pollutant List'!$A$7:$A$611,MATCH($B18,'DEQ Pollutant List'!$B$7:$B$611,0))),"")</f>
        <v>26</v>
      </c>
      <c r="E18" s="101">
        <v>0</v>
      </c>
      <c r="F18" s="102">
        <v>18</v>
      </c>
      <c r="G18" s="103">
        <v>18</v>
      </c>
      <c r="H18" s="83" t="s">
        <v>1386</v>
      </c>
      <c r="I18" s="104" t="s">
        <v>1387</v>
      </c>
      <c r="J18" s="102">
        <f>F18*'2. Emissions Units &amp; Activities'!$H$15</f>
        <v>408.78000000000003</v>
      </c>
      <c r="K18" s="105">
        <f t="shared" si="0"/>
        <v>510.97500000000002</v>
      </c>
      <c r="L18" s="83">
        <f t="shared" si="1"/>
        <v>510.97500000000002</v>
      </c>
      <c r="M18" s="102">
        <f>G18*'2. Emissions Units &amp; Activities'!$K$15</f>
        <v>1.3157999999999999</v>
      </c>
      <c r="N18" s="105">
        <f>G18*'2. Emissions Units &amp; Activities'!$L$15</f>
        <v>1.6447499999999999</v>
      </c>
      <c r="O18" s="83">
        <f>G18*'2. Emissions Units &amp; Activities'!$M$15</f>
        <v>1.6447499999999999</v>
      </c>
    </row>
    <row r="19" spans="1:15" x14ac:dyDescent="0.2">
      <c r="A19" s="79" t="s">
        <v>1456</v>
      </c>
      <c r="B19" s="100" t="s">
        <v>81</v>
      </c>
      <c r="C19" s="81" t="s">
        <v>82</v>
      </c>
      <c r="D19" s="115">
        <f>IFERROR(IF(OR($B19="",$B19="No CAS"),INDEX('DEQ Pollutant List'!$A$7:$A$611,MATCH($C19,'DEQ Pollutant List'!$C$7:$C$611,0)),INDEX('DEQ Pollutant List'!$A$7:$A$611,MATCH($B19,'DEQ Pollutant List'!$B$7:$B$611,0))),"")</f>
        <v>37</v>
      </c>
      <c r="E19" s="101">
        <v>0</v>
      </c>
      <c r="F19" s="102">
        <v>2.0000000000000001E-4</v>
      </c>
      <c r="G19" s="103">
        <v>2.0000000000000001E-4</v>
      </c>
      <c r="H19" s="83" t="s">
        <v>1386</v>
      </c>
      <c r="I19" s="104" t="s">
        <v>1387</v>
      </c>
      <c r="J19" s="102">
        <f>F19*'2. Emissions Units &amp; Activities'!$H$15</f>
        <v>4.542E-3</v>
      </c>
      <c r="K19" s="105">
        <f t="shared" si="0"/>
        <v>5.6775000000000003E-3</v>
      </c>
      <c r="L19" s="83">
        <f t="shared" si="1"/>
        <v>5.6775000000000003E-3</v>
      </c>
      <c r="M19" s="102">
        <f>G19*'2. Emissions Units &amp; Activities'!$K$15</f>
        <v>1.4620000000000001E-5</v>
      </c>
      <c r="N19" s="105">
        <f>G19*'2. Emissions Units &amp; Activities'!$L$15</f>
        <v>1.8275E-5</v>
      </c>
      <c r="O19" s="83">
        <f>G19*'2. Emissions Units &amp; Activities'!$M$15</f>
        <v>1.8275E-5</v>
      </c>
    </row>
    <row r="20" spans="1:15" x14ac:dyDescent="0.2">
      <c r="A20" s="79" t="s">
        <v>1456</v>
      </c>
      <c r="B20" s="100" t="s">
        <v>96</v>
      </c>
      <c r="C20" s="81" t="s">
        <v>97</v>
      </c>
      <c r="D20" s="115">
        <f>IFERROR(IF(OR($B20="",$B20="No CAS"),INDEX('DEQ Pollutant List'!$A$7:$A$611,MATCH($C20,'DEQ Pollutant List'!$C$7:$C$611,0)),INDEX('DEQ Pollutant List'!$A$7:$A$611,MATCH($B20,'DEQ Pollutant List'!$B$7:$B$611,0))),"")</f>
        <v>45</v>
      </c>
      <c r="E20" s="101">
        <v>0</v>
      </c>
      <c r="F20" s="102">
        <v>4.4000000000000003E-3</v>
      </c>
      <c r="G20" s="103">
        <v>4.4000000000000003E-3</v>
      </c>
      <c r="H20" s="83" t="s">
        <v>1386</v>
      </c>
      <c r="I20" s="104" t="s">
        <v>1387</v>
      </c>
      <c r="J20" s="102">
        <f>F20*'2. Emissions Units &amp; Activities'!$H$15</f>
        <v>9.9924000000000013E-2</v>
      </c>
      <c r="K20" s="105">
        <f t="shared" si="0"/>
        <v>0.12490500000000002</v>
      </c>
      <c r="L20" s="83">
        <f t="shared" si="1"/>
        <v>0.12490500000000002</v>
      </c>
      <c r="M20" s="102">
        <f>G20*'2. Emissions Units &amp; Activities'!$K$15</f>
        <v>3.2163999999999999E-4</v>
      </c>
      <c r="N20" s="105">
        <f>G20*'2. Emissions Units &amp; Activities'!$L$15</f>
        <v>4.0205000000000004E-4</v>
      </c>
      <c r="O20" s="83">
        <f>G20*'2. Emissions Units &amp; Activities'!$M$15</f>
        <v>4.0205000000000004E-4</v>
      </c>
    </row>
    <row r="21" spans="1:15" x14ac:dyDescent="0.2">
      <c r="A21" s="79" t="s">
        <v>1456</v>
      </c>
      <c r="B21" s="100" t="s">
        <v>98</v>
      </c>
      <c r="C21" s="81" t="s">
        <v>99</v>
      </c>
      <c r="D21" s="115">
        <f>IFERROR(IF(OR($B21="",$B21="No CAS"),INDEX('DEQ Pollutant List'!$A$7:$A$611,MATCH($C21,'DEQ Pollutant List'!$C$7:$C$611,0)),INDEX('DEQ Pollutant List'!$A$7:$A$611,MATCH($B21,'DEQ Pollutant List'!$B$7:$B$611,0))),"")</f>
        <v>46</v>
      </c>
      <c r="E21" s="101">
        <v>0</v>
      </c>
      <c r="F21" s="102">
        <v>8.0000000000000002E-3</v>
      </c>
      <c r="G21" s="103">
        <v>8.0000000000000002E-3</v>
      </c>
      <c r="H21" s="83" t="s">
        <v>1386</v>
      </c>
      <c r="I21" s="104" t="s">
        <v>1387</v>
      </c>
      <c r="J21" s="102">
        <f>F21*'2. Emissions Units &amp; Activities'!$H$15</f>
        <v>0.18168000000000001</v>
      </c>
      <c r="K21" s="105">
        <f t="shared" si="0"/>
        <v>0.22710000000000002</v>
      </c>
      <c r="L21" s="83">
        <f t="shared" si="1"/>
        <v>0.22710000000000002</v>
      </c>
      <c r="M21" s="102">
        <f>G21*'2. Emissions Units &amp; Activities'!$K$15</f>
        <v>5.8480000000000001E-4</v>
      </c>
      <c r="N21" s="105">
        <f>G21*'2. Emissions Units &amp; Activities'!$L$15</f>
        <v>7.3099999999999999E-4</v>
      </c>
      <c r="O21" s="83">
        <f>G21*'2. Emissions Units &amp; Activities'!$M$15</f>
        <v>7.3099999999999999E-4</v>
      </c>
    </row>
    <row r="22" spans="1:15" x14ac:dyDescent="0.2">
      <c r="A22" s="79" t="s">
        <v>1456</v>
      </c>
      <c r="B22" s="100" t="s">
        <v>113</v>
      </c>
      <c r="C22" s="81" t="s">
        <v>114</v>
      </c>
      <c r="D22" s="115">
        <f>IFERROR(IF(OR($B22="",$B22="No CAS"),INDEX('DEQ Pollutant List'!$A$7:$A$611,MATCH($C22,'DEQ Pollutant List'!$C$7:$C$611,0)),INDEX('DEQ Pollutant List'!$A$7:$A$611,MATCH($B22,'DEQ Pollutant List'!$B$7:$B$611,0))),"")</f>
        <v>58</v>
      </c>
      <c r="E22" s="101">
        <v>0</v>
      </c>
      <c r="F22" s="102">
        <v>1.2E-5</v>
      </c>
      <c r="G22" s="103">
        <v>1.2E-5</v>
      </c>
      <c r="H22" s="83" t="s">
        <v>1386</v>
      </c>
      <c r="I22" s="104" t="s">
        <v>1387</v>
      </c>
      <c r="J22" s="102">
        <f>F22*'2. Emissions Units &amp; Activities'!$H$15</f>
        <v>2.7252E-4</v>
      </c>
      <c r="K22" s="105">
        <f t="shared" si="0"/>
        <v>3.4065000000000001E-4</v>
      </c>
      <c r="L22" s="83">
        <f t="shared" si="1"/>
        <v>3.4065000000000001E-4</v>
      </c>
      <c r="M22" s="102">
        <f>G22*'2. Emissions Units &amp; Activities'!$K$15</f>
        <v>8.7720000000000005E-7</v>
      </c>
      <c r="N22" s="105">
        <f>G22*'2. Emissions Units &amp; Activities'!$L$15</f>
        <v>1.0965E-6</v>
      </c>
      <c r="O22" s="83">
        <f>G22*'2. Emissions Units &amp; Activities'!$M$15</f>
        <v>1.0965E-6</v>
      </c>
    </row>
    <row r="23" spans="1:15" x14ac:dyDescent="0.2">
      <c r="A23" s="79" t="s">
        <v>1456</v>
      </c>
      <c r="B23" s="100" t="s">
        <v>154</v>
      </c>
      <c r="C23" s="81" t="s">
        <v>155</v>
      </c>
      <c r="D23" s="115">
        <f>IFERROR(IF(OR($B23="",$B23="No CAS"),INDEX('DEQ Pollutant List'!$A$7:$A$611,MATCH($C23,'DEQ Pollutant List'!$C$7:$C$611,0)),INDEX('DEQ Pollutant List'!$A$7:$A$611,MATCH($B23,'DEQ Pollutant List'!$B$7:$B$611,0))),"")</f>
        <v>83</v>
      </c>
      <c r="E23" s="101">
        <v>0</v>
      </c>
      <c r="F23" s="102">
        <v>1.1000000000000001E-3</v>
      </c>
      <c r="G23" s="103">
        <v>1.1000000000000001E-3</v>
      </c>
      <c r="H23" s="83" t="s">
        <v>1386</v>
      </c>
      <c r="I23" s="104" t="s">
        <v>1387</v>
      </c>
      <c r="J23" s="102">
        <f>F23*'2. Emissions Units &amp; Activities'!$H$15</f>
        <v>2.4981000000000003E-2</v>
      </c>
      <c r="K23" s="105">
        <f t="shared" si="0"/>
        <v>3.1226250000000004E-2</v>
      </c>
      <c r="L23" s="83">
        <f t="shared" si="1"/>
        <v>3.1226250000000004E-2</v>
      </c>
      <c r="M23" s="102">
        <f>G23*'2. Emissions Units &amp; Activities'!$K$15</f>
        <v>8.0409999999999998E-5</v>
      </c>
      <c r="N23" s="105">
        <f>G23*'2. Emissions Units &amp; Activities'!$L$15</f>
        <v>1.0051250000000001E-4</v>
      </c>
      <c r="O23" s="83">
        <f>G23*'2. Emissions Units &amp; Activities'!$M$15</f>
        <v>1.0051250000000001E-4</v>
      </c>
    </row>
    <row r="24" spans="1:15" x14ac:dyDescent="0.2">
      <c r="A24" s="79" t="s">
        <v>1456</v>
      </c>
      <c r="B24" s="100" t="s">
        <v>230</v>
      </c>
      <c r="C24" s="81" t="s">
        <v>1272</v>
      </c>
      <c r="D24" s="115">
        <f>IFERROR(IF(OR($B24="",$B24="No CAS"),INDEX('DEQ Pollutant List'!$A$7:$A$611,MATCH($C24,'DEQ Pollutant List'!$C$7:$C$611,0)),INDEX('DEQ Pollutant List'!$A$7:$A$611,MATCH($B24,'DEQ Pollutant List'!$B$7:$B$611,0))),"")</f>
        <v>136</v>
      </c>
      <c r="E24" s="101">
        <v>0</v>
      </c>
      <c r="F24" s="102">
        <v>1.4E-3</v>
      </c>
      <c r="G24" s="103">
        <v>1.4E-3</v>
      </c>
      <c r="H24" s="83" t="s">
        <v>1386</v>
      </c>
      <c r="I24" s="104" t="s">
        <v>1387</v>
      </c>
      <c r="J24" s="102">
        <f>F24*'2. Emissions Units &amp; Activities'!$H$15</f>
        <v>3.1794000000000003E-2</v>
      </c>
      <c r="K24" s="105">
        <f t="shared" si="0"/>
        <v>3.97425E-2</v>
      </c>
      <c r="L24" s="83">
        <f t="shared" si="1"/>
        <v>3.97425E-2</v>
      </c>
      <c r="M24" s="102">
        <f>G24*'2. Emissions Units &amp; Activities'!$K$15</f>
        <v>1.0234E-4</v>
      </c>
      <c r="N24" s="105">
        <f>G24*'2. Emissions Units &amp; Activities'!$L$15</f>
        <v>1.2792500000000001E-4</v>
      </c>
      <c r="O24" s="83">
        <f>G24*'2. Emissions Units &amp; Activities'!$M$15</f>
        <v>1.2792500000000001E-4</v>
      </c>
    </row>
    <row r="25" spans="1:15" x14ac:dyDescent="0.2">
      <c r="A25" s="79" t="s">
        <v>1456</v>
      </c>
      <c r="B25" s="100" t="s">
        <v>234</v>
      </c>
      <c r="C25" s="81" t="s">
        <v>235</v>
      </c>
      <c r="D25" s="115">
        <f>IFERROR(IF(OR($B25="",$B25="No CAS"),INDEX('DEQ Pollutant List'!$A$7:$A$611,MATCH($C25,'DEQ Pollutant List'!$C$7:$C$611,0)),INDEX('DEQ Pollutant List'!$A$7:$A$611,MATCH($B25,'DEQ Pollutant List'!$B$7:$B$611,0))),"")</f>
        <v>146</v>
      </c>
      <c r="E25" s="101">
        <v>0</v>
      </c>
      <c r="F25" s="102">
        <v>8.3999999999999995E-5</v>
      </c>
      <c r="G25" s="103">
        <v>8.3999999999999995E-5</v>
      </c>
      <c r="H25" s="83" t="s">
        <v>1386</v>
      </c>
      <c r="I25" s="104" t="s">
        <v>1387</v>
      </c>
      <c r="J25" s="102">
        <f>F25*'2. Emissions Units &amp; Activities'!$H$15</f>
        <v>1.9076399999999999E-3</v>
      </c>
      <c r="K25" s="105">
        <f t="shared" si="0"/>
        <v>2.38455E-3</v>
      </c>
      <c r="L25" s="83">
        <f t="shared" si="1"/>
        <v>2.38455E-3</v>
      </c>
      <c r="M25" s="102">
        <f>G25*'2. Emissions Units &amp; Activities'!$K$15</f>
        <v>6.1403999999999997E-6</v>
      </c>
      <c r="N25" s="105">
        <f>G25*'2. Emissions Units &amp; Activities'!$L$15</f>
        <v>7.6754999999999996E-6</v>
      </c>
      <c r="O25" s="83">
        <f>G25*'2. Emissions Units &amp; Activities'!$M$15</f>
        <v>7.6754999999999996E-6</v>
      </c>
    </row>
    <row r="26" spans="1:15" x14ac:dyDescent="0.2">
      <c r="A26" s="79" t="s">
        <v>1456</v>
      </c>
      <c r="B26" s="100" t="s">
        <v>236</v>
      </c>
      <c r="C26" s="81" t="s">
        <v>237</v>
      </c>
      <c r="D26" s="115">
        <f>IFERROR(IF(OR($B26="",$B26="No CAS"),INDEX('DEQ Pollutant List'!$A$7:$A$611,MATCH($C26,'DEQ Pollutant List'!$C$7:$C$611,0)),INDEX('DEQ Pollutant List'!$A$7:$A$611,MATCH($B26,'DEQ Pollutant List'!$B$7:$B$611,0))),"")</f>
        <v>149</v>
      </c>
      <c r="E26" s="101">
        <v>0</v>
      </c>
      <c r="F26" s="102">
        <v>8.4999999999999995E-4</v>
      </c>
      <c r="G26" s="103">
        <v>8.4999999999999995E-4</v>
      </c>
      <c r="H26" s="83" t="s">
        <v>1386</v>
      </c>
      <c r="I26" s="104" t="s">
        <v>1387</v>
      </c>
      <c r="J26" s="102">
        <f>F26*'2. Emissions Units &amp; Activities'!$H$15</f>
        <v>1.9303500000000001E-2</v>
      </c>
      <c r="K26" s="105">
        <f t="shared" si="0"/>
        <v>2.4129375000000002E-2</v>
      </c>
      <c r="L26" s="83">
        <f t="shared" si="1"/>
        <v>2.4129375000000002E-2</v>
      </c>
      <c r="M26" s="102">
        <f>G26*'2. Emissions Units &amp; Activities'!$K$15</f>
        <v>6.2135000000000001E-5</v>
      </c>
      <c r="N26" s="105">
        <f>G26*'2. Emissions Units &amp; Activities'!$L$15</f>
        <v>7.7668749999999987E-5</v>
      </c>
      <c r="O26" s="83">
        <f>G26*'2. Emissions Units &amp; Activities'!$M$15</f>
        <v>7.7668749999999987E-5</v>
      </c>
    </row>
    <row r="27" spans="1:15" x14ac:dyDescent="0.2">
      <c r="A27" s="79" t="s">
        <v>1456</v>
      </c>
      <c r="B27" s="100" t="s">
        <v>410</v>
      </c>
      <c r="C27" s="81" t="s">
        <v>411</v>
      </c>
      <c r="D27" s="115">
        <f>IFERROR(IF(OR($B27="",$B27="No CAS"),INDEX('DEQ Pollutant List'!$A$7:$A$611,MATCH($C27,'DEQ Pollutant List'!$C$7:$C$611,0)),INDEX('DEQ Pollutant List'!$A$7:$A$611,MATCH($B27,'DEQ Pollutant List'!$B$7:$B$611,0))),"")</f>
        <v>229</v>
      </c>
      <c r="E27" s="101">
        <v>0</v>
      </c>
      <c r="F27" s="102">
        <v>9.4999999999999998E-3</v>
      </c>
      <c r="G27" s="103">
        <v>9.4999999999999998E-3</v>
      </c>
      <c r="H27" s="83" t="s">
        <v>1386</v>
      </c>
      <c r="I27" s="104" t="s">
        <v>1387</v>
      </c>
      <c r="J27" s="102">
        <f>F27*'2. Emissions Units &amp; Activities'!$H$15</f>
        <v>0.21574499999999999</v>
      </c>
      <c r="K27" s="105">
        <f t="shared" si="0"/>
        <v>0.26968124999999998</v>
      </c>
      <c r="L27" s="83">
        <f t="shared" si="1"/>
        <v>0.26968124999999998</v>
      </c>
      <c r="M27" s="102">
        <f>G27*'2. Emissions Units &amp; Activities'!$K$15</f>
        <v>6.9444999999999999E-4</v>
      </c>
      <c r="N27" s="105">
        <f>G27*'2. Emissions Units &amp; Activities'!$L$15</f>
        <v>8.6806249999999991E-4</v>
      </c>
      <c r="O27" s="83">
        <f>G27*'2. Emissions Units &amp; Activities'!$M$15</f>
        <v>8.6806249999999991E-4</v>
      </c>
    </row>
    <row r="28" spans="1:15" x14ac:dyDescent="0.2">
      <c r="A28" s="79" t="s">
        <v>1456</v>
      </c>
      <c r="B28" s="100" t="s">
        <v>443</v>
      </c>
      <c r="C28" s="81" t="s">
        <v>444</v>
      </c>
      <c r="D28" s="115">
        <f>IFERROR(IF(OR($B28="",$B28="No CAS"),INDEX('DEQ Pollutant List'!$A$7:$A$611,MATCH($C28,'DEQ Pollutant List'!$C$7:$C$611,0)),INDEX('DEQ Pollutant List'!$A$7:$A$611,MATCH($B28,'DEQ Pollutant List'!$B$7:$B$611,0))),"")</f>
        <v>250</v>
      </c>
      <c r="E28" s="101">
        <v>0</v>
      </c>
      <c r="F28" s="102">
        <v>1.7000000000000001E-2</v>
      </c>
      <c r="G28" s="103">
        <v>1.7000000000000001E-2</v>
      </c>
      <c r="H28" s="83" t="s">
        <v>1386</v>
      </c>
      <c r="I28" s="104" t="s">
        <v>1387</v>
      </c>
      <c r="J28" s="102">
        <f>F28*'2. Emissions Units &amp; Activities'!$H$15</f>
        <v>0.38607000000000002</v>
      </c>
      <c r="K28" s="105">
        <f t="shared" si="0"/>
        <v>0.48258750000000006</v>
      </c>
      <c r="L28" s="83">
        <f t="shared" si="1"/>
        <v>0.48258750000000006</v>
      </c>
      <c r="M28" s="102">
        <f>G28*'2. Emissions Units &amp; Activities'!$K$15</f>
        <v>1.2427E-3</v>
      </c>
      <c r="N28" s="105">
        <f>G28*'2. Emissions Units &amp; Activities'!$L$15</f>
        <v>1.5533750000000001E-3</v>
      </c>
      <c r="O28" s="83">
        <f>G28*'2. Emissions Units &amp; Activities'!$M$15</f>
        <v>1.5533750000000001E-3</v>
      </c>
    </row>
    <row r="29" spans="1:15" x14ac:dyDescent="0.2">
      <c r="A29" s="79" t="s">
        <v>1456</v>
      </c>
      <c r="B29" s="100" t="s">
        <v>483</v>
      </c>
      <c r="C29" s="81" t="s">
        <v>484</v>
      </c>
      <c r="D29" s="115">
        <f>IFERROR(IF(OR($B29="",$B29="No CAS"),INDEX('DEQ Pollutant List'!$A$7:$A$611,MATCH($C29,'DEQ Pollutant List'!$C$7:$C$611,0)),INDEX('DEQ Pollutant List'!$A$7:$A$611,MATCH($B29,'DEQ Pollutant List'!$B$7:$B$611,0))),"")</f>
        <v>289</v>
      </c>
      <c r="E29" s="101">
        <v>0</v>
      </c>
      <c r="F29" s="102">
        <v>6.3E-3</v>
      </c>
      <c r="G29" s="103">
        <v>6.3E-3</v>
      </c>
      <c r="H29" s="83" t="s">
        <v>1386</v>
      </c>
      <c r="I29" s="104" t="s">
        <v>1387</v>
      </c>
      <c r="J29" s="102">
        <f>F29*'2. Emissions Units &amp; Activities'!$H$15</f>
        <v>0.14307300000000001</v>
      </c>
      <c r="K29" s="105">
        <f t="shared" si="0"/>
        <v>0.17884125000000001</v>
      </c>
      <c r="L29" s="83">
        <f t="shared" si="1"/>
        <v>0.17884125000000001</v>
      </c>
      <c r="M29" s="102">
        <f>G29*'2. Emissions Units &amp; Activities'!$K$15</f>
        <v>4.6053000000000001E-4</v>
      </c>
      <c r="N29" s="105">
        <f>G29*'2. Emissions Units &amp; Activities'!$L$15</f>
        <v>5.7566249999999996E-4</v>
      </c>
      <c r="O29" s="83">
        <f>G29*'2. Emissions Units &amp; Activities'!$M$15</f>
        <v>5.7566249999999996E-4</v>
      </c>
    </row>
    <row r="30" spans="1:15" x14ac:dyDescent="0.2">
      <c r="A30" s="79" t="s">
        <v>1456</v>
      </c>
      <c r="B30" s="100" t="s">
        <v>512</v>
      </c>
      <c r="C30" s="81" t="s">
        <v>513</v>
      </c>
      <c r="D30" s="115">
        <f>IFERROR(IF(OR($B30="",$B30="No CAS"),INDEX('DEQ Pollutant List'!$A$7:$A$611,MATCH($C30,'DEQ Pollutant List'!$C$7:$C$611,0)),INDEX('DEQ Pollutant List'!$A$7:$A$611,MATCH($B30,'DEQ Pollutant List'!$B$7:$B$611,0))),"")</f>
        <v>305</v>
      </c>
      <c r="E30" s="101">
        <v>0</v>
      </c>
      <c r="F30" s="102">
        <v>5.0000000000000001E-4</v>
      </c>
      <c r="G30" s="103">
        <v>5.0000000000000001E-4</v>
      </c>
      <c r="H30" s="83" t="s">
        <v>1386</v>
      </c>
      <c r="I30" s="104" t="s">
        <v>1387</v>
      </c>
      <c r="J30" s="102">
        <f>F30*'2. Emissions Units &amp; Activities'!$H$15</f>
        <v>1.1355000000000001E-2</v>
      </c>
      <c r="K30" s="105">
        <f t="shared" si="0"/>
        <v>1.4193750000000002E-2</v>
      </c>
      <c r="L30" s="83">
        <f t="shared" si="1"/>
        <v>1.4193750000000002E-2</v>
      </c>
      <c r="M30" s="102">
        <f>G30*'2. Emissions Units &amp; Activities'!$K$15</f>
        <v>3.6550000000000001E-5</v>
      </c>
      <c r="N30" s="105">
        <f>G30*'2. Emissions Units &amp; Activities'!$L$15</f>
        <v>4.5687499999999999E-5</v>
      </c>
      <c r="O30" s="83">
        <f>G30*'2. Emissions Units &amp; Activities'!$M$15</f>
        <v>4.5687499999999999E-5</v>
      </c>
    </row>
    <row r="31" spans="1:15" x14ac:dyDescent="0.2">
      <c r="A31" s="79" t="s">
        <v>1456</v>
      </c>
      <c r="B31" s="100" t="s">
        <v>518</v>
      </c>
      <c r="C31" s="81" t="s">
        <v>519</v>
      </c>
      <c r="D31" s="115">
        <f>IFERROR(IF(OR($B31="",$B31="No CAS"),INDEX('DEQ Pollutant List'!$A$7:$A$611,MATCH($C31,'DEQ Pollutant List'!$C$7:$C$611,0)),INDEX('DEQ Pollutant List'!$A$7:$A$611,MATCH($B31,'DEQ Pollutant List'!$B$7:$B$611,0))),"")</f>
        <v>312</v>
      </c>
      <c r="E31" s="101">
        <v>0</v>
      </c>
      <c r="F31" s="102">
        <v>3.8000000000000002E-4</v>
      </c>
      <c r="G31" s="103">
        <v>3.8000000000000002E-4</v>
      </c>
      <c r="H31" s="83" t="s">
        <v>1386</v>
      </c>
      <c r="I31" s="104" t="s">
        <v>1387</v>
      </c>
      <c r="J31" s="102">
        <f>F31*'2. Emissions Units &amp; Activities'!$H$15</f>
        <v>8.6298E-3</v>
      </c>
      <c r="K31" s="105">
        <f t="shared" si="0"/>
        <v>1.078725E-2</v>
      </c>
      <c r="L31" s="83">
        <f t="shared" si="1"/>
        <v>1.078725E-2</v>
      </c>
      <c r="M31" s="102">
        <f>G31*'2. Emissions Units &amp; Activities'!$K$15</f>
        <v>2.7778000000000001E-5</v>
      </c>
      <c r="N31" s="105">
        <f>G31*'2. Emissions Units &amp; Activities'!$L$15</f>
        <v>3.4722499999999998E-5</v>
      </c>
      <c r="O31" s="83">
        <f>G31*'2. Emissions Units &amp; Activities'!$M$15</f>
        <v>3.4722499999999998E-5</v>
      </c>
    </row>
    <row r="32" spans="1:15" x14ac:dyDescent="0.2">
      <c r="A32" s="79" t="s">
        <v>1456</v>
      </c>
      <c r="B32" s="100" t="s">
        <v>524</v>
      </c>
      <c r="C32" s="81" t="s">
        <v>525</v>
      </c>
      <c r="D32" s="115">
        <f>IFERROR(IF(OR($B32="",$B32="No CAS"),INDEX('DEQ Pollutant List'!$A$7:$A$611,MATCH($C32,'DEQ Pollutant List'!$C$7:$C$611,0)),INDEX('DEQ Pollutant List'!$A$7:$A$611,MATCH($B32,'DEQ Pollutant List'!$B$7:$B$611,0))),"")</f>
        <v>316</v>
      </c>
      <c r="E32" s="101">
        <v>0</v>
      </c>
      <c r="F32" s="102">
        <v>2.5999999999999998E-4</v>
      </c>
      <c r="G32" s="103">
        <v>2.5999999999999998E-4</v>
      </c>
      <c r="H32" s="83" t="s">
        <v>1386</v>
      </c>
      <c r="I32" s="104" t="s">
        <v>1387</v>
      </c>
      <c r="J32" s="102">
        <f>F32*'2. Emissions Units &amp; Activities'!$H$15</f>
        <v>5.9045999999999994E-3</v>
      </c>
      <c r="K32" s="105">
        <f t="shared" si="0"/>
        <v>7.3807499999999993E-3</v>
      </c>
      <c r="L32" s="83">
        <f t="shared" si="1"/>
        <v>7.3807499999999993E-3</v>
      </c>
      <c r="M32" s="102">
        <f>G32*'2. Emissions Units &amp; Activities'!$K$15</f>
        <v>1.9005999999999997E-5</v>
      </c>
      <c r="N32" s="105">
        <f>G32*'2. Emissions Units &amp; Activities'!$L$15</f>
        <v>2.3757499999999997E-5</v>
      </c>
      <c r="O32" s="83">
        <f>G32*'2. Emissions Units &amp; Activities'!$M$15</f>
        <v>2.3757499999999997E-5</v>
      </c>
    </row>
    <row r="33" spans="1:15" x14ac:dyDescent="0.2">
      <c r="A33" s="79" t="s">
        <v>1456</v>
      </c>
      <c r="B33" s="100" t="s">
        <v>575</v>
      </c>
      <c r="C33" s="81" t="s">
        <v>576</v>
      </c>
      <c r="D33" s="115">
        <f>IFERROR(IF(OR($B33="",$B33="No CAS"),INDEX('DEQ Pollutant List'!$A$7:$A$611,MATCH($C33,'DEQ Pollutant List'!$C$7:$C$611,0)),INDEX('DEQ Pollutant List'!$A$7:$A$611,MATCH($B33,'DEQ Pollutant List'!$B$7:$B$611,0))),"")</f>
        <v>361</v>
      </c>
      <c r="E33" s="101">
        <v>0</v>
      </c>
      <c r="F33" s="102">
        <v>1.65E-3</v>
      </c>
      <c r="G33" s="103">
        <v>1.65E-3</v>
      </c>
      <c r="H33" s="83" t="s">
        <v>1386</v>
      </c>
      <c r="I33" s="104" t="s">
        <v>1387</v>
      </c>
      <c r="J33" s="102">
        <f>F33*'2. Emissions Units &amp; Activities'!$H$15</f>
        <v>3.7471499999999998E-2</v>
      </c>
      <c r="K33" s="105">
        <f t="shared" si="0"/>
        <v>4.6839374999999996E-2</v>
      </c>
      <c r="L33" s="83">
        <f t="shared" si="1"/>
        <v>4.6839374999999996E-2</v>
      </c>
      <c r="M33" s="102">
        <f>G33*'2. Emissions Units &amp; Activities'!$K$15</f>
        <v>1.20615E-4</v>
      </c>
      <c r="N33" s="105">
        <f>G33*'2. Emissions Units &amp; Activities'!$L$15</f>
        <v>1.5076875E-4</v>
      </c>
      <c r="O33" s="83">
        <f>G33*'2. Emissions Units &amp; Activities'!$M$15</f>
        <v>1.5076875E-4</v>
      </c>
    </row>
    <row r="34" spans="1:15" x14ac:dyDescent="0.2">
      <c r="A34" s="79" t="s">
        <v>1456</v>
      </c>
      <c r="B34" s="100" t="s">
        <v>581</v>
      </c>
      <c r="C34" s="81" t="s">
        <v>582</v>
      </c>
      <c r="D34" s="115">
        <f>IFERROR(IF(OR($B34="",$B34="No CAS"),INDEX('DEQ Pollutant List'!$A$7:$A$611,MATCH($C34,'DEQ Pollutant List'!$C$7:$C$611,0)),INDEX('DEQ Pollutant List'!$A$7:$A$611,MATCH($B34,'DEQ Pollutant List'!$B$7:$B$611,0))),"")</f>
        <v>428</v>
      </c>
      <c r="E34" s="101">
        <v>0</v>
      </c>
      <c r="F34" s="102">
        <v>2.9999999999999997E-4</v>
      </c>
      <c r="G34" s="103">
        <v>2.9999999999999997E-4</v>
      </c>
      <c r="H34" s="83" t="s">
        <v>1386</v>
      </c>
      <c r="I34" s="104" t="s">
        <v>1387</v>
      </c>
      <c r="J34" s="102">
        <f>F34*'2. Emissions Units &amp; Activities'!$H$15</f>
        <v>6.8129999999999996E-3</v>
      </c>
      <c r="K34" s="105">
        <f t="shared" si="0"/>
        <v>8.5162499999999995E-3</v>
      </c>
      <c r="L34" s="83">
        <f t="shared" si="1"/>
        <v>8.5162499999999995E-3</v>
      </c>
      <c r="M34" s="102">
        <f>G34*'2. Emissions Units &amp; Activities'!$K$15</f>
        <v>2.1929999999999998E-5</v>
      </c>
      <c r="N34" s="105">
        <f>G34*'2. Emissions Units &amp; Activities'!$L$15</f>
        <v>2.7412499999999995E-5</v>
      </c>
      <c r="O34" s="83">
        <f>G34*'2. Emissions Units &amp; Activities'!$M$15</f>
        <v>2.7412499999999995E-5</v>
      </c>
    </row>
    <row r="35" spans="1:15" x14ac:dyDescent="0.2">
      <c r="A35" s="79" t="s">
        <v>1456</v>
      </c>
      <c r="B35" s="100">
        <v>365</v>
      </c>
      <c r="C35" s="81" t="s">
        <v>1091</v>
      </c>
      <c r="D35" s="115">
        <f>IFERROR(IF(OR($B35="",$B35="No CAS"),INDEX('DEQ Pollutant List'!$A$7:$A$611,MATCH($C35,'DEQ Pollutant List'!$C$7:$C$611,0)),INDEX('DEQ Pollutant List'!$A$7:$A$611,MATCH($B35,'DEQ Pollutant List'!$B$7:$B$611,0))),"")</f>
        <v>365</v>
      </c>
      <c r="E35" s="101">
        <v>0</v>
      </c>
      <c r="F35" s="102">
        <v>2.0999999999999999E-3</v>
      </c>
      <c r="G35" s="103">
        <v>2.0999999999999999E-3</v>
      </c>
      <c r="H35" s="83" t="s">
        <v>1386</v>
      </c>
      <c r="I35" s="104" t="s">
        <v>1387</v>
      </c>
      <c r="J35" s="102">
        <f>F35*'2. Emissions Units &amp; Activities'!$H$15</f>
        <v>4.7690999999999997E-2</v>
      </c>
      <c r="K35" s="105">
        <f t="shared" si="0"/>
        <v>5.9613749999999993E-2</v>
      </c>
      <c r="L35" s="83">
        <f t="shared" si="1"/>
        <v>5.9613749999999993E-2</v>
      </c>
      <c r="M35" s="102">
        <f>G35*'2. Emissions Units &amp; Activities'!$K$15</f>
        <v>1.5350999999999999E-4</v>
      </c>
      <c r="N35" s="105">
        <f>G35*'2. Emissions Units &amp; Activities'!$L$15</f>
        <v>1.918875E-4</v>
      </c>
      <c r="O35" s="83">
        <f>G35*'2. Emissions Units &amp; Activities'!$M$15</f>
        <v>1.918875E-4</v>
      </c>
    </row>
    <row r="36" spans="1:15" x14ac:dyDescent="0.2">
      <c r="A36" s="79" t="s">
        <v>1456</v>
      </c>
      <c r="B36" s="100">
        <v>401</v>
      </c>
      <c r="C36" s="81" t="s">
        <v>1098</v>
      </c>
      <c r="D36" s="115">
        <f>IFERROR(IF(OR($B36="",$B36="No CAS"),INDEX('DEQ Pollutant List'!$A$7:$A$611,MATCH($C36,'DEQ Pollutant List'!$C$7:$C$611,0)),INDEX('DEQ Pollutant List'!$A$7:$A$611,MATCH($B36,'DEQ Pollutant List'!$B$7:$B$611,0))),"")</f>
        <v>401</v>
      </c>
      <c r="E36" s="101">
        <v>0</v>
      </c>
      <c r="F36" s="102">
        <v>1E-4</v>
      </c>
      <c r="G36" s="103">
        <v>1E-4</v>
      </c>
      <c r="H36" s="83" t="s">
        <v>1386</v>
      </c>
      <c r="I36" s="104" t="s">
        <v>1387</v>
      </c>
      <c r="J36" s="102">
        <f>F36*'2. Emissions Units &amp; Activities'!$H$15</f>
        <v>2.271E-3</v>
      </c>
      <c r="K36" s="105">
        <f t="shared" si="0"/>
        <v>2.8387500000000001E-3</v>
      </c>
      <c r="L36" s="83">
        <f t="shared" si="1"/>
        <v>2.8387500000000001E-3</v>
      </c>
      <c r="M36" s="102">
        <f>G36*'2. Emissions Units &amp; Activities'!$K$15</f>
        <v>7.3100000000000003E-6</v>
      </c>
      <c r="N36" s="105">
        <f>G36*'2. Emissions Units &amp; Activities'!$L$15</f>
        <v>9.1375000000000002E-6</v>
      </c>
      <c r="O36" s="83">
        <f>G36*'2. Emissions Units &amp; Activities'!$M$15</f>
        <v>9.1375000000000002E-6</v>
      </c>
    </row>
    <row r="37" spans="1:15" x14ac:dyDescent="0.2">
      <c r="A37" s="79" t="s">
        <v>1456</v>
      </c>
      <c r="B37" s="100" t="s">
        <v>945</v>
      </c>
      <c r="C37" s="81" t="s">
        <v>946</v>
      </c>
      <c r="D37" s="115">
        <f>IFERROR(IF(OR($B37="",$B37="No CAS"),INDEX('DEQ Pollutant List'!$A$7:$A$611,MATCH($C37,'DEQ Pollutant List'!$C$7:$C$611,0)),INDEX('DEQ Pollutant List'!$A$7:$A$611,MATCH($B37,'DEQ Pollutant List'!$B$7:$B$611,0))),"")</f>
        <v>575</v>
      </c>
      <c r="E37" s="101">
        <v>0</v>
      </c>
      <c r="F37" s="102">
        <v>2.4000000000000001E-5</v>
      </c>
      <c r="G37" s="103">
        <v>2.4000000000000001E-5</v>
      </c>
      <c r="H37" s="83" t="s">
        <v>1386</v>
      </c>
      <c r="I37" s="104" t="s">
        <v>1387</v>
      </c>
      <c r="J37" s="102">
        <f>F37*'2. Emissions Units &amp; Activities'!$H$15</f>
        <v>5.4504E-4</v>
      </c>
      <c r="K37" s="105">
        <f t="shared" si="0"/>
        <v>6.8130000000000003E-4</v>
      </c>
      <c r="L37" s="83">
        <f t="shared" si="1"/>
        <v>6.8130000000000003E-4</v>
      </c>
      <c r="M37" s="102">
        <f>G37*'2. Emissions Units &amp; Activities'!$K$15</f>
        <v>1.7544000000000001E-6</v>
      </c>
      <c r="N37" s="105">
        <f>G37*'2. Emissions Units &amp; Activities'!$L$15</f>
        <v>2.193E-6</v>
      </c>
      <c r="O37" s="83">
        <f>G37*'2. Emissions Units &amp; Activities'!$M$15</f>
        <v>2.193E-6</v>
      </c>
    </row>
    <row r="38" spans="1:15" x14ac:dyDescent="0.2">
      <c r="A38" s="79" t="s">
        <v>1456</v>
      </c>
      <c r="B38" s="100" t="s">
        <v>994</v>
      </c>
      <c r="C38" s="81" t="s">
        <v>995</v>
      </c>
      <c r="D38" s="115">
        <f>IFERROR(IF(OR($B38="",$B38="No CAS"),INDEX('DEQ Pollutant List'!$A$7:$A$611,MATCH($C38,'DEQ Pollutant List'!$C$7:$C$611,0)),INDEX('DEQ Pollutant List'!$A$7:$A$611,MATCH($B38,'DEQ Pollutant List'!$B$7:$B$611,0))),"")</f>
        <v>600</v>
      </c>
      <c r="E38" s="101">
        <v>0</v>
      </c>
      <c r="F38" s="102">
        <v>3.6600000000000001E-2</v>
      </c>
      <c r="G38" s="103">
        <v>3.6600000000000001E-2</v>
      </c>
      <c r="H38" s="83" t="s">
        <v>1386</v>
      </c>
      <c r="I38" s="104" t="s">
        <v>1387</v>
      </c>
      <c r="J38" s="102">
        <f>F38*'2. Emissions Units &amp; Activities'!$H$15</f>
        <v>0.83118600000000009</v>
      </c>
      <c r="K38" s="105">
        <f t="shared" si="0"/>
        <v>1.0389825000000001</v>
      </c>
      <c r="L38" s="83">
        <f t="shared" ref="L38:L41" si="2">J38*1.25</f>
        <v>1.0389825000000001</v>
      </c>
      <c r="M38" s="102">
        <f>G38*'2. Emissions Units &amp; Activities'!$K$15</f>
        <v>2.6754600000000002E-3</v>
      </c>
      <c r="N38" s="105">
        <f>G38*'2. Emissions Units &amp; Activities'!$L$15</f>
        <v>3.344325E-3</v>
      </c>
      <c r="O38" s="83">
        <f>G38*'2. Emissions Units &amp; Activities'!$M$15</f>
        <v>3.344325E-3</v>
      </c>
    </row>
    <row r="39" spans="1:15" x14ac:dyDescent="0.2">
      <c r="A39" s="79" t="s">
        <v>1456</v>
      </c>
      <c r="B39" s="100" t="s">
        <v>1055</v>
      </c>
      <c r="C39" s="81" t="s">
        <v>1056</v>
      </c>
      <c r="D39" s="115">
        <f>IFERROR(IF(OR($B39="",$B39="No CAS"),INDEX('DEQ Pollutant List'!$A$7:$A$611,MATCH($C39,'DEQ Pollutant List'!$C$7:$C$611,0)),INDEX('DEQ Pollutant List'!$A$7:$A$611,MATCH($B39,'DEQ Pollutant List'!$B$7:$B$611,0))),"")</f>
        <v>620</v>
      </c>
      <c r="E39" s="101">
        <v>0</v>
      </c>
      <c r="F39" s="102">
        <v>2.3E-3</v>
      </c>
      <c r="G39" s="103">
        <v>2.3E-3</v>
      </c>
      <c r="H39" s="83" t="s">
        <v>1386</v>
      </c>
      <c r="I39" s="104" t="s">
        <v>1387</v>
      </c>
      <c r="J39" s="102">
        <f>F39*'2. Emissions Units &amp; Activities'!$H$15</f>
        <v>5.2233000000000002E-2</v>
      </c>
      <c r="K39" s="105">
        <f t="shared" si="0"/>
        <v>6.5291249999999995E-2</v>
      </c>
      <c r="L39" s="83">
        <f t="shared" si="2"/>
        <v>6.5291249999999995E-2</v>
      </c>
      <c r="M39" s="102">
        <f>G39*'2. Emissions Units &amp; Activities'!$K$15</f>
        <v>1.6813E-4</v>
      </c>
      <c r="N39" s="105">
        <f>G39*'2. Emissions Units &amp; Activities'!$L$15</f>
        <v>2.1016249999999999E-4</v>
      </c>
      <c r="O39" s="83">
        <f>G39*'2. Emissions Units &amp; Activities'!$M$15</f>
        <v>2.1016249999999999E-4</v>
      </c>
    </row>
    <row r="40" spans="1:15" x14ac:dyDescent="0.2">
      <c r="A40" s="79" t="s">
        <v>1456</v>
      </c>
      <c r="B40" s="100" t="s">
        <v>1071</v>
      </c>
      <c r="C40" s="81" t="s">
        <v>1072</v>
      </c>
      <c r="D40" s="115">
        <f>IFERROR(IF(OR($B40="",$B40="No CAS"),INDEX('DEQ Pollutant List'!$A$7:$A$611,MATCH($C40,'DEQ Pollutant List'!$C$7:$C$611,0)),INDEX('DEQ Pollutant List'!$A$7:$A$611,MATCH($B40,'DEQ Pollutant List'!$B$7:$B$611,0))),"")</f>
        <v>628</v>
      </c>
      <c r="E40" s="101">
        <v>0</v>
      </c>
      <c r="F40" s="102">
        <v>2.7199999999999998E-2</v>
      </c>
      <c r="G40" s="103">
        <v>2.7199999999999998E-2</v>
      </c>
      <c r="H40" s="83" t="s">
        <v>1386</v>
      </c>
      <c r="I40" s="104" t="s">
        <v>1387</v>
      </c>
      <c r="J40" s="102">
        <f>F40*'2. Emissions Units &amp; Activities'!$H$15</f>
        <v>0.61771200000000004</v>
      </c>
      <c r="K40" s="105">
        <f t="shared" si="0"/>
        <v>0.77214000000000005</v>
      </c>
      <c r="L40" s="83">
        <f t="shared" si="2"/>
        <v>0.77214000000000005</v>
      </c>
      <c r="M40" s="102">
        <f>G40*'2. Emissions Units &amp; Activities'!$K$15</f>
        <v>1.98832E-3</v>
      </c>
      <c r="N40" s="105">
        <f>G40*'2. Emissions Units &amp; Activities'!$L$15</f>
        <v>2.4853999999999996E-3</v>
      </c>
      <c r="O40" s="83">
        <f>G40*'2. Emissions Units &amp; Activities'!$M$15</f>
        <v>2.4853999999999996E-3</v>
      </c>
    </row>
    <row r="41" spans="1:15" x14ac:dyDescent="0.2">
      <c r="A41" s="79" t="s">
        <v>1456</v>
      </c>
      <c r="B41" s="100" t="s">
        <v>1076</v>
      </c>
      <c r="C41" s="81" t="s">
        <v>1077</v>
      </c>
      <c r="D41" s="115">
        <f>IFERROR(IF(OR($B41="",$B41="No CAS"),INDEX('DEQ Pollutant List'!$A$7:$A$611,MATCH($C41,'DEQ Pollutant List'!$C$7:$C$611,0)),INDEX('DEQ Pollutant List'!$A$7:$A$611,MATCH($B41,'DEQ Pollutant List'!$B$7:$B$611,0))),"")</f>
        <v>632</v>
      </c>
      <c r="E41" s="101">
        <v>0</v>
      </c>
      <c r="F41" s="102">
        <v>2.9000000000000001E-2</v>
      </c>
      <c r="G41" s="103">
        <v>2.9000000000000001E-2</v>
      </c>
      <c r="H41" s="83" t="s">
        <v>1386</v>
      </c>
      <c r="I41" s="104" t="s">
        <v>1387</v>
      </c>
      <c r="J41" s="102">
        <f>F41*'2. Emissions Units &amp; Activities'!$H$15</f>
        <v>0.65859000000000001</v>
      </c>
      <c r="K41" s="105">
        <f t="shared" si="0"/>
        <v>0.82323750000000007</v>
      </c>
      <c r="L41" s="83">
        <f t="shared" si="2"/>
        <v>0.82323750000000007</v>
      </c>
      <c r="M41" s="102">
        <f>G41*'2. Emissions Units &amp; Activities'!$K$15</f>
        <v>2.1199000000000001E-3</v>
      </c>
      <c r="N41" s="105">
        <f>G41*'2. Emissions Units &amp; Activities'!$L$15</f>
        <v>2.6498749999999999E-3</v>
      </c>
      <c r="O41" s="83">
        <f>G41*'2. Emissions Units &amp; Activities'!$M$15</f>
        <v>2.6498749999999999E-3</v>
      </c>
    </row>
    <row r="42" spans="1:15" x14ac:dyDescent="0.2">
      <c r="A42" s="79"/>
      <c r="B42" s="100"/>
      <c r="C42" s="81" t="str">
        <f>IFERROR(IF(B42="No CAS","",INDEX('DEQ Pollutant List'!$C$7:$C$611,MATCH('3. Pollutant Emissions - EF'!B42,'DEQ Pollutant List'!$B$7:$B$611,0))),"")</f>
        <v/>
      </c>
      <c r="D42" s="115" t="str">
        <f>IFERROR(IF(OR($B42="",$B42="No CAS"),INDEX('DEQ Pollutant List'!$A$7:$A$611,MATCH($C42,'DEQ Pollutant List'!$C$7:$C$611,0)),INDEX('DEQ Pollutant List'!$A$7:$A$611,MATCH($B42,'DEQ Pollutant List'!$B$7:$B$611,0))),"")</f>
        <v/>
      </c>
      <c r="E42" s="101"/>
      <c r="F42" s="102"/>
      <c r="G42" s="103"/>
      <c r="H42" s="83"/>
      <c r="I42" s="104"/>
      <c r="J42" s="102"/>
      <c r="K42" s="105"/>
      <c r="L42" s="83"/>
      <c r="M42" s="102"/>
      <c r="N42" s="105"/>
      <c r="O42" s="83"/>
    </row>
    <row r="43" spans="1:15" x14ac:dyDescent="0.2">
      <c r="A43" s="79"/>
      <c r="B43" s="100"/>
      <c r="C43" s="81"/>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
      <c r="A44" s="79" t="s">
        <v>1394</v>
      </c>
      <c r="B44" s="100" t="s">
        <v>234</v>
      </c>
      <c r="C44" s="81" t="str">
        <f>IFERROR(IF(B44="No CAS","",INDEX('DEQ Pollutant List'!$C$7:$C$611,MATCH('3. Pollutant Emissions - EF'!B44,'DEQ Pollutant List'!$B$7:$B$611,0))),"")</f>
        <v>Cobalt and compounds</v>
      </c>
      <c r="D44" s="115">
        <f>IFERROR(IF(OR($B44="",$B44="No CAS"),INDEX('DEQ Pollutant List'!$A$7:$A$611,MATCH($C44,'DEQ Pollutant List'!$C$7:$C$611,0)),INDEX('DEQ Pollutant List'!$A$7:$A$611,MATCH($B44,'DEQ Pollutant List'!$B$7:$B$611,0))),"")</f>
        <v>146</v>
      </c>
      <c r="E44" s="101">
        <v>0.999</v>
      </c>
      <c r="F44" s="102">
        <v>3.5789200000000002E-3</v>
      </c>
      <c r="G44" s="103">
        <v>3.5789200000000002E-3</v>
      </c>
      <c r="H44" s="83" t="s">
        <v>1396</v>
      </c>
      <c r="I44" s="104" t="s">
        <v>1412</v>
      </c>
      <c r="J44" s="102">
        <f>(1-E44)*F44*'2. Emissions Units &amp; Activities'!$H$16</f>
        <v>2.6952846520000026E-4</v>
      </c>
      <c r="K44" s="105">
        <f t="shared" ref="K44" si="3">L44</f>
        <v>3.3691058150000033E-4</v>
      </c>
      <c r="L44" s="83">
        <f t="shared" ref="L44" si="4">J44*1.25</f>
        <v>3.3691058150000033E-4</v>
      </c>
      <c r="M44" s="102">
        <f>(1-E44)*G44*'2. Emissions Units &amp; Activities'!$K$16</f>
        <v>1.078113860800001E-6</v>
      </c>
      <c r="N44" s="105">
        <f>(1-E44)*G44*'2. Emissions Units &amp; Activities'!$L$16</f>
        <v>1.3476423260000013E-6</v>
      </c>
      <c r="O44" s="83">
        <f>(1-E44)*G44*'2. Emissions Units &amp; Activities'!$M$16</f>
        <v>1.3476423260000013E-6</v>
      </c>
    </row>
    <row r="45" spans="1:15" x14ac:dyDescent="0.2">
      <c r="A45" s="79"/>
      <c r="B45" s="100"/>
      <c r="C45" s="81"/>
      <c r="D45" s="115" t="str">
        <f>IFERROR(IF(OR($B45="",$B45="No CAS"),INDEX('DEQ Pollutant List'!$A$7:$A$611,MATCH($C45,'DEQ Pollutant List'!$C$7:$C$611,0)),INDEX('DEQ Pollutant List'!$A$7:$A$611,MATCH($B45,'DEQ Pollutant List'!$B$7:$B$611,0))),"")</f>
        <v/>
      </c>
      <c r="E45" s="101"/>
      <c r="F45" s="102"/>
      <c r="G45" s="103"/>
      <c r="H45" s="83"/>
      <c r="I45" s="104"/>
      <c r="J45" s="102"/>
      <c r="K45" s="105"/>
      <c r="L45" s="83"/>
      <c r="M45" s="102"/>
      <c r="N45" s="105"/>
      <c r="O45" s="83"/>
    </row>
    <row r="46" spans="1:15" x14ac:dyDescent="0.2">
      <c r="A46" s="79" t="s">
        <v>1395</v>
      </c>
      <c r="B46" s="100" t="s">
        <v>234</v>
      </c>
      <c r="C46" s="81" t="str">
        <f>IFERROR(IF(B46="No CAS","",INDEX('DEQ Pollutant List'!$C$7:$C$611,MATCH('3. Pollutant Emissions - EF'!B46,'DEQ Pollutant List'!$B$7:$B$611,0))),"")</f>
        <v>Cobalt and compounds</v>
      </c>
      <c r="D46" s="115">
        <f>IFERROR(IF(OR($B46="",$B46="No CAS"),INDEX('DEQ Pollutant List'!$A$7:$A$611,MATCH($C46,'DEQ Pollutant List'!$C$7:$C$611,0)),INDEX('DEQ Pollutant List'!$A$7:$A$611,MATCH($B46,'DEQ Pollutant List'!$B$7:$B$611,0))),"")</f>
        <v>146</v>
      </c>
      <c r="E46" s="101">
        <v>0.999</v>
      </c>
      <c r="F46" s="102">
        <v>2.7320000000000003E-5</v>
      </c>
      <c r="G46" s="103">
        <v>2.7320000000000003E-5</v>
      </c>
      <c r="H46" s="83" t="s">
        <v>1396</v>
      </c>
      <c r="I46" s="104" t="s">
        <v>1412</v>
      </c>
      <c r="J46" s="102">
        <f>(1-E46)*F46*'2. Emissions Units &amp; Activities'!$H$17</f>
        <v>7.594960000000006E-8</v>
      </c>
      <c r="K46" s="105">
        <f t="shared" ref="K46:K50" si="5">L46</f>
        <v>9.4937000000000078E-8</v>
      </c>
      <c r="L46" s="83">
        <f t="shared" ref="L46" si="6">J46*1.25</f>
        <v>9.4937000000000078E-8</v>
      </c>
      <c r="M46" s="102">
        <f>(1-E46)*G46*'2. Emissions Units &amp; Activities'!$K$17</f>
        <v>3.0379840000000029E-10</v>
      </c>
      <c r="N46" s="105">
        <f>(1-E46)*G46*'2. Emissions Units &amp; Activities'!$L$17</f>
        <v>3.7974800000000035E-10</v>
      </c>
      <c r="O46" s="83">
        <f>(1-E46)*G46*'2. Emissions Units &amp; Activities'!$M$17</f>
        <v>3.7974800000000035E-10</v>
      </c>
    </row>
    <row r="47" spans="1:15" x14ac:dyDescent="0.2">
      <c r="A47" s="79" t="s">
        <v>1395</v>
      </c>
      <c r="B47" s="100" t="s">
        <v>518</v>
      </c>
      <c r="C47" s="81" t="str">
        <f>IFERROR(IF(B47="No CAS","",INDEX('DEQ Pollutant List'!$C$7:$C$611,MATCH('3. Pollutant Emissions - EF'!B47,'DEQ Pollutant List'!$B$7:$B$611,0))),"")</f>
        <v>Manganese and compounds</v>
      </c>
      <c r="D47" s="115">
        <f>IFERROR(IF(OR($B47="",$B47="No CAS"),INDEX('DEQ Pollutant List'!$A$7:$A$611,MATCH($C47,'DEQ Pollutant List'!$C$7:$C$611,0)),INDEX('DEQ Pollutant List'!$A$7:$A$611,MATCH($B47,'DEQ Pollutant List'!$B$7:$B$611,0))),"")</f>
        <v>312</v>
      </c>
      <c r="E47" s="101">
        <v>0.999</v>
      </c>
      <c r="F47" s="102">
        <v>1.3660000000000001E-4</v>
      </c>
      <c r="G47" s="103">
        <v>1.3660000000000001E-4</v>
      </c>
      <c r="H47" s="83" t="s">
        <v>1396</v>
      </c>
      <c r="I47" s="104" t="s">
        <v>1412</v>
      </c>
      <c r="J47" s="102">
        <f>(1-E47)*F47*'2. Emissions Units &amp; Activities'!$H$17</f>
        <v>3.7974800000000031E-7</v>
      </c>
      <c r="K47" s="105">
        <f t="shared" si="5"/>
        <v>4.7468500000000042E-7</v>
      </c>
      <c r="L47" s="83">
        <f t="shared" ref="L47:L50" si="7">J47*1.25</f>
        <v>4.7468500000000042E-7</v>
      </c>
      <c r="M47" s="102">
        <f>(1-E47)*G47*'2. Emissions Units &amp; Activities'!$K$17</f>
        <v>1.5189920000000014E-9</v>
      </c>
      <c r="N47" s="105">
        <f>(1-E47)*G47*'2. Emissions Units &amp; Activities'!$L$17</f>
        <v>1.8987400000000017E-9</v>
      </c>
      <c r="O47" s="83">
        <f>(1-E47)*G47*'2. Emissions Units &amp; Activities'!$M$17</f>
        <v>1.8987400000000017E-9</v>
      </c>
    </row>
    <row r="48" spans="1:15" x14ac:dyDescent="0.2">
      <c r="A48" s="79" t="s">
        <v>1395</v>
      </c>
      <c r="B48" s="100" t="s">
        <v>583</v>
      </c>
      <c r="C48" s="81" t="str">
        <f>IFERROR(IF(B48="No CAS","",INDEX('DEQ Pollutant List'!$C$7:$C$611,MATCH('3. Pollutant Emissions - EF'!B48,'DEQ Pollutant List'!$B$7:$B$611,0))),"")</f>
        <v>Nickel and compounds</v>
      </c>
      <c r="D48" s="115">
        <f>IFERROR(IF(OR($B48="",$B48="No CAS"),INDEX('DEQ Pollutant List'!$A$7:$A$611,MATCH($C48,'DEQ Pollutant List'!$C$7:$C$611,0)),INDEX('DEQ Pollutant List'!$A$7:$A$611,MATCH($B48,'DEQ Pollutant List'!$B$7:$B$611,0))),"")</f>
        <v>364</v>
      </c>
      <c r="E48" s="101">
        <v>0.999</v>
      </c>
      <c r="F48" s="102">
        <v>2.7320000000000003E-4</v>
      </c>
      <c r="G48" s="103">
        <v>2.7320000000000003E-4</v>
      </c>
      <c r="H48" s="83" t="s">
        <v>1396</v>
      </c>
      <c r="I48" s="104" t="s">
        <v>1412</v>
      </c>
      <c r="J48" s="102">
        <f>(1-E48)*F48*'2. Emissions Units &amp; Activities'!$H$17</f>
        <v>7.5949600000000062E-7</v>
      </c>
      <c r="K48" s="105">
        <f t="shared" si="5"/>
        <v>9.4937000000000083E-7</v>
      </c>
      <c r="L48" s="83">
        <f t="shared" si="7"/>
        <v>9.4937000000000083E-7</v>
      </c>
      <c r="M48" s="102">
        <f>(1-E48)*G48*'2. Emissions Units &amp; Activities'!$K$17</f>
        <v>3.0379840000000028E-9</v>
      </c>
      <c r="N48" s="105">
        <f>(1-E48)*G48*'2. Emissions Units &amp; Activities'!$L$17</f>
        <v>3.7974800000000033E-9</v>
      </c>
      <c r="O48" s="83">
        <f>(1-E48)*G48*'2. Emissions Units &amp; Activities'!$M$17</f>
        <v>3.7974800000000033E-9</v>
      </c>
    </row>
    <row r="49" spans="1:15" x14ac:dyDescent="0.2">
      <c r="A49" s="79" t="s">
        <v>1395</v>
      </c>
      <c r="B49" s="100" t="s">
        <v>236</v>
      </c>
      <c r="C49" s="81" t="str">
        <f>IFERROR(IF(B49="No CAS","",INDEX('DEQ Pollutant List'!$C$7:$C$611,MATCH('3. Pollutant Emissions - EF'!B49,'DEQ Pollutant List'!$B$7:$B$611,0))),"")</f>
        <v>Copper and compounds</v>
      </c>
      <c r="D49" s="115">
        <f>IFERROR(IF(OR($B49="",$B49="No CAS"),INDEX('DEQ Pollutant List'!$A$7:$A$611,MATCH($C49,'DEQ Pollutant List'!$C$7:$C$611,0)),INDEX('DEQ Pollutant List'!$A$7:$A$611,MATCH($B49,'DEQ Pollutant List'!$B$7:$B$611,0))),"")</f>
        <v>149</v>
      </c>
      <c r="E49" s="101">
        <v>0.999</v>
      </c>
      <c r="F49" s="102">
        <v>1.6391999999999999E-4</v>
      </c>
      <c r="G49" s="103">
        <v>1.6391999999999999E-4</v>
      </c>
      <c r="H49" s="83" t="s">
        <v>1396</v>
      </c>
      <c r="I49" s="104" t="s">
        <v>1412</v>
      </c>
      <c r="J49" s="102">
        <f>(1-E49)*F49*'2. Emissions Units &amp; Activities'!$H$17</f>
        <v>4.5569760000000033E-7</v>
      </c>
      <c r="K49" s="105">
        <f t="shared" si="5"/>
        <v>5.6962200000000041E-7</v>
      </c>
      <c r="L49" s="83">
        <f t="shared" si="7"/>
        <v>5.6962200000000041E-7</v>
      </c>
      <c r="M49" s="102">
        <f>(1-E49)*G49*'2. Emissions Units &amp; Activities'!$K$17</f>
        <v>1.8227904000000014E-9</v>
      </c>
      <c r="N49" s="105">
        <f>(1-E49)*G49*'2. Emissions Units &amp; Activities'!$L$17</f>
        <v>2.2784880000000019E-9</v>
      </c>
      <c r="O49" s="83">
        <f>(1-E49)*G49*'2. Emissions Units &amp; Activities'!$M$17</f>
        <v>2.2784880000000019E-9</v>
      </c>
    </row>
    <row r="50" spans="1:15" x14ac:dyDescent="0.2">
      <c r="A50" s="79" t="s">
        <v>1395</v>
      </c>
      <c r="B50" s="100" t="s">
        <v>40</v>
      </c>
      <c r="C50" s="81" t="str">
        <f>IFERROR(IF(B50="No CAS","",INDEX('DEQ Pollutant List'!$C$7:$C$611,MATCH('3. Pollutant Emissions - EF'!B50,'DEQ Pollutant List'!$B$7:$B$611,0))),"")</f>
        <v>Aluminum and compounds</v>
      </c>
      <c r="D50" s="115">
        <f>IFERROR(IF(OR($B50="",$B50="No CAS"),INDEX('DEQ Pollutant List'!$A$7:$A$611,MATCH($C50,'DEQ Pollutant List'!$C$7:$C$611,0)),INDEX('DEQ Pollutant List'!$A$7:$A$611,MATCH($B50,'DEQ Pollutant List'!$B$7:$B$611,0))),"")</f>
        <v>13</v>
      </c>
      <c r="E50" s="101">
        <v>0.999</v>
      </c>
      <c r="F50" s="102">
        <v>5.4640000000000005E-5</v>
      </c>
      <c r="G50" s="103">
        <v>5.4640000000000005E-5</v>
      </c>
      <c r="H50" s="83" t="s">
        <v>1396</v>
      </c>
      <c r="I50" s="104" t="s">
        <v>1412</v>
      </c>
      <c r="J50" s="102">
        <f>(1-E50)*F50*'2. Emissions Units &amp; Activities'!$H$17</f>
        <v>1.5189920000000012E-7</v>
      </c>
      <c r="K50" s="105">
        <f t="shared" si="5"/>
        <v>1.8987400000000016E-7</v>
      </c>
      <c r="L50" s="83">
        <f t="shared" si="7"/>
        <v>1.8987400000000016E-7</v>
      </c>
      <c r="M50" s="102">
        <f>(1-E50)*G50*'2. Emissions Units &amp; Activities'!$K$17</f>
        <v>6.0759680000000058E-10</v>
      </c>
      <c r="N50" s="105">
        <f>(1-E50)*G50*'2. Emissions Units &amp; Activities'!$L$17</f>
        <v>7.594960000000007E-10</v>
      </c>
      <c r="O50" s="83">
        <f>(1-E50)*G50*'2. Emissions Units &amp; Activities'!$M$17</f>
        <v>7.594960000000007E-10</v>
      </c>
    </row>
    <row r="51" spans="1:15" x14ac:dyDescent="0.2">
      <c r="A51" s="79"/>
      <c r="B51" s="100"/>
      <c r="C51" s="81" t="str">
        <f>IFERROR(IF(B51="No CAS","",INDEX('DEQ Pollutant List'!$C$7:$C$611,MATCH('3. Pollutant Emissions - EF'!B51,'DEQ Pollutant List'!$B$7:$B$611,0))),"")</f>
        <v/>
      </c>
      <c r="D51" s="115" t="str">
        <f>IFERROR(IF(OR($B51="",$B51="No CAS"),INDEX('DEQ Pollutant List'!$A$7:$A$611,MATCH($C51,'DEQ Pollutant List'!$C$7:$C$611,0)),INDEX('DEQ Pollutant List'!$A$7:$A$611,MATCH($B51,'DEQ Pollutant List'!$B$7:$B$611,0))),"")</f>
        <v/>
      </c>
      <c r="E51" s="101"/>
      <c r="F51" s="102"/>
      <c r="G51" s="103"/>
      <c r="H51" s="83"/>
      <c r="I51" s="104"/>
      <c r="J51" s="102"/>
      <c r="K51" s="105"/>
      <c r="L51" s="83"/>
      <c r="M51" s="102"/>
      <c r="N51" s="105"/>
      <c r="O51" s="83"/>
    </row>
    <row r="52" spans="1:15" x14ac:dyDescent="0.2">
      <c r="A52" s="79" t="s">
        <v>1401</v>
      </c>
      <c r="B52" s="100" t="s">
        <v>230</v>
      </c>
      <c r="C52" s="81" t="str">
        <f>IFERROR(IF(B52="No CAS","",INDEX('DEQ Pollutant List'!$C$7:$C$611,MATCH('3. Pollutant Emissions - EF'!B52,'DEQ Pollutant List'!$B$7:$B$611,0))),"")</f>
        <v>Chromium VI, chromate and dichromate particulate</v>
      </c>
      <c r="D52" s="115">
        <f>IFERROR(IF(OR($B52="",$B52="No CAS"),INDEX('DEQ Pollutant List'!$A$7:$A$611,MATCH($C52,'DEQ Pollutant List'!$C$7:$C$611,0)),INDEX('DEQ Pollutant List'!$A$7:$A$611,MATCH($B52,'DEQ Pollutant List'!$B$7:$B$611,0))),"")</f>
        <v>136</v>
      </c>
      <c r="E52" s="101">
        <v>0</v>
      </c>
      <c r="F52" s="102">
        <v>4.0999999999999997E-6</v>
      </c>
      <c r="G52" s="103">
        <v>4.0999999999999997E-6</v>
      </c>
      <c r="H52" s="83" t="s">
        <v>1411</v>
      </c>
      <c r="I52" s="104" t="s">
        <v>1412</v>
      </c>
      <c r="J52" s="102">
        <f>F52*'2. Emissions Units &amp; Activities'!$H$18</f>
        <v>1.8802599999999998E-5</v>
      </c>
      <c r="K52" s="105">
        <f t="shared" ref="K52:K55" si="8">L52</f>
        <v>2.3503249999999999E-5</v>
      </c>
      <c r="L52" s="83">
        <f t="shared" ref="L52:L55" si="9">J52*1.25</f>
        <v>2.3503249999999999E-5</v>
      </c>
      <c r="M52" s="102">
        <f>G52*'2. Emissions Units &amp; Activities'!$K$18</f>
        <v>1.88026E-6</v>
      </c>
      <c r="N52" s="105">
        <f>G52*'2. Emissions Units &amp; Activities'!$L$18</f>
        <v>2.3503249999999998E-6</v>
      </c>
      <c r="O52" s="83">
        <f>G52*'2. Emissions Units &amp; Activities'!$M$18</f>
        <v>2.3503249999999998E-6</v>
      </c>
    </row>
    <row r="53" spans="1:15" x14ac:dyDescent="0.2">
      <c r="A53" s="79" t="s">
        <v>1401</v>
      </c>
      <c r="B53" s="100" t="s">
        <v>234</v>
      </c>
      <c r="C53" s="81" t="str">
        <f>IFERROR(IF(B53="No CAS","",INDEX('DEQ Pollutant List'!$C$7:$C$611,MATCH('3. Pollutant Emissions - EF'!B53,'DEQ Pollutant List'!$B$7:$B$611,0))),"")</f>
        <v>Cobalt and compounds</v>
      </c>
      <c r="D53" s="115">
        <f>IFERROR(IF(OR($B53="",$B53="No CAS"),INDEX('DEQ Pollutant List'!$A$7:$A$611,MATCH($C53,'DEQ Pollutant List'!$C$7:$C$611,0)),INDEX('DEQ Pollutant List'!$A$7:$A$611,MATCH($B53,'DEQ Pollutant List'!$B$7:$B$611,0))),"")</f>
        <v>146</v>
      </c>
      <c r="E53" s="101">
        <v>0</v>
      </c>
      <c r="F53" s="102">
        <v>9.9999999999999995E-7</v>
      </c>
      <c r="G53" s="103">
        <v>9.9999999999999995E-7</v>
      </c>
      <c r="H53" s="83" t="s">
        <v>1411</v>
      </c>
      <c r="I53" s="104" t="s">
        <v>1412</v>
      </c>
      <c r="J53" s="102">
        <f>F53*'2. Emissions Units &amp; Activities'!$H$18</f>
        <v>4.5859999999999998E-6</v>
      </c>
      <c r="K53" s="105">
        <f t="shared" si="8"/>
        <v>5.7324999999999997E-6</v>
      </c>
      <c r="L53" s="83">
        <f t="shared" si="9"/>
        <v>5.7324999999999997E-6</v>
      </c>
      <c r="M53" s="102">
        <f>G53*'2. Emissions Units &amp; Activities'!$K$18</f>
        <v>4.5859999999999999E-7</v>
      </c>
      <c r="N53" s="105">
        <f>G53*'2. Emissions Units &amp; Activities'!$L$18</f>
        <v>5.7324999999999997E-7</v>
      </c>
      <c r="O53" s="83">
        <f>G53*'2. Emissions Units &amp; Activities'!$M$18</f>
        <v>5.7324999999999997E-7</v>
      </c>
    </row>
    <row r="54" spans="1:15" x14ac:dyDescent="0.2">
      <c r="A54" s="79" t="s">
        <v>1401</v>
      </c>
      <c r="B54" s="100" t="s">
        <v>518</v>
      </c>
      <c r="C54" s="81" t="str">
        <f>IFERROR(IF(B54="No CAS","",INDEX('DEQ Pollutant List'!$C$7:$C$611,MATCH('3. Pollutant Emissions - EF'!B54,'DEQ Pollutant List'!$B$7:$B$611,0))),"")</f>
        <v>Manganese and compounds</v>
      </c>
      <c r="D54" s="115">
        <f>IFERROR(IF(OR($B54="",$B54="No CAS"),INDEX('DEQ Pollutant List'!$A$7:$A$611,MATCH($C54,'DEQ Pollutant List'!$C$7:$C$611,0)),INDEX('DEQ Pollutant List'!$A$7:$A$611,MATCH($B54,'DEQ Pollutant List'!$B$7:$B$611,0))),"")</f>
        <v>312</v>
      </c>
      <c r="E54" s="101">
        <v>0</v>
      </c>
      <c r="F54" s="102">
        <v>3.1799999999999998E-4</v>
      </c>
      <c r="G54" s="103">
        <v>3.1799999999999998E-4</v>
      </c>
      <c r="H54" s="83" t="s">
        <v>1411</v>
      </c>
      <c r="I54" s="104" t="s">
        <v>1412</v>
      </c>
      <c r="J54" s="102">
        <f>F54*'2. Emissions Units &amp; Activities'!$H$18</f>
        <v>1.4583479999999999E-3</v>
      </c>
      <c r="K54" s="105">
        <f t="shared" si="8"/>
        <v>1.8229349999999999E-3</v>
      </c>
      <c r="L54" s="83">
        <f t="shared" si="9"/>
        <v>1.8229349999999999E-3</v>
      </c>
      <c r="M54" s="102">
        <f>G54*'2. Emissions Units &amp; Activities'!$K$18</f>
        <v>1.4583479999999999E-4</v>
      </c>
      <c r="N54" s="105">
        <f>G54*'2. Emissions Units &amp; Activities'!$L$18</f>
        <v>1.8229349999999999E-4</v>
      </c>
      <c r="O54" s="83">
        <f>G54*'2. Emissions Units &amp; Activities'!$M$18</f>
        <v>1.8229349999999999E-4</v>
      </c>
    </row>
    <row r="55" spans="1:15" x14ac:dyDescent="0.2">
      <c r="A55" s="79" t="s">
        <v>1401</v>
      </c>
      <c r="B55" s="100" t="s">
        <v>583</v>
      </c>
      <c r="C55" s="81" t="str">
        <f>IFERROR(IF(B55="No CAS","",INDEX('DEQ Pollutant List'!$C$7:$C$611,MATCH('3. Pollutant Emissions - EF'!B55,'DEQ Pollutant List'!$B$7:$B$611,0))),"")</f>
        <v>Nickel and compounds</v>
      </c>
      <c r="D55" s="115">
        <f>IFERROR(IF(OR($B55="",$B55="No CAS"),INDEX('DEQ Pollutant List'!$A$7:$A$611,MATCH($C55,'DEQ Pollutant List'!$C$7:$C$611,0)),INDEX('DEQ Pollutant List'!$A$7:$A$611,MATCH($B55,'DEQ Pollutant List'!$B$7:$B$611,0))),"")</f>
        <v>364</v>
      </c>
      <c r="E55" s="101">
        <v>0</v>
      </c>
      <c r="F55" s="102">
        <v>9.9999999999999995E-7</v>
      </c>
      <c r="G55" s="103">
        <v>9.9999999999999995E-7</v>
      </c>
      <c r="H55" s="83" t="s">
        <v>1411</v>
      </c>
      <c r="I55" s="104" t="s">
        <v>1412</v>
      </c>
      <c r="J55" s="102">
        <f>F55*'2. Emissions Units &amp; Activities'!$H$18</f>
        <v>4.5859999999999998E-6</v>
      </c>
      <c r="K55" s="105">
        <f t="shared" si="8"/>
        <v>5.7324999999999997E-6</v>
      </c>
      <c r="L55" s="83">
        <f t="shared" si="9"/>
        <v>5.7324999999999997E-6</v>
      </c>
      <c r="M55" s="102">
        <f>G55*'2. Emissions Units &amp; Activities'!$K$18</f>
        <v>4.5859999999999999E-7</v>
      </c>
      <c r="N55" s="105">
        <f>G55*'2. Emissions Units &amp; Activities'!$L$18</f>
        <v>5.7324999999999997E-7</v>
      </c>
      <c r="O55" s="83">
        <f>G55*'2. Emissions Units &amp; Activities'!$M$18</f>
        <v>5.7324999999999997E-7</v>
      </c>
    </row>
    <row r="56" spans="1:15" x14ac:dyDescent="0.2">
      <c r="A56" s="79"/>
      <c r="B56" s="100"/>
      <c r="C56" s="81" t="str">
        <f>IFERROR(IF(B56="No CAS","",INDEX('DEQ Pollutant List'!$C$7:$C$611,MATCH('3. Pollutant Emissions - EF'!B56,'DEQ Pollutant List'!$B$7:$B$611,0))),"")</f>
        <v/>
      </c>
      <c r="D56" s="115" t="str">
        <f>IFERROR(IF(OR($B56="",$B56="No CAS"),INDEX('DEQ Pollutant List'!$A$7:$A$611,MATCH($C56,'DEQ Pollutant List'!$C$7:$C$611,0)),INDEX('DEQ Pollutant List'!$A$7:$A$611,MATCH($B56,'DEQ Pollutant List'!$B$7:$B$611,0))),"")</f>
        <v/>
      </c>
      <c r="E56" s="101"/>
      <c r="F56" s="102"/>
      <c r="G56" s="103"/>
      <c r="H56" s="83"/>
      <c r="I56" s="104"/>
      <c r="J56" s="102"/>
      <c r="K56" s="105"/>
      <c r="L56" s="83"/>
      <c r="M56" s="102"/>
      <c r="N56" s="105"/>
      <c r="O56" s="83"/>
    </row>
    <row r="57" spans="1:15" x14ac:dyDescent="0.2">
      <c r="A57" s="79"/>
      <c r="B57" s="100"/>
      <c r="C57" s="81"/>
      <c r="D57" s="115" t="str">
        <f>IFERROR(IF(OR($B57="",$B57="No CAS"),INDEX('DEQ Pollutant List'!$A$7:$A$611,MATCH($C57,'DEQ Pollutant List'!$C$7:$C$611,0)),INDEX('DEQ Pollutant List'!$A$7:$A$611,MATCH($B57,'DEQ Pollutant List'!$B$7:$B$611,0))),"")</f>
        <v/>
      </c>
      <c r="E57" s="101"/>
      <c r="F57" s="102"/>
      <c r="G57" s="103"/>
      <c r="H57" s="83"/>
      <c r="I57" s="104" t="s">
        <v>1488</v>
      </c>
      <c r="J57" s="102"/>
      <c r="K57" s="105"/>
      <c r="L57" s="83"/>
      <c r="M57" s="102"/>
      <c r="N57" s="105"/>
      <c r="O57" s="83"/>
    </row>
    <row r="58" spans="1:15" x14ac:dyDescent="0.2">
      <c r="A58" s="79" t="s">
        <v>1376</v>
      </c>
      <c r="B58" s="100" t="s">
        <v>234</v>
      </c>
      <c r="C58" s="81" t="str">
        <f>IFERROR(IF(B58="No CAS","",INDEX('DEQ Pollutant List'!$C$7:$C$611,MATCH('3. Pollutant Emissions - EF'!B58,'DEQ Pollutant List'!$B$7:$B$611,0))),"")</f>
        <v>Cobalt and compounds</v>
      </c>
      <c r="D58" s="115">
        <f>IFERROR(IF(OR($B58="",$B58="No CAS"),INDEX('DEQ Pollutant List'!$A$7:$A$611,MATCH($C58,'DEQ Pollutant List'!$C$7:$C$611,0)),INDEX('DEQ Pollutant List'!$A$7:$A$611,MATCH($B58,'DEQ Pollutant List'!$B$7:$B$611,0))),"")</f>
        <v>146</v>
      </c>
      <c r="E58" s="101">
        <v>0.99</v>
      </c>
      <c r="F58" s="102">
        <f>0.477*0.655</f>
        <v>0.31243500000000002</v>
      </c>
      <c r="G58" s="103">
        <f>F58</f>
        <v>0.31243500000000002</v>
      </c>
      <c r="H58" s="83" t="s">
        <v>1388</v>
      </c>
      <c r="I58" s="104" t="s">
        <v>1489</v>
      </c>
      <c r="J58" s="102">
        <f>(1-E58)*F58*('2. Emissions Units &amp; Activities'!$H$20)</f>
        <v>1.8320860343250018</v>
      </c>
      <c r="K58" s="105">
        <f t="shared" ref="K58:K63" si="10">L58</f>
        <v>2.2901075429062542E-2</v>
      </c>
      <c r="L58" s="83">
        <f>(1-E58)*J58*1.25</f>
        <v>2.2901075429062542E-2</v>
      </c>
      <c r="M58" s="102">
        <f>(1-E58)*G58*'2. Emissions Units &amp; Activities'!$K$20</f>
        <v>7.3283441373000078E-3</v>
      </c>
      <c r="N58" s="105">
        <f>G58*'2. Emissions Units &amp; Activities'!$L$20</f>
        <v>0.91604301716250014</v>
      </c>
      <c r="O58" s="83">
        <f>(1-E58)*G58*'2. Emissions Units &amp; Activities'!$M$20</f>
        <v>9.16043017162501E-3</v>
      </c>
    </row>
    <row r="59" spans="1:15" x14ac:dyDescent="0.2">
      <c r="A59" s="79" t="s">
        <v>1377</v>
      </c>
      <c r="B59" s="100" t="s">
        <v>583</v>
      </c>
      <c r="C59" s="81" t="str">
        <f>IFERROR(IF(B59="No CAS","",INDEX('DEQ Pollutant List'!$C$7:$C$611,MATCH('3. Pollutant Emissions - EF'!B59,'DEQ Pollutant List'!$B$7:$B$611,0))),"")</f>
        <v>Nickel and compounds</v>
      </c>
      <c r="D59" s="115">
        <f>IFERROR(IF(OR($B59="",$B59="No CAS"),INDEX('DEQ Pollutant List'!$A$7:$A$611,MATCH($C59,'DEQ Pollutant List'!$C$7:$C$611,0)),INDEX('DEQ Pollutant List'!$A$7:$A$611,MATCH($B59,'DEQ Pollutant List'!$B$7:$B$611,0))),"")</f>
        <v>364</v>
      </c>
      <c r="E59" s="101">
        <v>0.99</v>
      </c>
      <c r="F59" s="102">
        <f>0.477*0.05</f>
        <v>2.385E-2</v>
      </c>
      <c r="G59" s="103">
        <f t="shared" ref="G59:G99" si="11">F59</f>
        <v>2.385E-2</v>
      </c>
      <c r="H59" s="83" t="s">
        <v>1388</v>
      </c>
      <c r="I59" s="104" t="s">
        <v>1490</v>
      </c>
      <c r="J59" s="102">
        <f>(1-E59)*F59*('2. Emissions Units &amp; Activities'!$H$21)</f>
        <v>5.9672700000000045E-4</v>
      </c>
      <c r="K59" s="105">
        <f t="shared" si="10"/>
        <v>7.459087500000013E-6</v>
      </c>
      <c r="L59" s="83">
        <f>(1-E59)*J59*1.25</f>
        <v>7.459087500000013E-6</v>
      </c>
      <c r="M59" s="102">
        <f>(1-E59)*G59*'2. Emissions Units &amp; Activities'!$K$21</f>
        <v>2.3869080000000019E-6</v>
      </c>
      <c r="N59" s="105">
        <f>G59*'2. Emissions Units &amp; Activities'!$L$21</f>
        <v>2.9836350000000001E-4</v>
      </c>
      <c r="O59" s="83">
        <f>(1-E59)*G59*'2. Emissions Units &amp; Activities'!$M$21</f>
        <v>2.9836350000000026E-6</v>
      </c>
    </row>
    <row r="60" spans="1:15" x14ac:dyDescent="0.2">
      <c r="A60" s="79" t="s">
        <v>1377</v>
      </c>
      <c r="B60" s="100" t="s">
        <v>236</v>
      </c>
      <c r="C60" s="81" t="str">
        <f>IFERROR(IF(B60="No CAS","",INDEX('DEQ Pollutant List'!$C$7:$C$611,MATCH('3. Pollutant Emissions - EF'!B60,'DEQ Pollutant List'!$B$7:$B$611,0))),"")</f>
        <v>Copper and compounds</v>
      </c>
      <c r="D60" s="115">
        <f>IFERROR(IF(OR($B60="",$B60="No CAS"),INDEX('DEQ Pollutant List'!$A$7:$A$611,MATCH($C60,'DEQ Pollutant List'!$C$7:$C$611,0)),INDEX('DEQ Pollutant List'!$A$7:$A$611,MATCH($B60,'DEQ Pollutant List'!$B$7:$B$611,0))),"")</f>
        <v>149</v>
      </c>
      <c r="E60" s="101">
        <v>0.99</v>
      </c>
      <c r="F60" s="102">
        <f>0.477*0.03</f>
        <v>1.4309999999999998E-2</v>
      </c>
      <c r="G60" s="103">
        <f t="shared" si="11"/>
        <v>1.4309999999999998E-2</v>
      </c>
      <c r="H60" s="83" t="s">
        <v>1388</v>
      </c>
      <c r="I60" s="104" t="s">
        <v>1491</v>
      </c>
      <c r="J60" s="102">
        <f>(1-E60)*F60*('2. Emissions Units &amp; Activities'!$H$21)</f>
        <v>3.5803620000000028E-4</v>
      </c>
      <c r="K60" s="105">
        <f t="shared" si="10"/>
        <v>4.4754525000000074E-6</v>
      </c>
      <c r="L60" s="83">
        <f t="shared" ref="L60:L63" si="12">(1-E60)*J60*1.25</f>
        <v>4.4754525000000074E-6</v>
      </c>
      <c r="M60" s="102">
        <f>(1-E60)*G60*'2. Emissions Units &amp; Activities'!$K$21</f>
        <v>1.4321448000000012E-6</v>
      </c>
      <c r="N60" s="105">
        <f>G60*'2. Emissions Units &amp; Activities'!$L$21</f>
        <v>1.7901809999999998E-4</v>
      </c>
      <c r="O60" s="83">
        <f>(1-E60)*G60*'2. Emissions Units &amp; Activities'!$M$21</f>
        <v>1.7901810000000014E-6</v>
      </c>
    </row>
    <row r="61" spans="1:15" x14ac:dyDescent="0.2">
      <c r="A61" s="79" t="s">
        <v>1377</v>
      </c>
      <c r="B61" s="100" t="s">
        <v>234</v>
      </c>
      <c r="C61" s="81" t="str">
        <f>IFERROR(IF(B61="No CAS","",INDEX('DEQ Pollutant List'!$C$7:$C$611,MATCH('3. Pollutant Emissions - EF'!B61,'DEQ Pollutant List'!$B$7:$B$611,0))),"")</f>
        <v>Cobalt and compounds</v>
      </c>
      <c r="D61" s="115">
        <f>IFERROR(IF(OR($B61="",$B61="No CAS"),INDEX('DEQ Pollutant List'!$A$7:$A$611,MATCH($C61,'DEQ Pollutant List'!$C$7:$C$611,0)),INDEX('DEQ Pollutant List'!$A$7:$A$611,MATCH($B61,'DEQ Pollutant List'!$B$7:$B$611,0))),"")</f>
        <v>146</v>
      </c>
      <c r="E61" s="101">
        <v>0.99</v>
      </c>
      <c r="F61" s="102">
        <f>0.477*0.005</f>
        <v>2.385E-3</v>
      </c>
      <c r="G61" s="103">
        <f t="shared" si="11"/>
        <v>2.385E-3</v>
      </c>
      <c r="H61" s="83" t="s">
        <v>1388</v>
      </c>
      <c r="I61" s="104" t="s">
        <v>1492</v>
      </c>
      <c r="J61" s="102">
        <f>(1-E61)*F61*('2. Emissions Units &amp; Activities'!$H$21)</f>
        <v>5.967270000000005E-5</v>
      </c>
      <c r="K61" s="105">
        <f t="shared" si="10"/>
        <v>7.4590875000000128E-7</v>
      </c>
      <c r="L61" s="83">
        <f t="shared" si="12"/>
        <v>7.4590875000000128E-7</v>
      </c>
      <c r="M61" s="102">
        <f>(1-E61)*G61*'2. Emissions Units &amp; Activities'!$K$21</f>
        <v>2.3869080000000018E-7</v>
      </c>
      <c r="N61" s="105">
        <f>G61*'2. Emissions Units &amp; Activities'!$L$21</f>
        <v>2.9836350000000001E-5</v>
      </c>
      <c r="O61" s="83">
        <f>(1-E61)*G61*'2. Emissions Units &amp; Activities'!$M$21</f>
        <v>2.9836350000000029E-7</v>
      </c>
    </row>
    <row r="62" spans="1:15" x14ac:dyDescent="0.2">
      <c r="A62" s="79" t="s">
        <v>1377</v>
      </c>
      <c r="B62" s="100" t="s">
        <v>518</v>
      </c>
      <c r="C62" s="81" t="str">
        <f>IFERROR(IF(B62="No CAS","",INDEX('DEQ Pollutant List'!$C$7:$C$611,MATCH('3. Pollutant Emissions - EF'!B62,'DEQ Pollutant List'!$B$7:$B$611,0))),"")</f>
        <v>Manganese and compounds</v>
      </c>
      <c r="D62" s="115">
        <f>IFERROR(IF(OR($B62="",$B62="No CAS"),INDEX('DEQ Pollutant List'!$A$7:$A$611,MATCH($C62,'DEQ Pollutant List'!$C$7:$C$611,0)),INDEX('DEQ Pollutant List'!$A$7:$A$611,MATCH($B62,'DEQ Pollutant List'!$B$7:$B$611,0))),"")</f>
        <v>312</v>
      </c>
      <c r="E62" s="101">
        <v>0.99</v>
      </c>
      <c r="F62" s="102">
        <f>0.477*0.025</f>
        <v>1.1925E-2</v>
      </c>
      <c r="G62" s="103">
        <f t="shared" si="11"/>
        <v>1.1925E-2</v>
      </c>
      <c r="H62" s="83" t="s">
        <v>1388</v>
      </c>
      <c r="I62" s="104" t="s">
        <v>1493</v>
      </c>
      <c r="J62" s="102">
        <f>(1-E62)*F62*('2. Emissions Units &amp; Activities'!$H$21)</f>
        <v>2.9836350000000023E-4</v>
      </c>
      <c r="K62" s="105">
        <f t="shared" si="10"/>
        <v>3.7295437500000065E-6</v>
      </c>
      <c r="L62" s="83">
        <f t="shared" si="12"/>
        <v>3.7295437500000065E-6</v>
      </c>
      <c r="M62" s="102">
        <f>(1-E62)*G62*'2. Emissions Units &amp; Activities'!$K$21</f>
        <v>1.1934540000000009E-6</v>
      </c>
      <c r="N62" s="105">
        <f>G62*'2. Emissions Units &amp; Activities'!$L$21</f>
        <v>1.4918175000000001E-4</v>
      </c>
      <c r="O62" s="83">
        <f>(1-E62)*G62*'2. Emissions Units &amp; Activities'!$M$21</f>
        <v>1.4918175000000013E-6</v>
      </c>
    </row>
    <row r="63" spans="1:15" x14ac:dyDescent="0.2">
      <c r="A63" s="79" t="s">
        <v>1377</v>
      </c>
      <c r="B63" s="100" t="s">
        <v>40</v>
      </c>
      <c r="C63" s="81" t="str">
        <f>IFERROR(IF(B63="No CAS","",INDEX('DEQ Pollutant List'!$C$7:$C$611,MATCH('3. Pollutant Emissions - EF'!B63,'DEQ Pollutant List'!$B$7:$B$611,0))),"")</f>
        <v>Aluminum and compounds</v>
      </c>
      <c r="D63" s="115">
        <f>IFERROR(IF(OR($B63="",$B63="No CAS"),INDEX('DEQ Pollutant List'!$A$7:$A$611,MATCH($C63,'DEQ Pollutant List'!$C$7:$C$611,0)),INDEX('DEQ Pollutant List'!$A$7:$A$611,MATCH($B63,'DEQ Pollutant List'!$B$7:$B$611,0))),"")</f>
        <v>13</v>
      </c>
      <c r="E63" s="101">
        <v>0.99</v>
      </c>
      <c r="F63" s="102">
        <f>0.477*0.01</f>
        <v>4.7699999999999999E-3</v>
      </c>
      <c r="G63" s="103">
        <f t="shared" si="11"/>
        <v>4.7699999999999999E-3</v>
      </c>
      <c r="H63" s="83" t="s">
        <v>1388</v>
      </c>
      <c r="I63" s="104" t="s">
        <v>1494</v>
      </c>
      <c r="J63" s="102">
        <f>(1-E63)*F63*('2. Emissions Units &amp; Activities'!$H$21)</f>
        <v>1.193454000000001E-4</v>
      </c>
      <c r="K63" s="105">
        <f t="shared" si="10"/>
        <v>1.4918175000000026E-6</v>
      </c>
      <c r="L63" s="83">
        <f t="shared" si="12"/>
        <v>1.4918175000000026E-6</v>
      </c>
      <c r="M63" s="102">
        <f>(1-E63)*G63*'2. Emissions Units &amp; Activities'!$K$21</f>
        <v>4.7738160000000036E-7</v>
      </c>
      <c r="N63" s="105">
        <f>G63*'2. Emissions Units &amp; Activities'!$L$21</f>
        <v>5.9672700000000002E-5</v>
      </c>
      <c r="O63" s="83">
        <f>(1-E63)*G63*'2. Emissions Units &amp; Activities'!$M$21</f>
        <v>5.9672700000000058E-7</v>
      </c>
    </row>
    <row r="64" spans="1:15" x14ac:dyDescent="0.2">
      <c r="A64" s="79"/>
      <c r="B64" s="100"/>
      <c r="C64" s="81"/>
      <c r="D64" s="115" t="str">
        <f>IFERROR(IF(OR($B64="",$B64="No CAS"),INDEX('DEQ Pollutant List'!$A$7:$A$611,MATCH($C64,'DEQ Pollutant List'!$C$7:$C$611,0)),INDEX('DEQ Pollutant List'!$A$7:$A$611,MATCH($B64,'DEQ Pollutant List'!$B$7:$B$611,0))),"")</f>
        <v/>
      </c>
      <c r="E64" s="101"/>
      <c r="F64" s="102"/>
      <c r="G64" s="103"/>
      <c r="H64" s="83"/>
      <c r="I64" s="104" t="s">
        <v>1409</v>
      </c>
      <c r="J64" s="102"/>
      <c r="K64" s="105"/>
      <c r="L64" s="83"/>
      <c r="M64" s="102"/>
      <c r="N64" s="105"/>
      <c r="O64" s="83"/>
    </row>
    <row r="65" spans="1:15" x14ac:dyDescent="0.2">
      <c r="A65" s="79" t="s">
        <v>1379</v>
      </c>
      <c r="B65" s="100" t="s">
        <v>234</v>
      </c>
      <c r="C65" s="81" t="str">
        <f>IFERROR(IF(B65="No CAS","",INDEX('DEQ Pollutant List'!$C$7:$C$611,MATCH('3. Pollutant Emissions - EF'!B65,'DEQ Pollutant List'!$B$7:$B$611,0))),"")</f>
        <v>Cobalt and compounds</v>
      </c>
      <c r="D65" s="115">
        <f>IFERROR(IF(OR($B65="",$B65="No CAS"),INDEX('DEQ Pollutant List'!$A$7:$A$611,MATCH($C65,'DEQ Pollutant List'!$C$7:$C$611,0)),INDEX('DEQ Pollutant List'!$A$7:$A$611,MATCH($B65,'DEQ Pollutant List'!$B$7:$B$611,0))),"")</f>
        <v>146</v>
      </c>
      <c r="E65" s="101">
        <v>0.999</v>
      </c>
      <c r="F65" s="102">
        <f>6*0.655</f>
        <v>3.93</v>
      </c>
      <c r="G65" s="103">
        <f t="shared" si="11"/>
        <v>3.93</v>
      </c>
      <c r="H65" s="83" t="s">
        <v>1388</v>
      </c>
      <c r="I65" s="104" t="s">
        <v>1406</v>
      </c>
      <c r="J65" s="102">
        <f>(1-E65)*F65*('2. Emissions Units &amp; Activities'!$H$23)</f>
        <v>2.3045107350000023</v>
      </c>
      <c r="K65" s="105">
        <f t="shared" ref="K65:K70" si="13">L65</f>
        <v>2.8806384187500029</v>
      </c>
      <c r="L65" s="83">
        <f t="shared" ref="L65:L66" si="14">J65*1.25</f>
        <v>2.8806384187500029</v>
      </c>
      <c r="M65" s="102">
        <f>(1-E65)*G65*'2. Emissions Units &amp; Activities'!$K$23</f>
        <v>9.2180429400000093E-3</v>
      </c>
      <c r="N65" s="105">
        <f>(1-E65)*G65*'2. Emissions Units &amp; Activities'!$L$23</f>
        <v>1.1522553675000012E-2</v>
      </c>
      <c r="O65" s="83">
        <f>(1-E65)*G65*'2. Emissions Units &amp; Activities'!$M$23</f>
        <v>1.1522553675000012E-2</v>
      </c>
    </row>
    <row r="66" spans="1:15" x14ac:dyDescent="0.2">
      <c r="A66" s="79" t="s">
        <v>1380</v>
      </c>
      <c r="B66" s="100" t="s">
        <v>583</v>
      </c>
      <c r="C66" s="81" t="str">
        <f>IFERROR(IF(B66="No CAS","",INDEX('DEQ Pollutant List'!$C$7:$C$611,MATCH('3. Pollutant Emissions - EF'!B66,'DEQ Pollutant List'!$B$7:$B$611,0))),"")</f>
        <v>Nickel and compounds</v>
      </c>
      <c r="D66" s="115">
        <f>IFERROR(IF(OR($B66="",$B66="No CAS"),INDEX('DEQ Pollutant List'!$A$7:$A$611,MATCH($C66,'DEQ Pollutant List'!$C$7:$C$611,0)),INDEX('DEQ Pollutant List'!$A$7:$A$611,MATCH($B66,'DEQ Pollutant List'!$B$7:$B$611,0))),"")</f>
        <v>364</v>
      </c>
      <c r="E66" s="101">
        <v>0.999</v>
      </c>
      <c r="F66" s="102">
        <f>6*0.05</f>
        <v>0.30000000000000004</v>
      </c>
      <c r="G66" s="103">
        <f t="shared" si="11"/>
        <v>0.30000000000000004</v>
      </c>
      <c r="H66" s="83" t="s">
        <v>1388</v>
      </c>
      <c r="I66" s="104" t="s">
        <v>1407</v>
      </c>
      <c r="J66" s="102">
        <f>(1-E66)*F66*('2. Emissions Units &amp; Activities'!$H$24)</f>
        <v>7.5060000000000068E-4</v>
      </c>
      <c r="K66" s="105">
        <f t="shared" si="13"/>
        <v>9.3825000000000082E-4</v>
      </c>
      <c r="L66" s="83">
        <f t="shared" si="14"/>
        <v>9.3825000000000082E-4</v>
      </c>
      <c r="M66" s="102">
        <f>(1-E66)*G66*'2. Emissions Units &amp; Activities'!$K$24</f>
        <v>3.0024000000000028E-6</v>
      </c>
      <c r="N66" s="105">
        <f>(1-E66)*G66*'2. Emissions Units &amp; Activities'!$L$24</f>
        <v>3.7530000000000037E-6</v>
      </c>
      <c r="O66" s="83">
        <f>(1-E66)*G66*'2. Emissions Units &amp; Activities'!$M$24</f>
        <v>3.7530000000000037E-6</v>
      </c>
    </row>
    <row r="67" spans="1:15" x14ac:dyDescent="0.2">
      <c r="A67" s="79" t="s">
        <v>1380</v>
      </c>
      <c r="B67" s="100" t="s">
        <v>236</v>
      </c>
      <c r="C67" s="81" t="str">
        <f>IFERROR(IF(B67="No CAS","",INDEX('DEQ Pollutant List'!$C$7:$C$611,MATCH('3. Pollutant Emissions - EF'!B67,'DEQ Pollutant List'!$B$7:$B$611,0))),"")</f>
        <v>Copper and compounds</v>
      </c>
      <c r="D67" s="115">
        <f>IFERROR(IF(OR($B67="",$B67="No CAS"),INDEX('DEQ Pollutant List'!$A$7:$A$611,MATCH($C67,'DEQ Pollutant List'!$C$7:$C$611,0)),INDEX('DEQ Pollutant List'!$A$7:$A$611,MATCH($B67,'DEQ Pollutant List'!$B$7:$B$611,0))),"")</f>
        <v>149</v>
      </c>
      <c r="E67" s="101">
        <v>0.999</v>
      </c>
      <c r="F67" s="102">
        <f>6*0.03</f>
        <v>0.18</v>
      </c>
      <c r="G67" s="103">
        <f t="shared" si="11"/>
        <v>0.18</v>
      </c>
      <c r="H67" s="83" t="s">
        <v>1388</v>
      </c>
      <c r="I67" s="104" t="s">
        <v>1408</v>
      </c>
      <c r="J67" s="102">
        <f>(1-E67)*F67*('2. Emissions Units &amp; Activities'!$H$24)</f>
        <v>4.5036000000000034E-4</v>
      </c>
      <c r="K67" s="105">
        <f t="shared" si="13"/>
        <v>5.6295000000000043E-4</v>
      </c>
      <c r="L67" s="83">
        <f t="shared" ref="L67:L70" si="15">J67*1.25</f>
        <v>5.6295000000000043E-4</v>
      </c>
      <c r="M67" s="102">
        <f>(1-E67)*G67*'2. Emissions Units &amp; Activities'!$K$24</f>
        <v>1.8014400000000013E-6</v>
      </c>
      <c r="N67" s="105">
        <f>(1-E67)*G67*'2. Emissions Units &amp; Activities'!$L$24</f>
        <v>2.2518000000000019E-6</v>
      </c>
      <c r="O67" s="83">
        <f>(1-E67)*G67*'2. Emissions Units &amp; Activities'!$M$24</f>
        <v>2.2518000000000019E-6</v>
      </c>
    </row>
    <row r="68" spans="1:15" x14ac:dyDescent="0.2">
      <c r="A68" s="79" t="s">
        <v>1380</v>
      </c>
      <c r="B68" s="100" t="s">
        <v>234</v>
      </c>
      <c r="C68" s="81" t="str">
        <f>IFERROR(IF(B68="No CAS","",INDEX('DEQ Pollutant List'!$C$7:$C$611,MATCH('3. Pollutant Emissions - EF'!B68,'DEQ Pollutant List'!$B$7:$B$611,0))),"")</f>
        <v>Cobalt and compounds</v>
      </c>
      <c r="D68" s="115">
        <f>IFERROR(IF(OR($B68="",$B68="No CAS"),INDEX('DEQ Pollutant List'!$A$7:$A$611,MATCH($C68,'DEQ Pollutant List'!$C$7:$C$611,0)),INDEX('DEQ Pollutant List'!$A$7:$A$611,MATCH($B68,'DEQ Pollutant List'!$B$7:$B$611,0))),"")</f>
        <v>146</v>
      </c>
      <c r="E68" s="101">
        <v>0.999</v>
      </c>
      <c r="F68" s="102">
        <f>6*0.005</f>
        <v>0.03</v>
      </c>
      <c r="G68" s="103">
        <f t="shared" si="11"/>
        <v>0.03</v>
      </c>
      <c r="H68" s="83" t="s">
        <v>1388</v>
      </c>
      <c r="I68" s="104" t="s">
        <v>1404</v>
      </c>
      <c r="J68" s="102">
        <f>(1-E68)*F68*('2. Emissions Units &amp; Activities'!$H$24)</f>
        <v>7.5060000000000057E-5</v>
      </c>
      <c r="K68" s="105">
        <f t="shared" si="13"/>
        <v>9.3825000000000072E-5</v>
      </c>
      <c r="L68" s="83">
        <f t="shared" si="15"/>
        <v>9.3825000000000072E-5</v>
      </c>
      <c r="M68" s="102">
        <f>(1-E68)*G68*'2. Emissions Units &amp; Activities'!$K$24</f>
        <v>3.0024000000000021E-7</v>
      </c>
      <c r="N68" s="105">
        <f>(1-E68)*G68*'2. Emissions Units &amp; Activities'!$L$24</f>
        <v>3.753000000000003E-7</v>
      </c>
      <c r="O68" s="83">
        <f>(1-E68)*G68*'2. Emissions Units &amp; Activities'!$M$24</f>
        <v>3.753000000000003E-7</v>
      </c>
    </row>
    <row r="69" spans="1:15" x14ac:dyDescent="0.2">
      <c r="A69" s="79" t="s">
        <v>1380</v>
      </c>
      <c r="B69" s="100" t="s">
        <v>518</v>
      </c>
      <c r="C69" s="81" t="str">
        <f>IFERROR(IF(B69="No CAS","",INDEX('DEQ Pollutant List'!$C$7:$C$611,MATCH('3. Pollutant Emissions - EF'!B69,'DEQ Pollutant List'!$B$7:$B$611,0))),"")</f>
        <v>Manganese and compounds</v>
      </c>
      <c r="D69" s="115">
        <f>IFERROR(IF(OR($B69="",$B69="No CAS"),INDEX('DEQ Pollutant List'!$A$7:$A$611,MATCH($C69,'DEQ Pollutant List'!$C$7:$C$611,0)),INDEX('DEQ Pollutant List'!$A$7:$A$611,MATCH($B69,'DEQ Pollutant List'!$B$7:$B$611,0))),"")</f>
        <v>312</v>
      </c>
      <c r="E69" s="101">
        <v>0.999</v>
      </c>
      <c r="F69" s="102">
        <f>6*0.025</f>
        <v>0.15000000000000002</v>
      </c>
      <c r="G69" s="103">
        <f t="shared" si="11"/>
        <v>0.15000000000000002</v>
      </c>
      <c r="H69" s="83" t="s">
        <v>1388</v>
      </c>
      <c r="I69" s="104" t="s">
        <v>1405</v>
      </c>
      <c r="J69" s="102">
        <f>(1-E69)*F69*('2. Emissions Units &amp; Activities'!$H$24)</f>
        <v>3.7530000000000034E-4</v>
      </c>
      <c r="K69" s="105">
        <f t="shared" si="13"/>
        <v>4.6912500000000041E-4</v>
      </c>
      <c r="L69" s="83">
        <f t="shared" si="15"/>
        <v>4.6912500000000041E-4</v>
      </c>
      <c r="M69" s="102">
        <f>(1-E69)*G69*'2. Emissions Units &amp; Activities'!$K$24</f>
        <v>1.5012000000000014E-6</v>
      </c>
      <c r="N69" s="105">
        <f>(1-E69)*G69*'2. Emissions Units &amp; Activities'!$L$24</f>
        <v>1.8765000000000019E-6</v>
      </c>
      <c r="O69" s="83">
        <f>(1-E69)*G69*'2. Emissions Units &amp; Activities'!$M$24</f>
        <v>1.8765000000000019E-6</v>
      </c>
    </row>
    <row r="70" spans="1:15" x14ac:dyDescent="0.2">
      <c r="A70" s="79" t="s">
        <v>1380</v>
      </c>
      <c r="B70" s="100" t="s">
        <v>40</v>
      </c>
      <c r="C70" s="81" t="str">
        <f>IFERROR(IF(B70="No CAS","",INDEX('DEQ Pollutant List'!$C$7:$C$611,MATCH('3. Pollutant Emissions - EF'!B70,'DEQ Pollutant List'!$B$7:$B$611,0))),"")</f>
        <v>Aluminum and compounds</v>
      </c>
      <c r="D70" s="115">
        <f>IFERROR(IF(OR($B70="",$B70="No CAS"),INDEX('DEQ Pollutant List'!$A$7:$A$611,MATCH($C70,'DEQ Pollutant List'!$C$7:$C$611,0)),INDEX('DEQ Pollutant List'!$A$7:$A$611,MATCH($B70,'DEQ Pollutant List'!$B$7:$B$611,0))),"")</f>
        <v>13</v>
      </c>
      <c r="E70" s="101">
        <v>0.999</v>
      </c>
      <c r="F70" s="102">
        <f>6*0.01</f>
        <v>0.06</v>
      </c>
      <c r="G70" s="103">
        <f t="shared" si="11"/>
        <v>0.06</v>
      </c>
      <c r="H70" s="83" t="s">
        <v>1388</v>
      </c>
      <c r="I70" s="104" t="s">
        <v>1403</v>
      </c>
      <c r="J70" s="102">
        <f>(1-E70)*F70*('2. Emissions Units &amp; Activities'!$H$24)</f>
        <v>1.5012000000000011E-4</v>
      </c>
      <c r="K70" s="105">
        <f t="shared" si="13"/>
        <v>1.8765000000000014E-4</v>
      </c>
      <c r="L70" s="83">
        <f t="shared" si="15"/>
        <v>1.8765000000000014E-4</v>
      </c>
      <c r="M70" s="102">
        <f>(1-E70)*G70*'2. Emissions Units &amp; Activities'!$K$24</f>
        <v>6.0048000000000041E-7</v>
      </c>
      <c r="N70" s="105">
        <f>(1-E70)*G70*'2. Emissions Units &amp; Activities'!$L$24</f>
        <v>7.5060000000000059E-7</v>
      </c>
      <c r="O70" s="83">
        <f>(1-E70)*G70*'2. Emissions Units &amp; Activities'!$M$24</f>
        <v>7.5060000000000059E-7</v>
      </c>
    </row>
    <row r="71" spans="1:15" x14ac:dyDescent="0.2">
      <c r="A71" s="79"/>
      <c r="B71" s="100"/>
      <c r="C71" s="81"/>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2">
      <c r="A72" s="79"/>
      <c r="B72" s="100"/>
      <c r="C72" s="81"/>
      <c r="D72" s="115" t="str">
        <f>IFERROR(IF(OR($B72="",$B72="No CAS"),INDEX('DEQ Pollutant List'!$A$7:$A$611,MATCH($C72,'DEQ Pollutant List'!$C$7:$C$611,0)),INDEX('DEQ Pollutant List'!$A$7:$A$611,MATCH($B72,'DEQ Pollutant List'!$B$7:$B$611,0))),"")</f>
        <v/>
      </c>
      <c r="E72" s="101"/>
      <c r="F72" s="102"/>
      <c r="G72" s="103"/>
      <c r="H72" s="83"/>
      <c r="I72" s="104" t="s">
        <v>1444</v>
      </c>
      <c r="J72" s="102"/>
      <c r="K72" s="105"/>
      <c r="L72" s="83"/>
      <c r="M72" s="102"/>
      <c r="N72" s="105"/>
      <c r="O72" s="83"/>
    </row>
    <row r="73" spans="1:15" x14ac:dyDescent="0.2">
      <c r="A73" s="79" t="s">
        <v>1438</v>
      </c>
      <c r="B73" s="100" t="s">
        <v>949</v>
      </c>
      <c r="C73" s="81" t="str">
        <f>IFERROR(IF(B73="No CAS","",INDEX('DEQ Pollutant List'!$C$7:$C$611,MATCH('3. Pollutant Emissions - EF'!B73,'DEQ Pollutant List'!$B$7:$B$611,0))),"")</f>
        <v>Silica, crystalline (respirable)</v>
      </c>
      <c r="D73" s="115">
        <f>IFERROR(IF(OR($B73="",$B73="No CAS"),INDEX('DEQ Pollutant List'!$A$7:$A$611,MATCH($C73,'DEQ Pollutant List'!$C$7:$C$611,0)),INDEX('DEQ Pollutant List'!$A$7:$A$611,MATCH($B73,'DEQ Pollutant List'!$B$7:$B$611,0))),"")</f>
        <v>579</v>
      </c>
      <c r="E73" s="101">
        <v>0.999</v>
      </c>
      <c r="F73" s="102">
        <f>79.3*0.16</f>
        <v>12.688000000000001</v>
      </c>
      <c r="G73" s="103">
        <f t="shared" si="11"/>
        <v>12.688000000000001</v>
      </c>
      <c r="H73" s="83" t="s">
        <v>1388</v>
      </c>
      <c r="I73" s="104" t="s">
        <v>1441</v>
      </c>
      <c r="J73" s="102">
        <f>(1-E73)*F73*('2. Emissions Units &amp; Activities'!$H$30)</f>
        <v>4.3628322400000044E-2</v>
      </c>
      <c r="K73" s="105">
        <f t="shared" ref="K73:K75" si="16">L73</f>
        <v>5.4535403000000052E-2</v>
      </c>
      <c r="L73" s="83">
        <f t="shared" ref="L73:L75" si="17">J73*1.25</f>
        <v>5.4535403000000052E-2</v>
      </c>
      <c r="M73" s="102">
        <f>(1-E73)*G73*'2. Emissions Units &amp; Activities'!$K$26</f>
        <v>2.9887421408000023E-2</v>
      </c>
      <c r="N73" s="105">
        <f>(1-E73)*G73*'2. Emissions Units &amp; Activities'!$L$26</f>
        <v>3.7359276760000025E-2</v>
      </c>
      <c r="O73" s="83">
        <f>(1-E73)*G73*'2. Emissions Units &amp; Activities'!$M$26</f>
        <v>3.7359276760000025E-2</v>
      </c>
    </row>
    <row r="74" spans="1:15" x14ac:dyDescent="0.2">
      <c r="A74" s="79" t="s">
        <v>1438</v>
      </c>
      <c r="B74" s="100" t="s">
        <v>234</v>
      </c>
      <c r="C74" s="81" t="str">
        <f>IFERROR(IF(B74="No CAS","",INDEX('DEQ Pollutant List'!$C$7:$C$611,MATCH('3. Pollutant Emissions - EF'!B74,'DEQ Pollutant List'!$B$7:$B$611,0))),"")</f>
        <v>Cobalt and compounds</v>
      </c>
      <c r="D74" s="115">
        <f>IFERROR(IF(OR($B74="",$B74="No CAS"),INDEX('DEQ Pollutant List'!$A$7:$A$611,MATCH($C74,'DEQ Pollutant List'!$C$7:$C$611,0)),INDEX('DEQ Pollutant List'!$A$7:$A$611,MATCH($B74,'DEQ Pollutant List'!$B$7:$B$611,0))),"")</f>
        <v>146</v>
      </c>
      <c r="E74" s="101">
        <v>0.999</v>
      </c>
      <c r="F74" s="102">
        <f>79.3*0.00086</f>
        <v>6.8197999999999995E-2</v>
      </c>
      <c r="G74" s="103">
        <f t="shared" si="11"/>
        <v>6.8197999999999995E-2</v>
      </c>
      <c r="H74" s="83" t="s">
        <v>1388</v>
      </c>
      <c r="I74" s="104" t="s">
        <v>1443</v>
      </c>
      <c r="J74" s="102">
        <f>(1-E74)*F74*('2. Emissions Units &amp; Activities'!$H$30)</f>
        <v>2.3450223290000019E-4</v>
      </c>
      <c r="K74" s="105">
        <f t="shared" si="16"/>
        <v>2.9312779112500021E-4</v>
      </c>
      <c r="L74" s="83">
        <f t="shared" si="17"/>
        <v>2.9312779112500021E-4</v>
      </c>
      <c r="M74" s="102">
        <f>(1-E74)*G74*'2. Emissions Units &amp; Activities'!$K$26</f>
        <v>1.6064489006800011E-4</v>
      </c>
      <c r="N74" s="105">
        <f>(1-E74)*G74*'2. Emissions Units &amp; Activities'!$L$26</f>
        <v>2.0080611258500012E-4</v>
      </c>
      <c r="O74" s="83">
        <f>(1-E74)*G74*'2. Emissions Units &amp; Activities'!$M$26</f>
        <v>2.0080611258500012E-4</v>
      </c>
    </row>
    <row r="75" spans="1:15" x14ac:dyDescent="0.2">
      <c r="A75" s="79" t="s">
        <v>1438</v>
      </c>
      <c r="B75" s="100" t="s">
        <v>135</v>
      </c>
      <c r="C75" s="81" t="str">
        <f>IFERROR(IF(B75="No CAS","",INDEX('DEQ Pollutant List'!$C$7:$C$611,MATCH('3. Pollutant Emissions - EF'!B75,'DEQ Pollutant List'!$B$7:$B$611,0))),"")</f>
        <v>1,3-Butadiene</v>
      </c>
      <c r="D75" s="115">
        <f>IFERROR(IF(OR($B75="",$B75="No CAS"),INDEX('DEQ Pollutant List'!$A$7:$A$611,MATCH($C75,'DEQ Pollutant List'!$C$7:$C$611,0)),INDEX('DEQ Pollutant List'!$A$7:$A$611,MATCH($B75,'DEQ Pollutant List'!$B$7:$B$611,0))),"")</f>
        <v>75</v>
      </c>
      <c r="E75" s="101">
        <v>0.999</v>
      </c>
      <c r="F75" s="102">
        <f>79.3*0.000032</f>
        <v>2.5375999999999997E-3</v>
      </c>
      <c r="G75" s="103">
        <f t="shared" si="11"/>
        <v>2.5375999999999997E-3</v>
      </c>
      <c r="H75" s="83" t="s">
        <v>1388</v>
      </c>
      <c r="I75" s="104" t="s">
        <v>1442</v>
      </c>
      <c r="J75" s="102">
        <f>(1-E75)*F75*('2. Emissions Units &amp; Activities'!$H$30)</f>
        <v>8.7256644800000068E-6</v>
      </c>
      <c r="K75" s="105">
        <f t="shared" si="16"/>
        <v>1.0907080600000008E-5</v>
      </c>
      <c r="L75" s="83">
        <f t="shared" si="17"/>
        <v>1.0907080600000008E-5</v>
      </c>
      <c r="M75" s="102">
        <f>(1-E75)*G75*'2. Emissions Units &amp; Activities'!$K$26</f>
        <v>5.9774842816000034E-6</v>
      </c>
      <c r="N75" s="105">
        <f>(1-E75)*G75*'2. Emissions Units &amp; Activities'!$L$26</f>
        <v>7.4718553520000036E-6</v>
      </c>
      <c r="O75" s="83">
        <f>(1-E75)*G75*'2. Emissions Units &amp; Activities'!$M$26</f>
        <v>7.4718553520000036E-6</v>
      </c>
    </row>
    <row r="76" spans="1:15" x14ac:dyDescent="0.2">
      <c r="A76" s="79"/>
      <c r="B76" s="100"/>
      <c r="C76" s="81"/>
      <c r="D76" s="115" t="str">
        <f>IFERROR(IF(OR($B76="",$B76="No CAS"),INDEX('DEQ Pollutant List'!$A$7:$A$611,MATCH($C76,'DEQ Pollutant List'!$C$7:$C$611,0)),INDEX('DEQ Pollutant List'!$A$7:$A$611,MATCH($B76,'DEQ Pollutant List'!$B$7:$B$611,0))),"")</f>
        <v/>
      </c>
      <c r="E76" s="101"/>
      <c r="F76" s="102"/>
      <c r="G76" s="103"/>
      <c r="H76" s="83"/>
      <c r="I76" s="104"/>
      <c r="J76" s="102"/>
      <c r="K76" s="105"/>
      <c r="L76" s="83"/>
      <c r="M76" s="102"/>
      <c r="N76" s="105"/>
      <c r="O76" s="83"/>
    </row>
    <row r="77" spans="1:15" x14ac:dyDescent="0.2">
      <c r="A77" s="79"/>
      <c r="B77" s="100"/>
      <c r="C77" s="81"/>
      <c r="D77" s="115" t="str">
        <f>IFERROR(IF(OR($B77="",$B77="No CAS"),INDEX('DEQ Pollutant List'!$A$7:$A$611,MATCH($C77,'DEQ Pollutant List'!$C$7:$C$611,0)),INDEX('DEQ Pollutant List'!$A$7:$A$611,MATCH($B77,'DEQ Pollutant List'!$B$7:$B$611,0))),"")</f>
        <v/>
      </c>
      <c r="E77" s="101"/>
      <c r="F77" s="102"/>
      <c r="G77" s="103"/>
      <c r="H77" s="83"/>
      <c r="I77" s="104" t="s">
        <v>1472</v>
      </c>
      <c r="J77" s="102"/>
      <c r="K77" s="105"/>
      <c r="L77" s="83"/>
      <c r="M77" s="102"/>
      <c r="N77" s="105"/>
      <c r="O77" s="83"/>
    </row>
    <row r="78" spans="1:15" x14ac:dyDescent="0.2">
      <c r="A78" s="79" t="s">
        <v>1463</v>
      </c>
      <c r="B78" s="100" t="s">
        <v>234</v>
      </c>
      <c r="C78" s="81" t="str">
        <f>IFERROR(IF(B78="No CAS","",INDEX('DEQ Pollutant List'!$C$7:$C$611,MATCH('3. Pollutant Emissions - EF'!B78,'DEQ Pollutant List'!$B$7:$B$611,0))),"")</f>
        <v>Cobalt and compounds</v>
      </c>
      <c r="D78" s="115">
        <f>IFERROR(IF(OR($B78="",$B78="No CAS"),INDEX('DEQ Pollutant List'!$A$7:$A$611,MATCH($C78,'DEQ Pollutant List'!$C$7:$C$611,0)),INDEX('DEQ Pollutant List'!$A$7:$A$611,MATCH($B78,'DEQ Pollutant List'!$B$7:$B$611,0))),"")</f>
        <v>146</v>
      </c>
      <c r="E78" s="101">
        <v>0.999</v>
      </c>
      <c r="F78" s="102">
        <f>15.2*0.655</f>
        <v>9.9559999999999995</v>
      </c>
      <c r="G78" s="103">
        <f t="shared" si="11"/>
        <v>9.9559999999999995</v>
      </c>
      <c r="H78" s="83" t="s">
        <v>1388</v>
      </c>
      <c r="I78" s="104" t="s">
        <v>1476</v>
      </c>
      <c r="J78" s="102">
        <f>(1-E78)*F78*'2. Emissions Units &amp; Activities'!$H$28*('2. Emissions Units &amp; Activities'!$H$23)/('2. Emissions Units &amp; Activities'!$H$26)</f>
        <v>1.2953726631626445</v>
      </c>
      <c r="K78" s="105">
        <f t="shared" ref="K78:K83" si="18">L78</f>
        <v>1.6192158289533056</v>
      </c>
      <c r="L78" s="83">
        <f t="shared" ref="L78:L83" si="19">J78*1.25</f>
        <v>1.6192158289533056</v>
      </c>
      <c r="M78" s="102">
        <f>(1-E78)*G78*'2. Emissions Units &amp; Activities'!$K$28</f>
        <v>5.2035989776000047E-3</v>
      </c>
      <c r="N78" s="105">
        <f>(1-E78)*G78*'2. Emissions Units &amp; Activities'!$L$28</f>
        <v>6.504498722000005E-3</v>
      </c>
      <c r="O78" s="83">
        <f>(1-E78)*G78*'2. Emissions Units &amp; Activities'!$M$28</f>
        <v>6.504498722000005E-3</v>
      </c>
    </row>
    <row r="79" spans="1:15" x14ac:dyDescent="0.2">
      <c r="A79" s="79" t="s">
        <v>1463</v>
      </c>
      <c r="B79" s="100" t="s">
        <v>583</v>
      </c>
      <c r="C79" s="81" t="str">
        <f>IFERROR(IF(B79="No CAS","",INDEX('DEQ Pollutant List'!$C$7:$C$611,MATCH('3. Pollutant Emissions - EF'!B79,'DEQ Pollutant List'!$B$7:$B$611,0))),"")</f>
        <v>Nickel and compounds</v>
      </c>
      <c r="D79" s="115">
        <f>IFERROR(IF(OR($B79="",$B79="No CAS"),INDEX('DEQ Pollutant List'!$A$7:$A$611,MATCH($C79,'DEQ Pollutant List'!$C$7:$C$611,0)),INDEX('DEQ Pollutant List'!$A$7:$A$611,MATCH($B79,'DEQ Pollutant List'!$B$7:$B$611,0))),"")</f>
        <v>364</v>
      </c>
      <c r="E79" s="101">
        <v>0.999</v>
      </c>
      <c r="F79" s="102">
        <f>15.2*0.05</f>
        <v>0.76</v>
      </c>
      <c r="G79" s="103">
        <f t="shared" si="11"/>
        <v>0.76</v>
      </c>
      <c r="H79" s="83" t="s">
        <v>1388</v>
      </c>
      <c r="I79" s="104" t="s">
        <v>1477</v>
      </c>
      <c r="J79" s="102">
        <f>(1-E79)*F79*'2. Emissions Units &amp; Activities'!$H$28*('2. Emissions Units &amp; Activities'!$H$24)/('2. Emissions Units &amp; Activities'!$H$26)</f>
        <v>4.219145982714986E-4</v>
      </c>
      <c r="K79" s="105">
        <f t="shared" si="18"/>
        <v>5.2739324783937329E-4</v>
      </c>
      <c r="L79" s="83">
        <f t="shared" si="19"/>
        <v>5.2739324783937329E-4</v>
      </c>
      <c r="M79" s="102">
        <f>(1-E79)*G79*'2. Emissions Units &amp; Activities'!$K$28</f>
        <v>3.9722129600000035E-4</v>
      </c>
      <c r="N79" s="105">
        <f>(1-E79)*G79*'2. Emissions Units &amp; Activities'!$L$28</f>
        <v>4.9652662000000041E-4</v>
      </c>
      <c r="O79" s="83">
        <f>(1-E79)*G79*'2. Emissions Units &amp; Activities'!$M$28</f>
        <v>4.9652662000000041E-4</v>
      </c>
    </row>
    <row r="80" spans="1:15" x14ac:dyDescent="0.2">
      <c r="A80" s="79" t="s">
        <v>1463</v>
      </c>
      <c r="B80" s="100" t="s">
        <v>236</v>
      </c>
      <c r="C80" s="81" t="str">
        <f>IFERROR(IF(B80="No CAS","",INDEX('DEQ Pollutant List'!$C$7:$C$611,MATCH('3. Pollutant Emissions - EF'!B80,'DEQ Pollutant List'!$B$7:$B$611,0))),"")</f>
        <v>Copper and compounds</v>
      </c>
      <c r="D80" s="115">
        <f>IFERROR(IF(OR($B80="",$B80="No CAS"),INDEX('DEQ Pollutant List'!$A$7:$A$611,MATCH($C80,'DEQ Pollutant List'!$C$7:$C$611,0)),INDEX('DEQ Pollutant List'!$A$7:$A$611,MATCH($B80,'DEQ Pollutant List'!$B$7:$B$611,0))),"")</f>
        <v>149</v>
      </c>
      <c r="E80" s="101">
        <v>0.999</v>
      </c>
      <c r="F80" s="102">
        <f>15.2*0.03</f>
        <v>0.45599999999999996</v>
      </c>
      <c r="G80" s="103">
        <f t="shared" si="11"/>
        <v>0.45599999999999996</v>
      </c>
      <c r="H80" s="83" t="s">
        <v>1388</v>
      </c>
      <c r="I80" s="104" t="s">
        <v>1478</v>
      </c>
      <c r="J80" s="102">
        <f>(1-E80)*F80*'2. Emissions Units &amp; Activities'!$H$28*('2. Emissions Units &amp; Activities'!$H$24)/('2. Emissions Units &amp; Activities'!$H$26)</f>
        <v>2.5314875896289912E-4</v>
      </c>
      <c r="K80" s="105">
        <f t="shared" si="18"/>
        <v>3.1643594870362391E-4</v>
      </c>
      <c r="L80" s="83">
        <f t="shared" si="19"/>
        <v>3.1643594870362391E-4</v>
      </c>
      <c r="M80" s="102">
        <f>(1-E80)*G80*'2. Emissions Units &amp; Activities'!$K$28</f>
        <v>2.3833277760000019E-4</v>
      </c>
      <c r="N80" s="105">
        <f>(1-E80)*G80*'2. Emissions Units &amp; Activities'!$L$28</f>
        <v>2.9791597200000023E-4</v>
      </c>
      <c r="O80" s="83">
        <f>(1-E80)*G80*'2. Emissions Units &amp; Activities'!$M$28</f>
        <v>2.9791597200000023E-4</v>
      </c>
    </row>
    <row r="81" spans="1:15" x14ac:dyDescent="0.2">
      <c r="A81" s="79" t="s">
        <v>1463</v>
      </c>
      <c r="B81" s="100" t="s">
        <v>234</v>
      </c>
      <c r="C81" s="81" t="str">
        <f>IFERROR(IF(B81="No CAS","",INDEX('DEQ Pollutant List'!$C$7:$C$611,MATCH('3. Pollutant Emissions - EF'!B81,'DEQ Pollutant List'!$B$7:$B$611,0))),"")</f>
        <v>Cobalt and compounds</v>
      </c>
      <c r="D81" s="115">
        <f>IFERROR(IF(OR($B81="",$B81="No CAS"),INDEX('DEQ Pollutant List'!$A$7:$A$611,MATCH($C81,'DEQ Pollutant List'!$C$7:$C$611,0)),INDEX('DEQ Pollutant List'!$A$7:$A$611,MATCH($B81,'DEQ Pollutant List'!$B$7:$B$611,0))),"")</f>
        <v>146</v>
      </c>
      <c r="E81" s="101">
        <v>0.999</v>
      </c>
      <c r="F81" s="102">
        <f>15.2*0.005</f>
        <v>7.5999999999999998E-2</v>
      </c>
      <c r="G81" s="103">
        <f t="shared" si="11"/>
        <v>7.5999999999999998E-2</v>
      </c>
      <c r="H81" s="83" t="s">
        <v>1388</v>
      </c>
      <c r="I81" s="104" t="s">
        <v>1479</v>
      </c>
      <c r="J81" s="102">
        <f>(1-E81)*F81*'2. Emissions Units &amp; Activities'!$H$28*('2. Emissions Units &amp; Activities'!$H$24)/('2. Emissions Units &amp; Activities'!$H$26)</f>
        <v>4.2191459827149864E-5</v>
      </c>
      <c r="K81" s="105">
        <f t="shared" si="18"/>
        <v>5.2739324783937332E-5</v>
      </c>
      <c r="L81" s="83">
        <f t="shared" si="19"/>
        <v>5.2739324783937332E-5</v>
      </c>
      <c r="M81" s="102">
        <f>(1-E81)*G81*'2. Emissions Units &amp; Activities'!$K$28</f>
        <v>3.972212960000004E-5</v>
      </c>
      <c r="N81" s="105">
        <f>(1-E81)*G81*'2. Emissions Units &amp; Activities'!$L$28</f>
        <v>4.9652662000000043E-5</v>
      </c>
      <c r="O81" s="83">
        <f>(1-E81)*G81*'2. Emissions Units &amp; Activities'!$M$28</f>
        <v>4.9652662000000043E-5</v>
      </c>
    </row>
    <row r="82" spans="1:15" x14ac:dyDescent="0.2">
      <c r="A82" s="79" t="s">
        <v>1463</v>
      </c>
      <c r="B82" s="100" t="s">
        <v>518</v>
      </c>
      <c r="C82" s="81" t="str">
        <f>IFERROR(IF(B82="No CAS","",INDEX('DEQ Pollutant List'!$C$7:$C$611,MATCH('3. Pollutant Emissions - EF'!B82,'DEQ Pollutant List'!$B$7:$B$611,0))),"")</f>
        <v>Manganese and compounds</v>
      </c>
      <c r="D82" s="115">
        <f>IFERROR(IF(OR($B82="",$B82="No CAS"),INDEX('DEQ Pollutant List'!$A$7:$A$611,MATCH($C82,'DEQ Pollutant List'!$C$7:$C$611,0)),INDEX('DEQ Pollutant List'!$A$7:$A$611,MATCH($B82,'DEQ Pollutant List'!$B$7:$B$611,0))),"")</f>
        <v>312</v>
      </c>
      <c r="E82" s="101">
        <v>0.999</v>
      </c>
      <c r="F82" s="197">
        <f>15.2*0.025</f>
        <v>0.38</v>
      </c>
      <c r="G82" s="103">
        <f t="shared" si="11"/>
        <v>0.38</v>
      </c>
      <c r="H82" s="83" t="s">
        <v>1388</v>
      </c>
      <c r="I82" s="104" t="s">
        <v>1480</v>
      </c>
      <c r="J82" s="102">
        <f>(1-E82)*F82*'2. Emissions Units &amp; Activities'!$H$28*('2. Emissions Units &amp; Activities'!$H$24)/('2. Emissions Units &amp; Activities'!$H$26)</f>
        <v>2.109572991357493E-4</v>
      </c>
      <c r="K82" s="105">
        <f t="shared" si="18"/>
        <v>2.6369662391968664E-4</v>
      </c>
      <c r="L82" s="83">
        <f t="shared" si="19"/>
        <v>2.6369662391968664E-4</v>
      </c>
      <c r="M82" s="102">
        <f>(1-E82)*G82*'2. Emissions Units &amp; Activities'!$K$28</f>
        <v>1.9861064800000017E-4</v>
      </c>
      <c r="N82" s="105">
        <f>(1-E82)*G82*'2. Emissions Units &amp; Activities'!$L$28</f>
        <v>2.482633100000002E-4</v>
      </c>
      <c r="O82" s="83">
        <f>(1-E82)*G82*'2. Emissions Units &amp; Activities'!$M$28</f>
        <v>2.482633100000002E-4</v>
      </c>
    </row>
    <row r="83" spans="1:15" x14ac:dyDescent="0.2">
      <c r="A83" s="79" t="s">
        <v>1463</v>
      </c>
      <c r="B83" s="100" t="s">
        <v>40</v>
      </c>
      <c r="C83" s="81" t="str">
        <f>IFERROR(IF(B83="No CAS","",INDEX('DEQ Pollutant List'!$C$7:$C$611,MATCH('3. Pollutant Emissions - EF'!B83,'DEQ Pollutant List'!$B$7:$B$611,0))),"")</f>
        <v>Aluminum and compounds</v>
      </c>
      <c r="D83" s="115">
        <f>IFERROR(IF(OR($B83="",$B83="No CAS"),INDEX('DEQ Pollutant List'!$A$7:$A$611,MATCH($C83,'DEQ Pollutant List'!$C$7:$C$611,0)),INDEX('DEQ Pollutant List'!$A$7:$A$611,MATCH($B83,'DEQ Pollutant List'!$B$7:$B$611,0))),"")</f>
        <v>13</v>
      </c>
      <c r="E83" s="101">
        <v>0.999</v>
      </c>
      <c r="F83" s="102">
        <f>15.2*0.01</f>
        <v>0.152</v>
      </c>
      <c r="G83" s="103">
        <f t="shared" si="11"/>
        <v>0.152</v>
      </c>
      <c r="H83" s="83" t="s">
        <v>1388</v>
      </c>
      <c r="I83" s="104" t="s">
        <v>1481</v>
      </c>
      <c r="J83" s="102">
        <f>(1-E83)*F83*'2. Emissions Units &amp; Activities'!$H$28*('2. Emissions Units &amp; Activities'!$H$24)/('2. Emissions Units &amp; Activities'!$H$26)</f>
        <v>8.4382919654299728E-5</v>
      </c>
      <c r="K83" s="105">
        <f t="shared" si="18"/>
        <v>1.0547864956787466E-4</v>
      </c>
      <c r="L83" s="83">
        <f t="shared" si="19"/>
        <v>1.0547864956787466E-4</v>
      </c>
      <c r="M83" s="102">
        <f>(1-E83)*G83*'2. Emissions Units &amp; Activities'!$K$28</f>
        <v>7.944425920000008E-5</v>
      </c>
      <c r="N83" s="105">
        <f>(1-E83)*G83*'2. Emissions Units &amp; Activities'!$L$28</f>
        <v>9.9305324000000086E-5</v>
      </c>
      <c r="O83" s="83">
        <f>(1-E83)*G83*'2. Emissions Units &amp; Activities'!$M$28</f>
        <v>9.9305324000000086E-5</v>
      </c>
    </row>
    <row r="84" spans="1:15" x14ac:dyDescent="0.2">
      <c r="A84" s="79"/>
      <c r="B84" s="100"/>
      <c r="C84" s="81"/>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
      <c r="A85" s="79"/>
      <c r="B85" s="100"/>
      <c r="C85" s="81"/>
      <c r="D85" s="115" t="str">
        <f>IFERROR(IF(OR($B85="",$B85="No CAS"),INDEX('DEQ Pollutant List'!$A$7:$A$611,MATCH($C85,'DEQ Pollutant List'!$C$7:$C$611,0)),INDEX('DEQ Pollutant List'!$A$7:$A$611,MATCH($B85,'DEQ Pollutant List'!$B$7:$B$611,0))),"")</f>
        <v/>
      </c>
      <c r="E85" s="101"/>
      <c r="F85" s="102"/>
      <c r="G85" s="103"/>
      <c r="H85" s="83"/>
      <c r="I85" s="104" t="s">
        <v>1473</v>
      </c>
      <c r="J85" s="102"/>
      <c r="K85" s="105"/>
      <c r="L85" s="83"/>
      <c r="M85" s="102"/>
      <c r="N85" s="105"/>
      <c r="O85" s="83"/>
    </row>
    <row r="86" spans="1:15" x14ac:dyDescent="0.2">
      <c r="A86" s="79" t="s">
        <v>1464</v>
      </c>
      <c r="B86" s="100" t="s">
        <v>234</v>
      </c>
      <c r="C86" s="81" t="str">
        <f>IFERROR(IF(B86="No CAS","",INDEX('DEQ Pollutant List'!$C$7:$C$611,MATCH('3. Pollutant Emissions - EF'!B86,'DEQ Pollutant List'!$B$7:$B$611,0))),"")</f>
        <v>Cobalt and compounds</v>
      </c>
      <c r="D86" s="115">
        <f>IFERROR(IF(OR($B86="",$B86="No CAS"),INDEX('DEQ Pollutant List'!$A$7:$A$611,MATCH($C86,'DEQ Pollutant List'!$C$7:$C$611,0)),INDEX('DEQ Pollutant List'!$A$7:$A$611,MATCH($B86,'DEQ Pollutant List'!$B$7:$B$611,0))),"")</f>
        <v>146</v>
      </c>
      <c r="E86" s="101">
        <v>0.999</v>
      </c>
      <c r="F86" s="102">
        <f>0.4*0.655</f>
        <v>0.26200000000000001</v>
      </c>
      <c r="G86" s="103">
        <f t="shared" si="11"/>
        <v>0.26200000000000001</v>
      </c>
      <c r="H86" s="83" t="s">
        <v>1388</v>
      </c>
      <c r="I86" s="104" t="s">
        <v>1475</v>
      </c>
      <c r="J86" s="102">
        <f>(1-E86)*F86*'2. Emissions Units &amp; Activities'!$H$29*('2. Emissions Units &amp; Activities'!$H$23)/('2. Emissions Units &amp; Activities'!$H$26)</f>
        <v>8.9707248141457385E-4</v>
      </c>
      <c r="K86" s="105">
        <f t="shared" ref="K86:K91" si="20">L86</f>
        <v>1.1213406017682173E-3</v>
      </c>
      <c r="L86" s="83">
        <f t="shared" ref="L86:L91" si="21">J86*1.25</f>
        <v>1.1213406017682173E-3</v>
      </c>
      <c r="M86" s="102">
        <f>(1-E86)*G86*'2. Emissions Units &amp; Activities'!$K$29</f>
        <v>3.6036004000000037E-6</v>
      </c>
      <c r="N86" s="105">
        <f>(1-E86)*G86*'2. Emissions Units &amp; Activities'!$L$29</f>
        <v>4.5045005000000037E-6</v>
      </c>
      <c r="O86" s="83">
        <f>(1-E86)*G86*'2. Emissions Units &amp; Activities'!$M$29</f>
        <v>4.5045005000000037E-6</v>
      </c>
    </row>
    <row r="87" spans="1:15" x14ac:dyDescent="0.2">
      <c r="A87" s="79" t="s">
        <v>1464</v>
      </c>
      <c r="B87" s="100" t="s">
        <v>583</v>
      </c>
      <c r="C87" s="81" t="str">
        <f>IFERROR(IF(B87="No CAS","",INDEX('DEQ Pollutant List'!$C$7:$C$611,MATCH('3. Pollutant Emissions - EF'!B87,'DEQ Pollutant List'!$B$7:$B$611,0))),"")</f>
        <v>Nickel and compounds</v>
      </c>
      <c r="D87" s="115">
        <f>IFERROR(IF(OR($B87="",$B87="No CAS"),INDEX('DEQ Pollutant List'!$A$7:$A$611,MATCH($C87,'DEQ Pollutant List'!$C$7:$C$611,0)),INDEX('DEQ Pollutant List'!$A$7:$A$611,MATCH($B87,'DEQ Pollutant List'!$B$7:$B$611,0))),"")</f>
        <v>364</v>
      </c>
      <c r="E87" s="101">
        <v>0.999</v>
      </c>
      <c r="F87" s="102">
        <f>0.4*0.05</f>
        <v>2.0000000000000004E-2</v>
      </c>
      <c r="G87" s="103">
        <f t="shared" si="11"/>
        <v>2.0000000000000004E-2</v>
      </c>
      <c r="H87" s="83" t="s">
        <v>1388</v>
      </c>
      <c r="I87" s="104" t="s">
        <v>1482</v>
      </c>
      <c r="J87" s="102">
        <f>(1-E87)*F87*'2. Emissions Units &amp; Activities'!$H$29*('2. Emissions Units &amp; Activities'!$H$24)/('2. Emissions Units &amp; Activities'!$H$26)</f>
        <v>2.9218462484175811E-7</v>
      </c>
      <c r="K87" s="105">
        <f t="shared" si="20"/>
        <v>3.6523078105219763E-7</v>
      </c>
      <c r="L87" s="83">
        <f t="shared" si="21"/>
        <v>3.6523078105219763E-7</v>
      </c>
      <c r="M87" s="102">
        <f>(1-E87)*G87*'2. Emissions Units &amp; Activities'!$K$29</f>
        <v>2.7508400000000032E-7</v>
      </c>
      <c r="N87" s="105">
        <f>(1-E87)*G87*'2. Emissions Units &amp; Activities'!$L$29</f>
        <v>3.4385500000000035E-7</v>
      </c>
      <c r="O87" s="83">
        <f>(1-E87)*G87*'2. Emissions Units &amp; Activities'!$M$29</f>
        <v>3.4385500000000035E-7</v>
      </c>
    </row>
    <row r="88" spans="1:15" x14ac:dyDescent="0.2">
      <c r="A88" s="79" t="s">
        <v>1464</v>
      </c>
      <c r="B88" s="100" t="s">
        <v>236</v>
      </c>
      <c r="C88" s="81" t="str">
        <f>IFERROR(IF(B88="No CAS","",INDEX('DEQ Pollutant List'!$C$7:$C$611,MATCH('3. Pollutant Emissions - EF'!B88,'DEQ Pollutant List'!$B$7:$B$611,0))),"")</f>
        <v>Copper and compounds</v>
      </c>
      <c r="D88" s="115">
        <f>IFERROR(IF(OR($B88="",$B88="No CAS"),INDEX('DEQ Pollutant List'!$A$7:$A$611,MATCH($C88,'DEQ Pollutant List'!$C$7:$C$611,0)),INDEX('DEQ Pollutant List'!$A$7:$A$611,MATCH($B88,'DEQ Pollutant List'!$B$7:$B$611,0))),"")</f>
        <v>149</v>
      </c>
      <c r="E88" s="101">
        <v>0.999</v>
      </c>
      <c r="F88" s="102">
        <f>0.4*0.03</f>
        <v>1.2E-2</v>
      </c>
      <c r="G88" s="103">
        <f t="shared" si="11"/>
        <v>1.2E-2</v>
      </c>
      <c r="H88" s="83" t="s">
        <v>1388</v>
      </c>
      <c r="I88" s="104" t="s">
        <v>1483</v>
      </c>
      <c r="J88" s="102">
        <f>(1-E88)*F88*'2. Emissions Units &amp; Activities'!$H$29*('2. Emissions Units &amp; Activities'!$H$24)/('2. Emissions Units &amp; Activities'!$H$26)</f>
        <v>1.7531077490505484E-7</v>
      </c>
      <c r="K88" s="105">
        <f t="shared" si="20"/>
        <v>2.1913846863131855E-7</v>
      </c>
      <c r="L88" s="83">
        <f t="shared" si="21"/>
        <v>2.1913846863131855E-7</v>
      </c>
      <c r="M88" s="102">
        <f>(1-E88)*G88*'2. Emissions Units &amp; Activities'!$K$29</f>
        <v>1.6505040000000017E-7</v>
      </c>
      <c r="N88" s="105">
        <f>(1-E88)*G88*'2. Emissions Units &amp; Activities'!$L$29</f>
        <v>2.0631300000000019E-7</v>
      </c>
      <c r="O88" s="83">
        <f>(1-E88)*G88*'2. Emissions Units &amp; Activities'!$M$29</f>
        <v>2.0631300000000019E-7</v>
      </c>
    </row>
    <row r="89" spans="1:15" x14ac:dyDescent="0.2">
      <c r="A89" s="79" t="s">
        <v>1464</v>
      </c>
      <c r="B89" s="100" t="s">
        <v>234</v>
      </c>
      <c r="C89" s="81" t="str">
        <f>IFERROR(IF(B89="No CAS","",INDEX('DEQ Pollutant List'!$C$7:$C$611,MATCH('3. Pollutant Emissions - EF'!B89,'DEQ Pollutant List'!$B$7:$B$611,0))),"")</f>
        <v>Cobalt and compounds</v>
      </c>
      <c r="D89" s="115">
        <f>IFERROR(IF(OR($B89="",$B89="No CAS"),INDEX('DEQ Pollutant List'!$A$7:$A$611,MATCH($C89,'DEQ Pollutant List'!$C$7:$C$611,0)),INDEX('DEQ Pollutant List'!$A$7:$A$611,MATCH($B89,'DEQ Pollutant List'!$B$7:$B$611,0))),"")</f>
        <v>146</v>
      </c>
      <c r="E89" s="101">
        <v>0.999</v>
      </c>
      <c r="F89" s="102">
        <f>0.4*0.005</f>
        <v>2E-3</v>
      </c>
      <c r="G89" s="103">
        <f t="shared" si="11"/>
        <v>2E-3</v>
      </c>
      <c r="H89" s="83" t="s">
        <v>1388</v>
      </c>
      <c r="I89" s="104" t="s">
        <v>1484</v>
      </c>
      <c r="J89" s="102">
        <f>(1-E89)*F89*'2. Emissions Units &amp; Activities'!$H$29*('2. Emissions Units &amp; Activities'!$H$24)/('2. Emissions Units &amp; Activities'!$H$26)</f>
        <v>2.9218462484175807E-8</v>
      </c>
      <c r="K89" s="105">
        <f t="shared" si="20"/>
        <v>3.6523078105219757E-8</v>
      </c>
      <c r="L89" s="83">
        <f t="shared" si="21"/>
        <v>3.6523078105219757E-8</v>
      </c>
      <c r="M89" s="102">
        <f>(1-E89)*G89*'2. Emissions Units &amp; Activities'!$K$29</f>
        <v>2.7508400000000029E-8</v>
      </c>
      <c r="N89" s="105">
        <f>(1-E89)*G89*'2. Emissions Units &amp; Activities'!$L$29</f>
        <v>3.4385500000000034E-8</v>
      </c>
      <c r="O89" s="83">
        <f>(1-E89)*G89*'2. Emissions Units &amp; Activities'!$M$29</f>
        <v>3.4385500000000034E-8</v>
      </c>
    </row>
    <row r="90" spans="1:15" x14ac:dyDescent="0.2">
      <c r="A90" s="79" t="s">
        <v>1464</v>
      </c>
      <c r="B90" s="100" t="s">
        <v>518</v>
      </c>
      <c r="C90" s="81" t="str">
        <f>IFERROR(IF(B90="No CAS","",INDEX('DEQ Pollutant List'!$C$7:$C$611,MATCH('3. Pollutant Emissions - EF'!B90,'DEQ Pollutant List'!$B$7:$B$611,0))),"")</f>
        <v>Manganese and compounds</v>
      </c>
      <c r="D90" s="115">
        <f>IFERROR(IF(OR($B90="",$B90="No CAS"),INDEX('DEQ Pollutant List'!$A$7:$A$611,MATCH($C90,'DEQ Pollutant List'!$C$7:$C$611,0)),INDEX('DEQ Pollutant List'!$A$7:$A$611,MATCH($B90,'DEQ Pollutant List'!$B$7:$B$611,0))),"")</f>
        <v>312</v>
      </c>
      <c r="E90" s="101">
        <v>0.999</v>
      </c>
      <c r="F90" s="102">
        <f>0.4*0.025</f>
        <v>1.0000000000000002E-2</v>
      </c>
      <c r="G90" s="103">
        <f t="shared" si="11"/>
        <v>1.0000000000000002E-2</v>
      </c>
      <c r="H90" s="83" t="s">
        <v>1388</v>
      </c>
      <c r="I90" s="104" t="s">
        <v>1485</v>
      </c>
      <c r="J90" s="102">
        <f>(1-E90)*F90*'2. Emissions Units &amp; Activities'!$H$29*('2. Emissions Units &amp; Activities'!$H$24)/('2. Emissions Units &amp; Activities'!$H$26)</f>
        <v>1.4609231242087905E-7</v>
      </c>
      <c r="K90" s="105">
        <f t="shared" si="20"/>
        <v>1.8261539052609882E-7</v>
      </c>
      <c r="L90" s="83">
        <f t="shared" si="21"/>
        <v>1.8261539052609882E-7</v>
      </c>
      <c r="M90" s="102">
        <f>(1-E90)*G90*'2. Emissions Units &amp; Activities'!$K$29</f>
        <v>1.3754200000000016E-7</v>
      </c>
      <c r="N90" s="105">
        <f>(1-E90)*G90*'2. Emissions Units &amp; Activities'!$L$29</f>
        <v>1.7192750000000017E-7</v>
      </c>
      <c r="O90" s="83">
        <f>(1-E90)*G90*'2. Emissions Units &amp; Activities'!$M$29</f>
        <v>1.7192750000000017E-7</v>
      </c>
    </row>
    <row r="91" spans="1:15" x14ac:dyDescent="0.2">
      <c r="A91" s="79" t="s">
        <v>1464</v>
      </c>
      <c r="B91" s="100" t="s">
        <v>40</v>
      </c>
      <c r="C91" s="81" t="str">
        <f>IFERROR(IF(B91="No CAS","",INDEX('DEQ Pollutant List'!$C$7:$C$611,MATCH('3. Pollutant Emissions - EF'!B91,'DEQ Pollutant List'!$B$7:$B$611,0))),"")</f>
        <v>Aluminum and compounds</v>
      </c>
      <c r="D91" s="115">
        <f>IFERROR(IF(OR($B91="",$B91="No CAS"),INDEX('DEQ Pollutant List'!$A$7:$A$611,MATCH($C91,'DEQ Pollutant List'!$C$7:$C$611,0)),INDEX('DEQ Pollutant List'!$A$7:$A$611,MATCH($B91,'DEQ Pollutant List'!$B$7:$B$611,0))),"")</f>
        <v>13</v>
      </c>
      <c r="E91" s="101">
        <v>0.999</v>
      </c>
      <c r="F91" s="102">
        <f>0.4*0.01</f>
        <v>4.0000000000000001E-3</v>
      </c>
      <c r="G91" s="103">
        <f t="shared" si="11"/>
        <v>4.0000000000000001E-3</v>
      </c>
      <c r="H91" s="83" t="s">
        <v>1388</v>
      </c>
      <c r="I91" s="104" t="s">
        <v>1486</v>
      </c>
      <c r="J91" s="102">
        <f>(1-E91)*F91*'2. Emissions Units &amp; Activities'!$H$29*('2. Emissions Units &amp; Activities'!$H$24)/('2. Emissions Units &amp; Activities'!$H$26)</f>
        <v>5.8436924968351615E-8</v>
      </c>
      <c r="K91" s="105">
        <f t="shared" si="20"/>
        <v>7.3046156210439514E-8</v>
      </c>
      <c r="L91" s="83">
        <f t="shared" si="21"/>
        <v>7.3046156210439514E-8</v>
      </c>
      <c r="M91" s="102">
        <f>(1-E91)*G91*'2. Emissions Units &amp; Activities'!$K$29</f>
        <v>5.5016800000000058E-8</v>
      </c>
      <c r="N91" s="105">
        <f>(1-E91)*G91*'2. Emissions Units &amp; Activities'!$L$29</f>
        <v>6.8771000000000067E-8</v>
      </c>
      <c r="O91" s="83">
        <f>(1-E91)*G91*'2. Emissions Units &amp; Activities'!$M$29</f>
        <v>6.8771000000000067E-8</v>
      </c>
    </row>
    <row r="92" spans="1:15" x14ac:dyDescent="0.2">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t="s">
        <v>1474</v>
      </c>
      <c r="J93" s="102"/>
      <c r="K93" s="105"/>
      <c r="L93" s="83"/>
      <c r="M93" s="102"/>
      <c r="N93" s="105"/>
      <c r="O93" s="83"/>
    </row>
    <row r="94" spans="1:15" x14ac:dyDescent="0.2">
      <c r="A94" s="79" t="s">
        <v>1459</v>
      </c>
      <c r="B94" s="100" t="s">
        <v>234</v>
      </c>
      <c r="C94" s="81" t="str">
        <f>IFERROR(IF(B94="No CAS","",INDEX('DEQ Pollutant List'!$C$7:$C$611,MATCH('3. Pollutant Emissions - EF'!B94,'DEQ Pollutant List'!$B$7:$B$611,0))),"")</f>
        <v>Cobalt and compounds</v>
      </c>
      <c r="D94" s="115">
        <f>IFERROR(IF(OR($B94="",$B94="No CAS"),INDEX('DEQ Pollutant List'!$A$7:$A$611,MATCH($C94,'DEQ Pollutant List'!$C$7:$C$611,0)),INDEX('DEQ Pollutant List'!$A$7:$A$611,MATCH($B94,'DEQ Pollutant List'!$B$7:$B$611,0))),"")</f>
        <v>146</v>
      </c>
      <c r="E94" s="101">
        <v>0.999</v>
      </c>
      <c r="F94" s="102">
        <f>0.4*0.655</f>
        <v>0.26200000000000001</v>
      </c>
      <c r="G94" s="103">
        <f t="shared" si="11"/>
        <v>0.26200000000000001</v>
      </c>
      <c r="H94" s="83" t="s">
        <v>1388</v>
      </c>
      <c r="I94" s="104" t="s">
        <v>1475</v>
      </c>
      <c r="J94" s="102">
        <f>(1-E94)*F94*'2. Emissions Units &amp; Activities'!$H$30*('2. Emissions Units &amp; Activities'!$H$23)/('2. Emissions Units &amp; Activities'!$H$26)</f>
        <v>8.9707248141457385E-4</v>
      </c>
      <c r="K94" s="105">
        <f t="shared" ref="K94:K99" si="22">L94</f>
        <v>1.1213406017682173E-3</v>
      </c>
      <c r="L94" s="83">
        <f t="shared" ref="L94:L99" si="23">J94*1.25</f>
        <v>1.1213406017682173E-3</v>
      </c>
      <c r="M94" s="102">
        <f>(1-E94)*G94*'2. Emissions Units &amp; Activities'!$K$30</f>
        <v>3.6036004000000037E-6</v>
      </c>
      <c r="N94" s="105">
        <f>(1-E94)*G94*'2. Emissions Units &amp; Activities'!$L$30</f>
        <v>4.5045005000000037E-6</v>
      </c>
      <c r="O94" s="83">
        <f>(1-E94)*G94*'2. Emissions Units &amp; Activities'!$M$30</f>
        <v>4.5045005000000037E-6</v>
      </c>
    </row>
    <row r="95" spans="1:15" x14ac:dyDescent="0.2">
      <c r="A95" s="79" t="s">
        <v>1459</v>
      </c>
      <c r="B95" s="100" t="s">
        <v>583</v>
      </c>
      <c r="C95" s="81" t="str">
        <f>IFERROR(IF(B95="No CAS","",INDEX('DEQ Pollutant List'!$C$7:$C$611,MATCH('3. Pollutant Emissions - EF'!B95,'DEQ Pollutant List'!$B$7:$B$611,0))),"")</f>
        <v>Nickel and compounds</v>
      </c>
      <c r="D95" s="115">
        <f>IFERROR(IF(OR($B95="",$B95="No CAS"),INDEX('DEQ Pollutant List'!$A$7:$A$611,MATCH($C95,'DEQ Pollutant List'!$C$7:$C$611,0)),INDEX('DEQ Pollutant List'!$A$7:$A$611,MATCH($B95,'DEQ Pollutant List'!$B$7:$B$611,0))),"")</f>
        <v>364</v>
      </c>
      <c r="E95" s="101">
        <v>0.999</v>
      </c>
      <c r="F95" s="102">
        <f>0.4*0.05</f>
        <v>2.0000000000000004E-2</v>
      </c>
      <c r="G95" s="103">
        <f t="shared" si="11"/>
        <v>2.0000000000000004E-2</v>
      </c>
      <c r="H95" s="83" t="s">
        <v>1388</v>
      </c>
      <c r="I95" s="104" t="s">
        <v>1482</v>
      </c>
      <c r="J95" s="102">
        <f>(1-E95)*F95*'2. Emissions Units &amp; Activities'!$H$30*('2. Emissions Units &amp; Activities'!$H$24)/('2. Emissions Units &amp; Activities'!$H$26)</f>
        <v>2.9218462484175811E-7</v>
      </c>
      <c r="K95" s="105">
        <f t="shared" si="22"/>
        <v>3.6523078105219763E-7</v>
      </c>
      <c r="L95" s="83">
        <f t="shared" si="23"/>
        <v>3.6523078105219763E-7</v>
      </c>
      <c r="M95" s="102">
        <f>(1-E95)*G95*'2. Emissions Units &amp; Activities'!$K$30</f>
        <v>2.7508400000000032E-7</v>
      </c>
      <c r="N95" s="105">
        <f>(1-E95)*G95*'2. Emissions Units &amp; Activities'!$L$30</f>
        <v>3.4385500000000035E-7</v>
      </c>
      <c r="O95" s="83">
        <f>(1-E95)*G95*'2. Emissions Units &amp; Activities'!$M$30</f>
        <v>3.4385500000000035E-7</v>
      </c>
    </row>
    <row r="96" spans="1:15" x14ac:dyDescent="0.2">
      <c r="A96" s="79" t="s">
        <v>1459</v>
      </c>
      <c r="B96" s="100" t="s">
        <v>236</v>
      </c>
      <c r="C96" s="81" t="str">
        <f>IFERROR(IF(B96="No CAS","",INDEX('DEQ Pollutant List'!$C$7:$C$611,MATCH('3. Pollutant Emissions - EF'!B96,'DEQ Pollutant List'!$B$7:$B$611,0))),"")</f>
        <v>Copper and compounds</v>
      </c>
      <c r="D96" s="115">
        <f>IFERROR(IF(OR($B96="",$B96="No CAS"),INDEX('DEQ Pollutant List'!$A$7:$A$611,MATCH($C96,'DEQ Pollutant List'!$C$7:$C$611,0)),INDEX('DEQ Pollutant List'!$A$7:$A$611,MATCH($B96,'DEQ Pollutant List'!$B$7:$B$611,0))),"")</f>
        <v>149</v>
      </c>
      <c r="E96" s="101">
        <v>0.999</v>
      </c>
      <c r="F96" s="102">
        <f>0.4*0.03</f>
        <v>1.2E-2</v>
      </c>
      <c r="G96" s="103">
        <f t="shared" si="11"/>
        <v>1.2E-2</v>
      </c>
      <c r="H96" s="83" t="s">
        <v>1388</v>
      </c>
      <c r="I96" s="104" t="s">
        <v>1483</v>
      </c>
      <c r="J96" s="102">
        <f>(1-E96)*F96*'2. Emissions Units &amp; Activities'!$H$30*('2. Emissions Units &amp; Activities'!$H$24)/('2. Emissions Units &amp; Activities'!$H$26)</f>
        <v>1.7531077490505484E-7</v>
      </c>
      <c r="K96" s="105">
        <f t="shared" si="22"/>
        <v>2.1913846863131855E-7</v>
      </c>
      <c r="L96" s="83">
        <f t="shared" si="23"/>
        <v>2.1913846863131855E-7</v>
      </c>
      <c r="M96" s="102">
        <f>(1-E96)*G96*'2. Emissions Units &amp; Activities'!$K$30</f>
        <v>1.6505040000000017E-7</v>
      </c>
      <c r="N96" s="105">
        <f>(1-E96)*G96*'2. Emissions Units &amp; Activities'!$L$30</f>
        <v>2.0631300000000019E-7</v>
      </c>
      <c r="O96" s="83">
        <f>(1-E96)*G96*'2. Emissions Units &amp; Activities'!$M$30</f>
        <v>2.0631300000000019E-7</v>
      </c>
    </row>
    <row r="97" spans="1:15" x14ac:dyDescent="0.2">
      <c r="A97" s="79" t="s">
        <v>1459</v>
      </c>
      <c r="B97" s="100" t="s">
        <v>234</v>
      </c>
      <c r="C97" s="81" t="str">
        <f>IFERROR(IF(B97="No CAS","",INDEX('DEQ Pollutant List'!$C$7:$C$611,MATCH('3. Pollutant Emissions - EF'!B97,'DEQ Pollutant List'!$B$7:$B$611,0))),"")</f>
        <v>Cobalt and compounds</v>
      </c>
      <c r="D97" s="115">
        <f>IFERROR(IF(OR($B97="",$B97="No CAS"),INDEX('DEQ Pollutant List'!$A$7:$A$611,MATCH($C97,'DEQ Pollutant List'!$C$7:$C$611,0)),INDEX('DEQ Pollutant List'!$A$7:$A$611,MATCH($B97,'DEQ Pollutant List'!$B$7:$B$611,0))),"")</f>
        <v>146</v>
      </c>
      <c r="E97" s="101">
        <v>0.999</v>
      </c>
      <c r="F97" s="102">
        <f>0.4*0.005</f>
        <v>2E-3</v>
      </c>
      <c r="G97" s="103">
        <f t="shared" si="11"/>
        <v>2E-3</v>
      </c>
      <c r="H97" s="83" t="s">
        <v>1388</v>
      </c>
      <c r="I97" s="104" t="s">
        <v>1484</v>
      </c>
      <c r="J97" s="102">
        <f>(1-E97)*F97*'2. Emissions Units &amp; Activities'!$H$30*('2. Emissions Units &amp; Activities'!$H$24)/('2. Emissions Units &amp; Activities'!$H$26)</f>
        <v>2.9218462484175807E-8</v>
      </c>
      <c r="K97" s="105">
        <f t="shared" si="22"/>
        <v>3.6523078105219757E-8</v>
      </c>
      <c r="L97" s="83">
        <f t="shared" si="23"/>
        <v>3.6523078105219757E-8</v>
      </c>
      <c r="M97" s="102">
        <f>(1-E97)*G97*'2. Emissions Units &amp; Activities'!$K$30</f>
        <v>2.7508400000000029E-8</v>
      </c>
      <c r="N97" s="105">
        <f>(1-E97)*G97*'2. Emissions Units &amp; Activities'!$L$30</f>
        <v>3.4385500000000034E-8</v>
      </c>
      <c r="O97" s="83">
        <f>(1-E97)*G97*'2. Emissions Units &amp; Activities'!$M$30</f>
        <v>3.4385500000000034E-8</v>
      </c>
    </row>
    <row r="98" spans="1:15" x14ac:dyDescent="0.2">
      <c r="A98" s="79" t="s">
        <v>1459</v>
      </c>
      <c r="B98" s="100" t="s">
        <v>518</v>
      </c>
      <c r="C98" s="81" t="str">
        <f>IFERROR(IF(B98="No CAS","",INDEX('DEQ Pollutant List'!$C$7:$C$611,MATCH('3. Pollutant Emissions - EF'!B98,'DEQ Pollutant List'!$B$7:$B$611,0))),"")</f>
        <v>Manganese and compounds</v>
      </c>
      <c r="D98" s="115">
        <f>IFERROR(IF(OR($B98="",$B98="No CAS"),INDEX('DEQ Pollutant List'!$A$7:$A$611,MATCH($C98,'DEQ Pollutant List'!$C$7:$C$611,0)),INDEX('DEQ Pollutant List'!$A$7:$A$611,MATCH($B98,'DEQ Pollutant List'!$B$7:$B$611,0))),"")</f>
        <v>312</v>
      </c>
      <c r="E98" s="101">
        <v>0.999</v>
      </c>
      <c r="F98" s="102">
        <f>0.4*0.025</f>
        <v>1.0000000000000002E-2</v>
      </c>
      <c r="G98" s="103">
        <f t="shared" si="11"/>
        <v>1.0000000000000002E-2</v>
      </c>
      <c r="H98" s="83" t="s">
        <v>1388</v>
      </c>
      <c r="I98" s="104" t="s">
        <v>1485</v>
      </c>
      <c r="J98" s="102">
        <f>(1-E98)*F98*'2. Emissions Units &amp; Activities'!$H$30*('2. Emissions Units &amp; Activities'!$H$24)/('2. Emissions Units &amp; Activities'!$H$26)</f>
        <v>1.4609231242087905E-7</v>
      </c>
      <c r="K98" s="105">
        <f t="shared" si="22"/>
        <v>1.8261539052609882E-7</v>
      </c>
      <c r="L98" s="83">
        <f t="shared" si="23"/>
        <v>1.8261539052609882E-7</v>
      </c>
      <c r="M98" s="102">
        <f>(1-E98)*G98*'2. Emissions Units &amp; Activities'!$K$30</f>
        <v>1.3754200000000016E-7</v>
      </c>
      <c r="N98" s="105">
        <f>(1-E98)*G98*'2. Emissions Units &amp; Activities'!$L$30</f>
        <v>1.7192750000000017E-7</v>
      </c>
      <c r="O98" s="83">
        <f>(1-E98)*G98*'2. Emissions Units &amp; Activities'!$M$30</f>
        <v>1.7192750000000017E-7</v>
      </c>
    </row>
    <row r="99" spans="1:15" x14ac:dyDescent="0.2">
      <c r="A99" s="79" t="s">
        <v>1459</v>
      </c>
      <c r="B99" s="100" t="s">
        <v>40</v>
      </c>
      <c r="C99" s="81" t="str">
        <f>IFERROR(IF(B99="No CAS","",INDEX('DEQ Pollutant List'!$C$7:$C$611,MATCH('3. Pollutant Emissions - EF'!B99,'DEQ Pollutant List'!$B$7:$B$611,0))),"")</f>
        <v>Aluminum and compounds</v>
      </c>
      <c r="D99" s="115">
        <f>IFERROR(IF(OR($B99="",$B99="No CAS"),INDEX('DEQ Pollutant List'!$A$7:$A$611,MATCH($C99,'DEQ Pollutant List'!$C$7:$C$611,0)),INDEX('DEQ Pollutant List'!$A$7:$A$611,MATCH($B99,'DEQ Pollutant List'!$B$7:$B$611,0))),"")</f>
        <v>13</v>
      </c>
      <c r="E99" s="101">
        <v>0.999</v>
      </c>
      <c r="F99" s="102">
        <f>0.4*0.01</f>
        <v>4.0000000000000001E-3</v>
      </c>
      <c r="G99" s="103">
        <f t="shared" si="11"/>
        <v>4.0000000000000001E-3</v>
      </c>
      <c r="H99" s="83" t="s">
        <v>1388</v>
      </c>
      <c r="I99" s="104" t="s">
        <v>1486</v>
      </c>
      <c r="J99" s="102">
        <f>(1-E99)*F99*'2. Emissions Units &amp; Activities'!$H$30*('2. Emissions Units &amp; Activities'!$H$24)/('2. Emissions Units &amp; Activities'!$H$26)</f>
        <v>5.8436924968351615E-8</v>
      </c>
      <c r="K99" s="105">
        <f t="shared" si="22"/>
        <v>7.3046156210439514E-8</v>
      </c>
      <c r="L99" s="83">
        <f t="shared" si="23"/>
        <v>7.3046156210439514E-8</v>
      </c>
      <c r="M99" s="102">
        <f>(1-E99)*G99*'2. Emissions Units &amp; Activities'!$K$30</f>
        <v>5.5016800000000058E-8</v>
      </c>
      <c r="N99" s="105">
        <f>(1-E99)*G99*'2. Emissions Units &amp; Activities'!$L$30</f>
        <v>6.8771000000000067E-8</v>
      </c>
      <c r="O99" s="83">
        <f>(1-E99)*G99*'2. Emissions Units &amp; Activities'!$M$30</f>
        <v>6.8771000000000067E-8</v>
      </c>
    </row>
    <row r="100" spans="1:15" x14ac:dyDescent="0.2">
      <c r="A100" s="79"/>
      <c r="B100" s="100"/>
      <c r="C100" s="81"/>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
      <c r="A101" s="79"/>
      <c r="B101" s="100"/>
      <c r="C101" s="81"/>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
      <c r="A103" s="79"/>
      <c r="B103" s="100"/>
      <c r="C103" s="81"/>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
      <c r="A104" s="79"/>
      <c r="B104" s="100"/>
      <c r="C104" s="81"/>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
      <c r="A105" s="79"/>
      <c r="B105" s="100"/>
      <c r="C105" s="81"/>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
      <c r="A106" s="79"/>
      <c r="B106" s="100"/>
      <c r="C106" s="81"/>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
      <c r="A107" s="79"/>
      <c r="B107" s="100"/>
      <c r="C107" s="81"/>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
      <c r="A108" s="79"/>
      <c r="B108" s="100"/>
      <c r="C108" s="81"/>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
      <c r="A109" s="79"/>
      <c r="B109" s="100"/>
      <c r="C109" s="81"/>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
      <c r="A110" s="79"/>
      <c r="B110" s="100"/>
      <c r="C110" s="81"/>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
      <c r="A112" s="79"/>
      <c r="B112" s="100"/>
      <c r="C112" s="81"/>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
      <c r="A113" s="79"/>
      <c r="B113" s="100"/>
      <c r="C113" s="81"/>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
      <c r="A114" s="79"/>
      <c r="B114" s="100"/>
      <c r="C114" s="81"/>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
      <c r="A115" s="79"/>
      <c r="B115" s="100"/>
      <c r="C115" s="81"/>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
      <c r="A116" s="79"/>
      <c r="B116" s="100"/>
      <c r="C116" s="81"/>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
      <c r="A117" s="79"/>
      <c r="B117" s="100"/>
      <c r="C117" s="81"/>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
      <c r="A118" s="79"/>
      <c r="B118" s="100"/>
      <c r="C118" s="81"/>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
      <c r="A119" s="79"/>
      <c r="B119" s="100"/>
      <c r="C119" s="81"/>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
      <c r="A120" s="79"/>
      <c r="B120" s="100"/>
      <c r="C120" s="81"/>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
      <c r="A121" s="79"/>
      <c r="B121" s="100"/>
      <c r="C121" s="81"/>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
      <c r="A122" s="79"/>
      <c r="B122" s="100"/>
      <c r="C122" s="81"/>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
      <c r="A123" s="79"/>
      <c r="B123" s="100"/>
      <c r="C123" s="81"/>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
      <c r="A124" s="79"/>
      <c r="B124" s="100"/>
      <c r="C124" s="81"/>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
      <c r="A125" s="79"/>
      <c r="B125" s="100"/>
      <c r="C125" s="81"/>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
      <c r="A126" s="79"/>
      <c r="B126" s="100"/>
      <c r="C126" s="81"/>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
      <c r="A127" s="79"/>
      <c r="B127" s="100"/>
      <c r="C127" s="81"/>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
      <c r="A128" s="79"/>
      <c r="B128" s="100"/>
      <c r="C128" s="81"/>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
      <c r="A129" s="79"/>
      <c r="B129" s="100"/>
      <c r="C129" s="81"/>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
      <c r="A130" s="79"/>
      <c r="B130" s="100"/>
      <c r="C130" s="81"/>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
      <c r="A131" s="79"/>
      <c r="B131" s="100"/>
      <c r="C131" s="81"/>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
      <c r="A132" s="79"/>
      <c r="B132" s="100"/>
      <c r="C132" s="81"/>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
      <c r="A133" s="79"/>
      <c r="B133" s="100"/>
      <c r="C133" s="81"/>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
      <c r="A134" s="79"/>
      <c r="B134" s="100"/>
      <c r="C134" s="81"/>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6" thickBot="1" x14ac:dyDescent="0.2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
      <c r="A501" s="239" t="s">
        <v>1138</v>
      </c>
      <c r="B501" s="240"/>
      <c r="C501" s="240"/>
      <c r="D501" s="240"/>
      <c r="E501" s="240"/>
      <c r="F501" s="240"/>
      <c r="G501" s="240"/>
      <c r="H501" s="240"/>
      <c r="I501" s="240"/>
      <c r="J501" s="240"/>
      <c r="K501" s="240"/>
      <c r="L501" s="240"/>
      <c r="M501" s="240"/>
      <c r="N501" s="240"/>
      <c r="O501" s="241"/>
    </row>
    <row r="502" spans="1:15" x14ac:dyDescent="0.2">
      <c r="A502" s="242"/>
      <c r="B502" s="243"/>
      <c r="C502" s="243"/>
      <c r="D502" s="243"/>
      <c r="E502" s="243"/>
      <c r="F502" s="243"/>
      <c r="G502" s="243"/>
      <c r="H502" s="243"/>
      <c r="I502" s="243"/>
      <c r="J502" s="243"/>
      <c r="K502" s="243"/>
      <c r="L502" s="243"/>
      <c r="M502" s="243"/>
      <c r="N502" s="243"/>
      <c r="O502" s="244"/>
    </row>
    <row r="503" spans="1:15" ht="16" thickBot="1" x14ac:dyDescent="0.25">
      <c r="A503" s="245"/>
      <c r="B503" s="246"/>
      <c r="C503" s="246"/>
      <c r="D503" s="246"/>
      <c r="E503" s="246"/>
      <c r="F503" s="246"/>
      <c r="G503" s="246"/>
      <c r="H503" s="246"/>
      <c r="I503" s="246"/>
      <c r="J503" s="246"/>
      <c r="K503" s="246"/>
      <c r="L503" s="246"/>
      <c r="M503" s="246"/>
      <c r="N503" s="246"/>
      <c r="O503" s="247"/>
    </row>
    <row r="504" spans="1:15" x14ac:dyDescent="0.2">
      <c r="A504" s="22"/>
      <c r="B504" s="112"/>
      <c r="C504" s="113"/>
      <c r="D504" s="22"/>
      <c r="E504" s="114"/>
      <c r="F504" s="22"/>
      <c r="G504" s="22"/>
      <c r="H504" s="22"/>
      <c r="I504" s="113"/>
      <c r="J504" s="22"/>
      <c r="K504" s="22"/>
      <c r="L504" s="22"/>
      <c r="M504" s="22"/>
      <c r="N504" s="22"/>
      <c r="O504" s="22"/>
    </row>
    <row r="505" spans="1:15" x14ac:dyDescent="0.2">
      <c r="A505" s="22"/>
      <c r="B505" s="112"/>
      <c r="C505" s="113"/>
      <c r="D505" s="22"/>
      <c r="E505" s="114"/>
      <c r="F505" s="22"/>
      <c r="G505" s="22"/>
      <c r="H505" s="22"/>
      <c r="I505" s="113"/>
      <c r="J505" s="22"/>
      <c r="K505" s="22"/>
      <c r="L505" s="22"/>
      <c r="M505" s="22"/>
      <c r="N505" s="22"/>
      <c r="O505" s="22"/>
    </row>
    <row r="506" spans="1:15" x14ac:dyDescent="0.2">
      <c r="A506" s="22"/>
      <c r="B506" s="112"/>
      <c r="C506" s="113"/>
      <c r="D506" s="22"/>
      <c r="E506" s="114"/>
      <c r="F506" s="22"/>
      <c r="G506" s="22"/>
      <c r="H506" s="22"/>
      <c r="I506" s="113"/>
      <c r="J506" s="22"/>
      <c r="K506" s="22"/>
      <c r="L506" s="22"/>
      <c r="M506" s="22"/>
      <c r="N506" s="22"/>
      <c r="O506" s="22"/>
    </row>
    <row r="507" spans="1:15" x14ac:dyDescent="0.2">
      <c r="A507" s="22"/>
      <c r="B507" s="112"/>
      <c r="C507" s="113"/>
      <c r="D507" s="22"/>
      <c r="E507" s="114"/>
      <c r="F507" s="22"/>
      <c r="G507" s="22"/>
      <c r="H507" s="22"/>
      <c r="I507" s="113"/>
      <c r="J507" s="22"/>
      <c r="K507" s="22"/>
      <c r="L507" s="22"/>
      <c r="M507" s="22"/>
      <c r="N507" s="22"/>
      <c r="O507" s="22"/>
    </row>
    <row r="508" spans="1:15" x14ac:dyDescent="0.2">
      <c r="A508" s="22"/>
      <c r="B508" s="112"/>
      <c r="C508" s="113"/>
      <c r="D508" s="22"/>
      <c r="E508" s="114"/>
      <c r="F508" s="22"/>
      <c r="G508" s="22"/>
      <c r="H508" s="22"/>
      <c r="I508" s="113"/>
      <c r="J508" s="22"/>
      <c r="K508" s="22"/>
      <c r="L508" s="22"/>
      <c r="M508" s="22"/>
      <c r="N508" s="22"/>
      <c r="O508" s="22"/>
    </row>
    <row r="509" spans="1:15" x14ac:dyDescent="0.2">
      <c r="A509" s="22"/>
      <c r="B509" s="112"/>
      <c r="C509" s="113"/>
      <c r="D509" s="22"/>
      <c r="E509" s="114"/>
      <c r="F509" s="22"/>
      <c r="G509" s="22"/>
      <c r="H509" s="22"/>
      <c r="I509" s="113"/>
      <c r="J509" s="22"/>
      <c r="K509" s="22"/>
      <c r="L509" s="22"/>
      <c r="M509" s="22"/>
      <c r="N509" s="22"/>
      <c r="O509" s="22"/>
    </row>
    <row r="510" spans="1:15" x14ac:dyDescent="0.2">
      <c r="A510" s="22"/>
      <c r="B510" s="112"/>
      <c r="C510" s="113"/>
      <c r="D510" s="22"/>
      <c r="E510" s="114"/>
      <c r="F510" s="22"/>
      <c r="G510" s="22"/>
      <c r="H510" s="22"/>
      <c r="I510" s="113"/>
      <c r="J510" s="22"/>
      <c r="K510" s="22"/>
      <c r="L510" s="22"/>
      <c r="M510" s="22"/>
      <c r="N510" s="22"/>
      <c r="O510" s="22"/>
    </row>
    <row r="511" spans="1:15" x14ac:dyDescent="0.2">
      <c r="A511" s="22"/>
      <c r="B511" s="112"/>
      <c r="C511" s="113"/>
      <c r="D511" s="22"/>
      <c r="E511" s="114"/>
      <c r="F511" s="22"/>
      <c r="G511" s="22"/>
      <c r="H511" s="22"/>
      <c r="I511" s="113"/>
      <c r="J511" s="22"/>
      <c r="K511" s="22"/>
      <c r="L511" s="22"/>
      <c r="M511" s="22"/>
      <c r="N511" s="22"/>
      <c r="O511" s="22"/>
    </row>
    <row r="512" spans="1:15" x14ac:dyDescent="0.2">
      <c r="A512" s="22"/>
      <c r="B512" s="112"/>
      <c r="C512" s="113"/>
      <c r="D512" s="22"/>
      <c r="E512" s="114"/>
      <c r="F512" s="22"/>
      <c r="G512" s="22"/>
      <c r="H512" s="22"/>
      <c r="I512" s="113"/>
      <c r="J512" s="22"/>
      <c r="K512" s="22"/>
      <c r="L512" s="22"/>
      <c r="M512" s="22"/>
      <c r="N512" s="22"/>
      <c r="O512" s="22"/>
    </row>
    <row r="513" spans="1:15" x14ac:dyDescent="0.2">
      <c r="A513" s="22"/>
      <c r="B513" s="112"/>
      <c r="C513" s="113"/>
      <c r="D513" s="22"/>
      <c r="E513" s="114"/>
      <c r="F513" s="22"/>
      <c r="G513" s="22"/>
      <c r="H513" s="22"/>
      <c r="I513" s="113"/>
      <c r="J513" s="22"/>
      <c r="K513" s="22"/>
      <c r="L513" s="22"/>
      <c r="M513" s="22"/>
      <c r="N513" s="22"/>
      <c r="O513" s="22"/>
    </row>
    <row r="514" spans="1:15" x14ac:dyDescent="0.2">
      <c r="A514" s="22"/>
      <c r="B514" s="112"/>
      <c r="C514" s="113"/>
      <c r="D514" s="22"/>
      <c r="E514" s="114"/>
      <c r="F514" s="22"/>
      <c r="G514" s="22"/>
      <c r="H514" s="22"/>
      <c r="I514" s="113"/>
      <c r="J514" s="22"/>
      <c r="K514" s="22"/>
      <c r="L514" s="22"/>
      <c r="M514" s="22"/>
      <c r="N514" s="22"/>
      <c r="O514" s="22"/>
    </row>
    <row r="515" spans="1:15" x14ac:dyDescent="0.2">
      <c r="A515" s="22"/>
      <c r="B515" s="112"/>
      <c r="C515" s="113"/>
      <c r="D515" s="22"/>
      <c r="E515" s="114"/>
      <c r="F515" s="22"/>
      <c r="G515" s="22"/>
      <c r="H515" s="22"/>
      <c r="I515" s="113"/>
      <c r="J515" s="22"/>
      <c r="K515" s="22"/>
      <c r="L515" s="22"/>
      <c r="M515" s="22"/>
      <c r="N515" s="22"/>
      <c r="O515" s="22"/>
    </row>
    <row r="516" spans="1:15" x14ac:dyDescent="0.2">
      <c r="A516" s="22"/>
      <c r="B516" s="112"/>
      <c r="C516" s="113"/>
      <c r="D516" s="22"/>
      <c r="E516" s="114"/>
      <c r="F516" s="22"/>
      <c r="G516" s="22"/>
      <c r="H516" s="22"/>
      <c r="I516" s="113"/>
      <c r="J516" s="22"/>
      <c r="K516" s="22"/>
      <c r="L516" s="22"/>
      <c r="M516" s="22"/>
      <c r="N516" s="22"/>
      <c r="O516" s="22"/>
    </row>
    <row r="517" spans="1:15" x14ac:dyDescent="0.2">
      <c r="A517" s="22"/>
      <c r="B517" s="112"/>
      <c r="C517" s="113"/>
      <c r="D517" s="22"/>
      <c r="E517" s="114"/>
      <c r="F517" s="22"/>
      <c r="G517" s="22"/>
      <c r="H517" s="22"/>
      <c r="I517" s="113"/>
      <c r="J517" s="22"/>
      <c r="K517" s="22"/>
      <c r="L517" s="22"/>
      <c r="M517" s="22"/>
      <c r="N517" s="22"/>
      <c r="O517" s="22"/>
    </row>
    <row r="518" spans="1:15" x14ac:dyDescent="0.2">
      <c r="A518" s="22"/>
      <c r="B518" s="112"/>
      <c r="C518" s="113"/>
      <c r="D518" s="22"/>
      <c r="E518" s="114"/>
      <c r="F518" s="22"/>
      <c r="G518" s="22"/>
      <c r="H518" s="22"/>
      <c r="I518" s="113"/>
      <c r="J518" s="22"/>
      <c r="K518" s="22"/>
      <c r="L518" s="22"/>
      <c r="M518" s="22"/>
      <c r="N518" s="22"/>
      <c r="O518" s="22"/>
    </row>
    <row r="519" spans="1:15" x14ac:dyDescent="0.2">
      <c r="A519" s="22"/>
      <c r="B519" s="112"/>
      <c r="C519" s="113"/>
      <c r="D519" s="22"/>
      <c r="E519" s="114"/>
      <c r="F519" s="22"/>
      <c r="G519" s="22"/>
      <c r="H519" s="22"/>
      <c r="I519" s="113"/>
      <c r="J519" s="22"/>
      <c r="K519" s="22"/>
      <c r="L519" s="22"/>
      <c r="M519" s="22"/>
      <c r="N519" s="22"/>
      <c r="O519" s="22"/>
    </row>
    <row r="520" spans="1:15" x14ac:dyDescent="0.2">
      <c r="A520" s="22"/>
      <c r="B520" s="112"/>
      <c r="C520" s="113"/>
      <c r="D520" s="22"/>
      <c r="E520" s="114"/>
      <c r="F520" s="22"/>
      <c r="G520" s="22"/>
      <c r="H520" s="22"/>
      <c r="I520" s="113"/>
      <c r="J520" s="22"/>
      <c r="K520" s="22"/>
      <c r="L520" s="22"/>
      <c r="M520" s="22"/>
      <c r="N520" s="22"/>
      <c r="O520" s="22"/>
    </row>
    <row r="521" spans="1:15" x14ac:dyDescent="0.2">
      <c r="A521" s="22"/>
      <c r="B521" s="112"/>
      <c r="C521" s="113"/>
      <c r="D521" s="22"/>
      <c r="E521" s="114"/>
      <c r="F521" s="22"/>
      <c r="G521" s="22"/>
      <c r="H521" s="22"/>
      <c r="I521" s="113"/>
      <c r="J521" s="22"/>
      <c r="K521" s="22"/>
      <c r="L521" s="22"/>
      <c r="M521" s="22"/>
      <c r="N521" s="22"/>
      <c r="O521" s="22"/>
    </row>
    <row r="522" spans="1:15" x14ac:dyDescent="0.2">
      <c r="A522" s="22"/>
      <c r="B522" s="112"/>
      <c r="C522" s="113"/>
      <c r="D522" s="22"/>
      <c r="E522" s="114"/>
      <c r="F522" s="22"/>
      <c r="G522" s="22"/>
      <c r="H522" s="22"/>
      <c r="I522" s="113"/>
      <c r="J522" s="22"/>
      <c r="K522" s="22"/>
      <c r="L522" s="22"/>
      <c r="M522" s="22"/>
      <c r="N522" s="22"/>
      <c r="O522" s="22"/>
    </row>
    <row r="523" spans="1:15" x14ac:dyDescent="0.2">
      <c r="A523" s="22"/>
      <c r="B523" s="112"/>
      <c r="C523" s="113"/>
      <c r="D523" s="22"/>
      <c r="E523" s="114"/>
      <c r="F523" s="22"/>
      <c r="G523" s="22"/>
      <c r="H523" s="22"/>
      <c r="I523" s="113"/>
      <c r="J523" s="22"/>
      <c r="K523" s="22"/>
      <c r="L523" s="22"/>
      <c r="M523" s="22"/>
      <c r="N523" s="22"/>
      <c r="O523" s="22"/>
    </row>
    <row r="524" spans="1:15" x14ac:dyDescent="0.2">
      <c r="A524" s="22"/>
      <c r="B524" s="112"/>
      <c r="C524" s="113"/>
      <c r="D524" s="22"/>
      <c r="E524" s="114"/>
      <c r="F524" s="22"/>
      <c r="G524" s="22"/>
      <c r="H524" s="22"/>
      <c r="I524" s="113"/>
      <c r="J524" s="22"/>
      <c r="K524" s="22"/>
      <c r="L524" s="22"/>
      <c r="M524" s="22"/>
      <c r="N524" s="22"/>
      <c r="O524" s="22"/>
    </row>
    <row r="525" spans="1:15" x14ac:dyDescent="0.2">
      <c r="A525" s="22"/>
      <c r="B525" s="112"/>
      <c r="C525" s="113"/>
      <c r="D525" s="22"/>
      <c r="E525" s="114"/>
      <c r="F525" s="22"/>
      <c r="G525" s="22"/>
      <c r="H525" s="22"/>
      <c r="I525" s="113"/>
      <c r="J525" s="22"/>
      <c r="K525" s="22"/>
      <c r="L525" s="22"/>
      <c r="M525" s="22"/>
      <c r="N525" s="22"/>
      <c r="O525" s="22"/>
    </row>
    <row r="526" spans="1:15" x14ac:dyDescent="0.2">
      <c r="A526" s="22"/>
      <c r="B526" s="112"/>
      <c r="C526" s="113"/>
      <c r="D526" s="22"/>
      <c r="E526" s="114"/>
      <c r="F526" s="22"/>
      <c r="G526" s="22"/>
      <c r="H526" s="22"/>
      <c r="I526" s="113"/>
      <c r="J526" s="22"/>
      <c r="K526" s="22"/>
      <c r="L526" s="22"/>
      <c r="M526" s="22"/>
      <c r="N526" s="22"/>
      <c r="O526" s="22"/>
    </row>
    <row r="527" spans="1:15" x14ac:dyDescent="0.2">
      <c r="A527" s="22"/>
      <c r="B527" s="112"/>
      <c r="C527" s="113"/>
      <c r="D527" s="22"/>
      <c r="E527" s="114"/>
      <c r="F527" s="22"/>
      <c r="G527" s="22"/>
      <c r="H527" s="22"/>
      <c r="I527" s="113"/>
      <c r="J527" s="22"/>
      <c r="K527" s="22"/>
      <c r="L527" s="22"/>
      <c r="M527" s="22"/>
      <c r="N527" s="22"/>
      <c r="O527" s="22"/>
    </row>
    <row r="528" spans="1:15" x14ac:dyDescent="0.2">
      <c r="A528" s="22"/>
      <c r="B528" s="112"/>
      <c r="C528" s="113"/>
      <c r="D528" s="22"/>
      <c r="E528" s="114"/>
      <c r="F528" s="22"/>
      <c r="G528" s="22"/>
      <c r="H528" s="22"/>
      <c r="I528" s="113"/>
      <c r="J528" s="22"/>
      <c r="K528" s="22"/>
      <c r="L528" s="22"/>
      <c r="M528" s="22"/>
      <c r="N528" s="22"/>
      <c r="O528" s="22"/>
    </row>
    <row r="529" spans="1:15" x14ac:dyDescent="0.2">
      <c r="A529" s="22"/>
      <c r="B529" s="112"/>
      <c r="C529" s="113"/>
      <c r="D529" s="22"/>
      <c r="E529" s="114"/>
      <c r="F529" s="22"/>
      <c r="G529" s="22"/>
      <c r="H529" s="22"/>
      <c r="I529" s="113"/>
      <c r="J529" s="22"/>
      <c r="K529" s="22"/>
      <c r="L529" s="22"/>
      <c r="M529" s="22"/>
      <c r="N529" s="22"/>
      <c r="O529" s="22"/>
    </row>
    <row r="530" spans="1:15" x14ac:dyDescent="0.2">
      <c r="A530" s="22"/>
      <c r="B530" s="112"/>
      <c r="C530" s="113"/>
      <c r="D530" s="22"/>
      <c r="E530" s="114"/>
      <c r="F530" s="22"/>
      <c r="G530" s="22"/>
      <c r="H530" s="22"/>
      <c r="I530" s="113"/>
      <c r="J530" s="22"/>
      <c r="K530" s="22"/>
      <c r="L530" s="22"/>
      <c r="M530" s="22"/>
      <c r="N530" s="22"/>
      <c r="O530" s="22"/>
    </row>
    <row r="531" spans="1:15" x14ac:dyDescent="0.2">
      <c r="A531" s="22"/>
      <c r="B531" s="112"/>
      <c r="C531" s="113"/>
      <c r="D531" s="22"/>
      <c r="E531" s="114"/>
      <c r="F531" s="22"/>
      <c r="G531" s="22"/>
      <c r="H531" s="22"/>
      <c r="I531" s="113"/>
      <c r="J531" s="22"/>
      <c r="K531" s="22"/>
      <c r="L531" s="22"/>
      <c r="M531" s="22"/>
      <c r="N531" s="22"/>
      <c r="O531" s="22"/>
    </row>
    <row r="532" spans="1:15" x14ac:dyDescent="0.2">
      <c r="A532" s="22"/>
      <c r="B532" s="112"/>
      <c r="C532" s="113"/>
      <c r="D532" s="22"/>
      <c r="E532" s="114"/>
      <c r="F532" s="22"/>
      <c r="G532" s="22"/>
      <c r="H532" s="22"/>
      <c r="I532" s="113"/>
      <c r="J532" s="22"/>
      <c r="K532" s="22"/>
      <c r="L532" s="22"/>
      <c r="M532" s="22"/>
      <c r="N532" s="22"/>
      <c r="O532" s="22"/>
    </row>
    <row r="533" spans="1:15" x14ac:dyDescent="0.2">
      <c r="A533" s="22"/>
      <c r="B533" s="112"/>
      <c r="C533" s="113"/>
      <c r="D533" s="22"/>
      <c r="E533" s="114"/>
      <c r="F533" s="22"/>
      <c r="G533" s="22"/>
      <c r="H533" s="22"/>
      <c r="I533" s="113"/>
      <c r="J533" s="22"/>
      <c r="K533" s="22"/>
      <c r="L533" s="22"/>
      <c r="M533" s="22"/>
      <c r="N533" s="22"/>
      <c r="O533" s="22"/>
    </row>
    <row r="534" spans="1:15" x14ac:dyDescent="0.2">
      <c r="A534" s="22"/>
      <c r="B534" s="112"/>
      <c r="C534" s="113"/>
      <c r="D534" s="22"/>
      <c r="E534" s="114"/>
      <c r="F534" s="22"/>
      <c r="G534" s="22"/>
      <c r="H534" s="22"/>
      <c r="I534" s="113"/>
      <c r="J534" s="22"/>
      <c r="K534" s="22"/>
      <c r="L534" s="22"/>
      <c r="M534" s="22"/>
      <c r="N534" s="22"/>
      <c r="O534" s="22"/>
    </row>
    <row r="535" spans="1:15" x14ac:dyDescent="0.2">
      <c r="A535" s="22"/>
      <c r="B535" s="112"/>
      <c r="C535" s="113"/>
      <c r="D535" s="22"/>
      <c r="E535" s="114"/>
      <c r="F535" s="22"/>
      <c r="G535" s="22"/>
      <c r="H535" s="22"/>
      <c r="I535" s="113"/>
      <c r="J535" s="22"/>
      <c r="K535" s="22"/>
      <c r="L535" s="22"/>
      <c r="M535" s="22"/>
      <c r="N535" s="22"/>
      <c r="O535" s="22"/>
    </row>
    <row r="536" spans="1:15" x14ac:dyDescent="0.2">
      <c r="A536" s="22"/>
      <c r="B536" s="112"/>
      <c r="C536" s="113"/>
      <c r="D536" s="22"/>
      <c r="E536" s="114"/>
      <c r="F536" s="22"/>
      <c r="G536" s="22"/>
      <c r="H536" s="22"/>
      <c r="I536" s="113"/>
      <c r="J536" s="22"/>
      <c r="K536" s="22"/>
      <c r="L536" s="22"/>
      <c r="M536" s="22"/>
      <c r="N536" s="22"/>
      <c r="O536" s="22"/>
    </row>
    <row r="537" spans="1:15" x14ac:dyDescent="0.2">
      <c r="A537" s="22"/>
      <c r="B537" s="112"/>
      <c r="C537" s="113"/>
      <c r="D537" s="22"/>
      <c r="E537" s="114"/>
      <c r="F537" s="22"/>
      <c r="G537" s="22"/>
      <c r="H537" s="22"/>
      <c r="I537" s="113"/>
      <c r="J537" s="22"/>
      <c r="K537" s="22"/>
      <c r="L537" s="22"/>
      <c r="M537" s="22"/>
      <c r="N537" s="22"/>
      <c r="O537" s="22"/>
    </row>
    <row r="538" spans="1:15" x14ac:dyDescent="0.2">
      <c r="A538" s="22"/>
      <c r="B538" s="112"/>
      <c r="C538" s="113"/>
      <c r="D538" s="22"/>
      <c r="E538" s="114"/>
      <c r="F538" s="22"/>
      <c r="G538" s="22"/>
      <c r="H538" s="22"/>
      <c r="I538" s="113"/>
      <c r="J538" s="22"/>
      <c r="K538" s="22"/>
      <c r="L538" s="22"/>
      <c r="M538" s="22"/>
      <c r="N538" s="22"/>
      <c r="O538" s="22"/>
    </row>
    <row r="539" spans="1:15" x14ac:dyDescent="0.2">
      <c r="A539" s="22"/>
      <c r="B539" s="112"/>
      <c r="C539" s="113"/>
      <c r="D539" s="22"/>
      <c r="E539" s="114"/>
      <c r="F539" s="22"/>
      <c r="G539" s="22"/>
      <c r="H539" s="22"/>
      <c r="I539" s="113"/>
      <c r="J539" s="22"/>
      <c r="K539" s="22"/>
      <c r="L539" s="22"/>
      <c r="M539" s="22"/>
      <c r="N539" s="22"/>
      <c r="O539" s="22"/>
    </row>
    <row r="540" spans="1:15" x14ac:dyDescent="0.2">
      <c r="A540" s="22"/>
      <c r="B540" s="112"/>
      <c r="C540" s="113"/>
      <c r="D540" s="22"/>
      <c r="E540" s="114"/>
      <c r="F540" s="22"/>
      <c r="G540" s="22"/>
      <c r="H540" s="22"/>
      <c r="I540" s="113"/>
      <c r="J540" s="22"/>
      <c r="K540" s="22"/>
      <c r="L540" s="22"/>
      <c r="M540" s="22"/>
      <c r="N540" s="22"/>
      <c r="O540" s="22"/>
    </row>
    <row r="541" spans="1:15" x14ac:dyDescent="0.2">
      <c r="A541" s="22"/>
      <c r="B541" s="112"/>
      <c r="C541" s="113"/>
      <c r="D541" s="22"/>
      <c r="E541" s="114"/>
      <c r="F541" s="22"/>
      <c r="G541" s="22"/>
      <c r="H541" s="22"/>
      <c r="I541" s="113"/>
      <c r="J541" s="22"/>
      <c r="K541" s="22"/>
      <c r="L541" s="22"/>
      <c r="M541" s="22"/>
      <c r="N541" s="22"/>
      <c r="O541" s="22"/>
    </row>
    <row r="542" spans="1:15" x14ac:dyDescent="0.2">
      <c r="A542" s="22"/>
      <c r="B542" s="112"/>
      <c r="C542" s="113"/>
      <c r="D542" s="22"/>
      <c r="E542" s="114"/>
      <c r="F542" s="22"/>
      <c r="G542" s="22"/>
      <c r="H542" s="22"/>
      <c r="I542" s="113"/>
      <c r="J542" s="22"/>
      <c r="K542" s="22"/>
      <c r="L542" s="22"/>
      <c r="M542" s="22"/>
      <c r="N542" s="22"/>
      <c r="O542" s="22"/>
    </row>
    <row r="543" spans="1:15" x14ac:dyDescent="0.2">
      <c r="A543" s="22"/>
      <c r="B543" s="112"/>
      <c r="C543" s="113"/>
      <c r="D543" s="22"/>
      <c r="E543" s="114"/>
      <c r="F543" s="22"/>
      <c r="G543" s="22"/>
      <c r="H543" s="22"/>
      <c r="I543" s="113"/>
      <c r="J543" s="22"/>
      <c r="K543" s="22"/>
      <c r="L543" s="22"/>
      <c r="M543" s="22"/>
      <c r="N543" s="22"/>
      <c r="O543" s="22"/>
    </row>
    <row r="544" spans="1:15" x14ac:dyDescent="0.2">
      <c r="A544" s="22"/>
      <c r="B544" s="112"/>
      <c r="C544" s="113"/>
      <c r="D544" s="22"/>
      <c r="E544" s="114"/>
      <c r="F544" s="22"/>
      <c r="G544" s="22"/>
      <c r="H544" s="22"/>
      <c r="I544" s="113"/>
      <c r="J544" s="22"/>
      <c r="K544" s="22"/>
      <c r="L544" s="22"/>
      <c r="M544" s="22"/>
      <c r="N544" s="22"/>
      <c r="O544" s="22"/>
    </row>
    <row r="545" spans="1:15" x14ac:dyDescent="0.2">
      <c r="A545" s="22"/>
      <c r="B545" s="112"/>
      <c r="C545" s="113"/>
      <c r="D545" s="22"/>
      <c r="E545" s="114"/>
      <c r="F545" s="22"/>
      <c r="G545" s="22"/>
      <c r="H545" s="22"/>
      <c r="I545" s="113"/>
      <c r="J545" s="22"/>
      <c r="K545" s="22"/>
      <c r="L545" s="22"/>
      <c r="M545" s="22"/>
      <c r="N545" s="22"/>
      <c r="O545" s="22"/>
    </row>
    <row r="546" spans="1:15" x14ac:dyDescent="0.2">
      <c r="A546" s="22"/>
      <c r="B546" s="112"/>
      <c r="C546" s="113"/>
      <c r="D546" s="22"/>
      <c r="E546" s="114"/>
      <c r="F546" s="22"/>
      <c r="G546" s="22"/>
      <c r="H546" s="22"/>
      <c r="I546" s="113"/>
      <c r="J546" s="22"/>
      <c r="K546" s="22"/>
      <c r="L546" s="22"/>
      <c r="M546" s="22"/>
      <c r="N546" s="22"/>
      <c r="O546" s="22"/>
    </row>
    <row r="547" spans="1:15" x14ac:dyDescent="0.2">
      <c r="A547" s="22"/>
      <c r="B547" s="112"/>
      <c r="C547" s="113"/>
      <c r="D547" s="22"/>
      <c r="E547" s="114"/>
      <c r="F547" s="22"/>
      <c r="G547" s="22"/>
      <c r="H547" s="22"/>
      <c r="I547" s="113"/>
      <c r="J547" s="22"/>
      <c r="K547" s="22"/>
      <c r="L547" s="22"/>
      <c r="M547" s="22"/>
      <c r="N547" s="22"/>
      <c r="O547" s="22"/>
    </row>
    <row r="548" spans="1:15" x14ac:dyDescent="0.2">
      <c r="A548" s="22"/>
      <c r="B548" s="112"/>
      <c r="C548" s="113"/>
      <c r="D548" s="22"/>
      <c r="E548" s="114"/>
      <c r="F548" s="22"/>
      <c r="G548" s="22"/>
      <c r="H548" s="22"/>
      <c r="I548" s="113"/>
      <c r="J548" s="22"/>
      <c r="K548" s="22"/>
      <c r="L548" s="22"/>
      <c r="M548" s="22"/>
      <c r="N548" s="22"/>
      <c r="O548" s="22"/>
    </row>
    <row r="549" spans="1:15" x14ac:dyDescent="0.2">
      <c r="A549" s="22"/>
      <c r="B549" s="112"/>
      <c r="C549" s="113"/>
      <c r="D549" s="22"/>
      <c r="E549" s="114"/>
      <c r="F549" s="22"/>
      <c r="G549" s="22"/>
      <c r="H549" s="22"/>
      <c r="I549" s="113"/>
      <c r="J549" s="22"/>
      <c r="K549" s="22"/>
      <c r="L549" s="22"/>
      <c r="M549" s="22"/>
      <c r="N549" s="22"/>
      <c r="O549" s="22"/>
    </row>
    <row r="550" spans="1:15" x14ac:dyDescent="0.2">
      <c r="A550" s="22"/>
      <c r="B550" s="112"/>
      <c r="C550" s="113"/>
      <c r="D550" s="22"/>
      <c r="E550" s="114"/>
      <c r="F550" s="22"/>
      <c r="G550" s="22"/>
      <c r="H550" s="22"/>
      <c r="I550" s="113"/>
      <c r="J550" s="22"/>
      <c r="K550" s="22"/>
      <c r="L550" s="22"/>
      <c r="M550" s="22"/>
      <c r="N550" s="22"/>
      <c r="O550" s="22"/>
    </row>
    <row r="551" spans="1:15" x14ac:dyDescent="0.2">
      <c r="A551" s="22"/>
      <c r="B551" s="112"/>
      <c r="C551" s="113"/>
      <c r="D551" s="22"/>
      <c r="E551" s="114"/>
      <c r="F551" s="22"/>
      <c r="G551" s="22"/>
      <c r="H551" s="22"/>
      <c r="I551" s="113"/>
      <c r="J551" s="22"/>
      <c r="K551" s="22"/>
      <c r="L551" s="22"/>
      <c r="M551" s="22"/>
      <c r="N551" s="22"/>
      <c r="O551" s="22"/>
    </row>
    <row r="552" spans="1:15" x14ac:dyDescent="0.2">
      <c r="A552" s="22"/>
      <c r="B552" s="112"/>
      <c r="C552" s="113"/>
      <c r="D552" s="22"/>
      <c r="E552" s="114"/>
      <c r="F552" s="22"/>
      <c r="G552" s="22"/>
      <c r="H552" s="22"/>
      <c r="I552" s="113"/>
      <c r="J552" s="22"/>
      <c r="K552" s="22"/>
      <c r="L552" s="22"/>
      <c r="M552" s="22"/>
      <c r="N552" s="22"/>
      <c r="O552" s="22"/>
    </row>
    <row r="553" spans="1:15" x14ac:dyDescent="0.2">
      <c r="A553" s="22"/>
      <c r="B553" s="112"/>
      <c r="C553" s="113"/>
      <c r="D553" s="22"/>
      <c r="E553" s="114"/>
      <c r="F553" s="22"/>
      <c r="G553" s="22"/>
      <c r="H553" s="22"/>
      <c r="I553" s="113"/>
      <c r="J553" s="22"/>
      <c r="K553" s="22"/>
      <c r="L553" s="22"/>
      <c r="M553" s="22"/>
      <c r="N553" s="22"/>
      <c r="O553" s="22"/>
    </row>
    <row r="554" spans="1:15" x14ac:dyDescent="0.2">
      <c r="A554" s="22"/>
      <c r="B554" s="112"/>
      <c r="C554" s="113"/>
      <c r="D554" s="22"/>
      <c r="E554" s="114"/>
      <c r="F554" s="22"/>
      <c r="G554" s="22"/>
      <c r="H554" s="22"/>
      <c r="I554" s="113"/>
      <c r="J554" s="22"/>
      <c r="K554" s="22"/>
      <c r="L554" s="22"/>
      <c r="M554" s="22"/>
      <c r="N554" s="22"/>
      <c r="O554" s="22"/>
    </row>
    <row r="555" spans="1:15" x14ac:dyDescent="0.2">
      <c r="A555" s="22"/>
      <c r="B555" s="112"/>
      <c r="C555" s="113"/>
      <c r="D555" s="22"/>
      <c r="E555" s="114"/>
      <c r="F555" s="22"/>
      <c r="G555" s="22"/>
      <c r="H555" s="22"/>
      <c r="I555" s="113"/>
      <c r="J555" s="22"/>
      <c r="K555" s="22"/>
      <c r="L555" s="22"/>
      <c r="M555" s="22"/>
      <c r="N555" s="22"/>
      <c r="O555" s="22"/>
    </row>
    <row r="556" spans="1:15" x14ac:dyDescent="0.2">
      <c r="A556" s="22"/>
      <c r="B556" s="112"/>
      <c r="C556" s="113"/>
      <c r="D556" s="22"/>
      <c r="E556" s="114"/>
      <c r="F556" s="22"/>
      <c r="G556" s="22"/>
      <c r="H556" s="22"/>
      <c r="I556" s="113"/>
      <c r="J556" s="22"/>
      <c r="K556" s="22"/>
      <c r="L556" s="22"/>
      <c r="M556" s="22"/>
      <c r="N556" s="22"/>
      <c r="O556" s="22"/>
    </row>
    <row r="557" spans="1:15" x14ac:dyDescent="0.2">
      <c r="A557" s="22"/>
      <c r="B557" s="112"/>
      <c r="C557" s="113"/>
      <c r="D557" s="22"/>
      <c r="E557" s="114"/>
      <c r="F557" s="22"/>
      <c r="G557" s="22"/>
      <c r="H557" s="22"/>
      <c r="I557" s="113"/>
      <c r="J557" s="22"/>
      <c r="K557" s="22"/>
      <c r="L557" s="22"/>
      <c r="M557" s="22"/>
      <c r="N557" s="22"/>
      <c r="O557" s="22"/>
    </row>
    <row r="558" spans="1:15" x14ac:dyDescent="0.2">
      <c r="A558" s="22"/>
      <c r="B558" s="112"/>
      <c r="C558" s="113"/>
      <c r="D558" s="22"/>
      <c r="E558" s="114"/>
      <c r="F558" s="22"/>
      <c r="G558" s="22"/>
      <c r="H558" s="22"/>
      <c r="I558" s="113"/>
      <c r="J558" s="22"/>
      <c r="K558" s="22"/>
      <c r="L558" s="22"/>
      <c r="M558" s="22"/>
      <c r="N558" s="22"/>
      <c r="O558" s="22"/>
    </row>
    <row r="559" spans="1:15" x14ac:dyDescent="0.2">
      <c r="A559" s="22"/>
      <c r="B559" s="112"/>
      <c r="C559" s="113"/>
      <c r="D559" s="22"/>
      <c r="E559" s="114"/>
      <c r="F559" s="22"/>
      <c r="G559" s="22"/>
      <c r="H559" s="22"/>
      <c r="I559" s="113"/>
      <c r="J559" s="22"/>
      <c r="K559" s="22"/>
      <c r="L559" s="22"/>
      <c r="M559" s="22"/>
      <c r="N559" s="22"/>
      <c r="O559" s="22"/>
    </row>
    <row r="560" spans="1:15" x14ac:dyDescent="0.2">
      <c r="A560" s="22"/>
      <c r="B560" s="112"/>
      <c r="C560" s="113"/>
      <c r="D560" s="22"/>
      <c r="E560" s="114"/>
      <c r="F560" s="22"/>
      <c r="G560" s="22"/>
      <c r="H560" s="22"/>
      <c r="I560" s="113"/>
      <c r="J560" s="22"/>
      <c r="K560" s="22"/>
      <c r="L560" s="22"/>
      <c r="M560" s="22"/>
      <c r="N560" s="22"/>
      <c r="O560" s="22"/>
    </row>
    <row r="561" spans="1:15" x14ac:dyDescent="0.2">
      <c r="A561" s="22"/>
      <c r="B561" s="112"/>
      <c r="C561" s="113"/>
      <c r="D561" s="22"/>
      <c r="E561" s="114"/>
      <c r="F561" s="22"/>
      <c r="G561" s="22"/>
      <c r="H561" s="22"/>
      <c r="I561" s="113"/>
      <c r="J561" s="22"/>
      <c r="K561" s="22"/>
      <c r="L561" s="22"/>
      <c r="M561" s="22"/>
      <c r="N561" s="22"/>
      <c r="O561" s="22"/>
    </row>
    <row r="562" spans="1:15" x14ac:dyDescent="0.2">
      <c r="A562" s="22"/>
      <c r="B562" s="112"/>
      <c r="C562" s="113"/>
      <c r="D562" s="22"/>
      <c r="E562" s="114"/>
      <c r="F562" s="22"/>
      <c r="G562" s="22"/>
      <c r="H562" s="22"/>
      <c r="I562" s="113"/>
      <c r="J562" s="22"/>
      <c r="K562" s="22"/>
      <c r="L562" s="22"/>
      <c r="M562" s="22"/>
      <c r="N562" s="22"/>
      <c r="O562" s="22"/>
    </row>
    <row r="563" spans="1:15" x14ac:dyDescent="0.2">
      <c r="A563" s="22"/>
      <c r="B563" s="112"/>
      <c r="C563" s="113"/>
      <c r="D563" s="22"/>
      <c r="E563" s="114"/>
      <c r="F563" s="22"/>
      <c r="G563" s="22"/>
      <c r="H563" s="22"/>
      <c r="I563" s="113"/>
      <c r="J563" s="22"/>
      <c r="K563" s="22"/>
      <c r="L563" s="22"/>
      <c r="M563" s="22"/>
      <c r="N563" s="22"/>
      <c r="O563" s="22"/>
    </row>
    <row r="564" spans="1:15" x14ac:dyDescent="0.2">
      <c r="A564" s="22"/>
      <c r="B564" s="112"/>
      <c r="C564" s="113"/>
      <c r="D564" s="22"/>
      <c r="E564" s="114"/>
      <c r="F564" s="22"/>
      <c r="G564" s="22"/>
      <c r="H564" s="22"/>
      <c r="I564" s="113"/>
      <c r="J564" s="22"/>
      <c r="K564" s="22"/>
      <c r="L564" s="22"/>
      <c r="M564" s="22"/>
      <c r="N564" s="22"/>
      <c r="O564" s="22"/>
    </row>
    <row r="565" spans="1:15" x14ac:dyDescent="0.2">
      <c r="A565" s="22"/>
      <c r="B565" s="112"/>
      <c r="C565" s="113"/>
      <c r="D565" s="22"/>
      <c r="E565" s="114"/>
      <c r="F565" s="22"/>
      <c r="G565" s="22"/>
      <c r="H565" s="22"/>
      <c r="I565" s="113"/>
      <c r="J565" s="22"/>
      <c r="K565" s="22"/>
      <c r="L565" s="22"/>
      <c r="M565" s="22"/>
      <c r="N565" s="22"/>
      <c r="O565" s="22"/>
    </row>
    <row r="566" spans="1:15" x14ac:dyDescent="0.2">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phoneticPr fontId="47" type="noConversion"/>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8"/>
  <sheetViews>
    <sheetView zoomScaleNormal="100" workbookViewId="0">
      <pane ySplit="12" topLeftCell="A13" activePane="bottomLeft" state="frozen"/>
      <selection pane="bottomLeft" activeCell="K32" sqref="K32"/>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76" t="s">
        <v>1082</v>
      </c>
      <c r="B10" s="277"/>
      <c r="C10" s="277"/>
      <c r="D10" s="278"/>
      <c r="E10" s="229" t="s">
        <v>1087</v>
      </c>
      <c r="F10" s="230"/>
      <c r="G10" s="280" t="s">
        <v>1084</v>
      </c>
      <c r="H10" s="280"/>
      <c r="I10" s="280"/>
      <c r="J10" s="280"/>
      <c r="K10" s="280"/>
      <c r="L10" s="281"/>
      <c r="M10" s="279" t="s">
        <v>1085</v>
      </c>
      <c r="N10" s="280"/>
      <c r="O10" s="280"/>
      <c r="P10" s="280"/>
      <c r="Q10" s="280"/>
      <c r="R10" s="281"/>
    </row>
    <row r="11" spans="1:18" ht="20" customHeight="1" thickBot="1" x14ac:dyDescent="0.25">
      <c r="A11" s="274" t="s">
        <v>1185</v>
      </c>
      <c r="B11" s="254" t="s">
        <v>1080</v>
      </c>
      <c r="C11" s="284" t="s">
        <v>1103</v>
      </c>
      <c r="D11" s="282" t="s">
        <v>1081</v>
      </c>
      <c r="E11" s="227" t="s">
        <v>11</v>
      </c>
      <c r="F11" s="220" t="s">
        <v>1086</v>
      </c>
      <c r="G11" s="225" t="s">
        <v>1155</v>
      </c>
      <c r="H11" s="225"/>
      <c r="I11" s="226"/>
      <c r="J11" s="210" t="s">
        <v>1198</v>
      </c>
      <c r="K11" s="211"/>
      <c r="L11" s="212"/>
      <c r="M11" s="224" t="s">
        <v>1155</v>
      </c>
      <c r="N11" s="225"/>
      <c r="O11" s="226"/>
      <c r="P11" s="210" t="s">
        <v>1198</v>
      </c>
      <c r="Q11" s="211"/>
      <c r="R11" s="212"/>
    </row>
    <row r="12" spans="1:18" ht="45" customHeight="1" thickBot="1" x14ac:dyDescent="0.25">
      <c r="A12" s="275"/>
      <c r="B12" s="256"/>
      <c r="C12" s="285"/>
      <c r="D12" s="283"/>
      <c r="E12" s="228"/>
      <c r="F12" s="221"/>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t="s">
        <v>1419</v>
      </c>
      <c r="B16" s="133" t="s">
        <v>1414</v>
      </c>
      <c r="C16" s="81" t="s">
        <v>19</v>
      </c>
      <c r="D16" s="84" t="s">
        <v>1416</v>
      </c>
      <c r="E16" s="82" t="s">
        <v>1413</v>
      </c>
      <c r="F16" s="83" t="s">
        <v>1418</v>
      </c>
      <c r="G16" s="82">
        <v>79</v>
      </c>
      <c r="H16" s="134">
        <f>I16</f>
        <v>98.75</v>
      </c>
      <c r="I16" s="83">
        <f>G16*1.25</f>
        <v>98.75</v>
      </c>
      <c r="J16" s="82">
        <f>G16/360</f>
        <v>0.21944444444444444</v>
      </c>
      <c r="K16" s="134">
        <f>L16</f>
        <v>0.27430555555555558</v>
      </c>
      <c r="L16" s="83">
        <f>J16*1.25</f>
        <v>0.27430555555555558</v>
      </c>
      <c r="M16" s="82"/>
      <c r="N16" s="134"/>
      <c r="O16" s="83"/>
      <c r="P16" s="82"/>
      <c r="Q16" s="134"/>
      <c r="R16" s="83"/>
    </row>
    <row r="17" spans="1:18" x14ac:dyDescent="0.2">
      <c r="A17" s="197" t="s">
        <v>1419</v>
      </c>
      <c r="B17" s="133" t="s">
        <v>1414</v>
      </c>
      <c r="C17" s="81" t="s">
        <v>1415</v>
      </c>
      <c r="D17" s="84" t="s">
        <v>1417</v>
      </c>
      <c r="E17" s="82" t="s">
        <v>1413</v>
      </c>
      <c r="F17" s="83" t="s">
        <v>1418</v>
      </c>
      <c r="G17" s="196">
        <v>132</v>
      </c>
      <c r="H17" s="134">
        <f>I17</f>
        <v>165</v>
      </c>
      <c r="I17" s="83">
        <f>G17*1.25</f>
        <v>165</v>
      </c>
      <c r="J17" s="82">
        <f>G17/360</f>
        <v>0.36666666666666664</v>
      </c>
      <c r="K17" s="134">
        <f>L17</f>
        <v>0.45833333333333331</v>
      </c>
      <c r="L17" s="83">
        <f>J17*1.25</f>
        <v>0.45833333333333331</v>
      </c>
      <c r="M17" s="82"/>
      <c r="N17" s="134"/>
      <c r="O17" s="83"/>
      <c r="P17" s="82"/>
      <c r="Q17" s="134"/>
      <c r="R17" s="83"/>
    </row>
    <row r="18" spans="1:18" x14ac:dyDescent="0.2">
      <c r="A18" s="79"/>
      <c r="B18" s="133"/>
      <c r="C18" s="81"/>
      <c r="D18" s="84"/>
      <c r="E18" s="82"/>
      <c r="F18" s="83"/>
      <c r="G18" s="82"/>
      <c r="H18" s="134"/>
      <c r="I18" s="83"/>
      <c r="J18" s="82"/>
      <c r="K18" s="134"/>
      <c r="L18" s="83"/>
      <c r="M18" s="82"/>
      <c r="N18" s="134"/>
      <c r="O18" s="83"/>
      <c r="P18" s="82"/>
      <c r="Q18" s="134"/>
      <c r="R18" s="83"/>
    </row>
    <row r="19" spans="1:18" x14ac:dyDescent="0.2">
      <c r="A19" s="79" t="s">
        <v>1455</v>
      </c>
      <c r="B19" s="133" t="s">
        <v>1375</v>
      </c>
      <c r="C19" s="81" t="s">
        <v>1389</v>
      </c>
      <c r="D19" s="84" t="s">
        <v>1390</v>
      </c>
      <c r="E19" s="82" t="s">
        <v>1391</v>
      </c>
      <c r="F19" s="83" t="s">
        <v>1455</v>
      </c>
      <c r="G19" s="82">
        <v>3838</v>
      </c>
      <c r="H19" s="134">
        <f t="shared" ref="H19:H20" si="0">I19</f>
        <v>4797.5</v>
      </c>
      <c r="I19" s="83">
        <f t="shared" ref="I19:I20" si="1">G19*1.25</f>
        <v>4797.5</v>
      </c>
      <c r="J19" s="82">
        <f>G19/250</f>
        <v>15.352</v>
      </c>
      <c r="K19" s="134">
        <f t="shared" ref="K19:K23" si="2">L19</f>
        <v>19.190000000000001</v>
      </c>
      <c r="L19" s="83">
        <f t="shared" ref="L19:L20" si="3">J19*1.25</f>
        <v>19.190000000000001</v>
      </c>
      <c r="M19" s="82"/>
      <c r="N19" s="134"/>
      <c r="O19" s="83"/>
      <c r="P19" s="82"/>
      <c r="Q19" s="134"/>
      <c r="R19" s="83"/>
    </row>
    <row r="20" spans="1:18" x14ac:dyDescent="0.2">
      <c r="A20" s="79" t="s">
        <v>1455</v>
      </c>
      <c r="B20" s="133" t="s">
        <v>1375</v>
      </c>
      <c r="C20" s="81" t="s">
        <v>1392</v>
      </c>
      <c r="D20" s="84" t="s">
        <v>1390</v>
      </c>
      <c r="E20" s="82" t="s">
        <v>1391</v>
      </c>
      <c r="F20" s="83" t="s">
        <v>1455</v>
      </c>
      <c r="G20" s="82">
        <v>7250</v>
      </c>
      <c r="H20" s="134">
        <f t="shared" si="0"/>
        <v>9062.5</v>
      </c>
      <c r="I20" s="83">
        <f t="shared" si="1"/>
        <v>9062.5</v>
      </c>
      <c r="J20" s="82">
        <f>G20/250</f>
        <v>29</v>
      </c>
      <c r="K20" s="134">
        <f t="shared" si="2"/>
        <v>36.25</v>
      </c>
      <c r="L20" s="83">
        <f t="shared" si="3"/>
        <v>36.25</v>
      </c>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t="s">
        <v>1466</v>
      </c>
      <c r="B22" s="133" t="s">
        <v>1421</v>
      </c>
      <c r="C22" s="81" t="s">
        <v>1425</v>
      </c>
      <c r="D22" s="84" t="s">
        <v>1426</v>
      </c>
      <c r="E22" s="82" t="s">
        <v>1391</v>
      </c>
      <c r="F22" s="83" t="s">
        <v>1453</v>
      </c>
      <c r="G22" s="196">
        <f>0.75*161000</f>
        <v>120750</v>
      </c>
      <c r="H22" s="134">
        <f t="shared" ref="H22:H23" si="4">I22</f>
        <v>150937.5</v>
      </c>
      <c r="I22" s="83">
        <f t="shared" ref="I22:I23" si="5">G22*1.25</f>
        <v>150937.5</v>
      </c>
      <c r="J22" s="82">
        <f>G22/250</f>
        <v>483</v>
      </c>
      <c r="K22" s="134">
        <f t="shared" si="2"/>
        <v>603.75</v>
      </c>
      <c r="L22" s="83">
        <f t="shared" ref="L22:L23" si="6">J22*1.25</f>
        <v>603.75</v>
      </c>
      <c r="M22" s="82"/>
      <c r="N22" s="134"/>
      <c r="O22" s="83"/>
      <c r="P22" s="82"/>
      <c r="Q22" s="134"/>
      <c r="R22" s="83"/>
    </row>
    <row r="23" spans="1:18" x14ac:dyDescent="0.2">
      <c r="A23" s="79" t="s">
        <v>1467</v>
      </c>
      <c r="B23" s="133" t="s">
        <v>1421</v>
      </c>
      <c r="C23" s="81" t="s">
        <v>1425</v>
      </c>
      <c r="D23" s="84" t="s">
        <v>1426</v>
      </c>
      <c r="E23" s="82" t="s">
        <v>1391</v>
      </c>
      <c r="F23" s="83" t="s">
        <v>1465</v>
      </c>
      <c r="G23" s="196">
        <f>0.25*161000</f>
        <v>40250</v>
      </c>
      <c r="H23" s="134">
        <f t="shared" si="4"/>
        <v>50312.5</v>
      </c>
      <c r="I23" s="83">
        <f t="shared" si="5"/>
        <v>50312.5</v>
      </c>
      <c r="J23" s="82">
        <f>G23/250</f>
        <v>161</v>
      </c>
      <c r="K23" s="134">
        <f t="shared" si="2"/>
        <v>201.25</v>
      </c>
      <c r="L23" s="83">
        <f t="shared" si="6"/>
        <v>201.25</v>
      </c>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t="s">
        <v>1462</v>
      </c>
      <c r="B25" s="133" t="s">
        <v>1427</v>
      </c>
      <c r="C25" s="81" t="s">
        <v>1428</v>
      </c>
      <c r="D25" s="84" t="s">
        <v>1429</v>
      </c>
      <c r="E25" s="82" t="s">
        <v>1413</v>
      </c>
      <c r="F25" s="83" t="s">
        <v>1418</v>
      </c>
      <c r="G25" s="82">
        <v>95.4</v>
      </c>
      <c r="H25" s="134">
        <f>I25</f>
        <v>119.25</v>
      </c>
      <c r="I25" s="83">
        <f>G25*1.25</f>
        <v>119.25</v>
      </c>
      <c r="J25" s="82">
        <f>G25/350</f>
        <v>0.27257142857142858</v>
      </c>
      <c r="K25" s="134">
        <f>L25</f>
        <v>0.34071428571428575</v>
      </c>
      <c r="L25" s="83">
        <f>J25*1.25</f>
        <v>0.34071428571428575</v>
      </c>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t="s">
        <v>1450</v>
      </c>
      <c r="B27" s="133" t="s">
        <v>1451</v>
      </c>
      <c r="C27" s="81" t="s">
        <v>1432</v>
      </c>
      <c r="D27" s="84" t="s">
        <v>1422</v>
      </c>
      <c r="E27" s="82" t="s">
        <v>1391</v>
      </c>
      <c r="F27" s="199" t="s">
        <v>1452</v>
      </c>
      <c r="G27" s="82">
        <v>3800</v>
      </c>
      <c r="H27" s="134">
        <f t="shared" ref="H27:H30" si="7">I27</f>
        <v>4750</v>
      </c>
      <c r="I27" s="83">
        <f t="shared" ref="I27:I28" si="8">G27*1.25</f>
        <v>4750</v>
      </c>
      <c r="J27" s="82">
        <f>G27/360</f>
        <v>10.555555555555555</v>
      </c>
      <c r="K27" s="134">
        <f t="shared" ref="K27:K28" si="9">L27</f>
        <v>13.194444444444445</v>
      </c>
      <c r="L27" s="83">
        <f t="shared" ref="L27:L28" si="10">J27*1.25</f>
        <v>13.194444444444445</v>
      </c>
      <c r="M27" s="82"/>
      <c r="N27" s="134"/>
      <c r="O27" s="83"/>
      <c r="P27" s="82"/>
      <c r="Q27" s="134"/>
      <c r="R27" s="83"/>
    </row>
    <row r="28" spans="1:18" x14ac:dyDescent="0.2">
      <c r="A28" s="79" t="s">
        <v>1431</v>
      </c>
      <c r="B28" s="133" t="s">
        <v>1435</v>
      </c>
      <c r="C28" s="81" t="s">
        <v>1433</v>
      </c>
      <c r="D28" s="84" t="s">
        <v>1434</v>
      </c>
      <c r="E28" s="82" t="s">
        <v>1391</v>
      </c>
      <c r="F28" s="199" t="s">
        <v>1454</v>
      </c>
      <c r="G28" s="82">
        <v>1950</v>
      </c>
      <c r="H28" s="134">
        <f t="shared" si="7"/>
        <v>2437.5</v>
      </c>
      <c r="I28" s="83">
        <f t="shared" si="8"/>
        <v>2437.5</v>
      </c>
      <c r="J28" s="82">
        <f>G28/250</f>
        <v>7.8</v>
      </c>
      <c r="K28" s="134">
        <f t="shared" si="9"/>
        <v>9.75</v>
      </c>
      <c r="L28" s="83">
        <f t="shared" si="10"/>
        <v>9.75</v>
      </c>
      <c r="M28" s="82"/>
      <c r="N28" s="134"/>
      <c r="O28" s="83"/>
      <c r="P28" s="82"/>
      <c r="Q28" s="134"/>
      <c r="R28" s="83"/>
    </row>
    <row r="29" spans="1:18" x14ac:dyDescent="0.2">
      <c r="A29" s="79"/>
      <c r="B29" s="133"/>
      <c r="C29" s="81"/>
      <c r="D29" s="84"/>
      <c r="E29" s="82"/>
      <c r="F29" s="199"/>
      <c r="G29" s="82"/>
      <c r="H29" s="134"/>
      <c r="I29" s="83"/>
      <c r="J29" s="82"/>
      <c r="K29" s="134"/>
      <c r="L29" s="83"/>
      <c r="M29" s="82"/>
      <c r="N29" s="134"/>
      <c r="O29" s="83"/>
      <c r="P29" s="82"/>
      <c r="Q29" s="134"/>
      <c r="R29" s="83"/>
    </row>
    <row r="30" spans="1:18" x14ac:dyDescent="0.2">
      <c r="A30" s="79" t="s">
        <v>1445</v>
      </c>
      <c r="B30" s="133" t="s">
        <v>1446</v>
      </c>
      <c r="C30" s="81" t="s">
        <v>1447</v>
      </c>
      <c r="D30" s="84" t="s">
        <v>1448</v>
      </c>
      <c r="E30" s="82" t="s">
        <v>1391</v>
      </c>
      <c r="F30" s="199" t="s">
        <v>1449</v>
      </c>
      <c r="G30" s="82">
        <f>500*4</f>
        <v>2000</v>
      </c>
      <c r="H30" s="134">
        <f t="shared" si="7"/>
        <v>2500</v>
      </c>
      <c r="I30" s="83">
        <f t="shared" ref="I30" si="11">G30*1.25</f>
        <v>2500</v>
      </c>
      <c r="J30" s="82">
        <f>G30/365</f>
        <v>5.4794520547945202</v>
      </c>
      <c r="K30" s="134">
        <f>L30</f>
        <v>6.8493150684931505</v>
      </c>
      <c r="L30" s="83">
        <f>J30*1.25</f>
        <v>6.8493150684931505</v>
      </c>
      <c r="M30" s="82"/>
      <c r="N30" s="134"/>
      <c r="O30" s="83"/>
      <c r="P30" s="82"/>
      <c r="Q30" s="134"/>
      <c r="R30" s="83"/>
    </row>
    <row r="31" spans="1:18" x14ac:dyDescent="0.2">
      <c r="A31" s="79"/>
      <c r="B31" s="133"/>
      <c r="C31" s="81"/>
      <c r="D31" s="84"/>
      <c r="E31" s="82"/>
      <c r="F31" s="83"/>
      <c r="G31" s="82"/>
      <c r="H31" s="134"/>
      <c r="I31" s="83"/>
      <c r="J31" s="82"/>
      <c r="K31" s="134"/>
      <c r="L31" s="83"/>
      <c r="M31" s="82"/>
      <c r="N31" s="134"/>
      <c r="O31" s="83"/>
      <c r="P31" s="82"/>
      <c r="Q31" s="134"/>
      <c r="R31" s="83"/>
    </row>
    <row r="32" spans="1:18" x14ac:dyDescent="0.2">
      <c r="A32" s="79"/>
      <c r="B32" s="133"/>
      <c r="C32" s="81"/>
      <c r="D32" s="84"/>
      <c r="E32" s="82"/>
      <c r="F32" s="83"/>
      <c r="G32" s="82"/>
      <c r="H32" s="134"/>
      <c r="I32" s="83"/>
      <c r="J32" s="82"/>
      <c r="K32" s="134"/>
      <c r="L32" s="83"/>
      <c r="M32" s="82"/>
      <c r="N32" s="134"/>
      <c r="O32" s="83"/>
      <c r="P32" s="82"/>
      <c r="Q32" s="134"/>
      <c r="R32" s="83"/>
    </row>
    <row r="33" spans="1:18" x14ac:dyDescent="0.2">
      <c r="A33" s="79"/>
      <c r="B33" s="133"/>
      <c r="C33" s="81"/>
      <c r="D33" s="84"/>
      <c r="E33" s="82"/>
      <c r="F33" s="83"/>
      <c r="G33" s="82"/>
      <c r="H33" s="134"/>
      <c r="I33" s="83"/>
      <c r="J33" s="82"/>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c r="B35" s="133"/>
      <c r="C35" s="81"/>
      <c r="D35" s="84"/>
      <c r="E35" s="82"/>
      <c r="F35" s="83"/>
      <c r="G35" s="82"/>
      <c r="H35" s="134"/>
      <c r="I35" s="83"/>
      <c r="J35" s="82"/>
      <c r="K35" s="134"/>
      <c r="L35" s="83"/>
      <c r="M35" s="82"/>
      <c r="N35" s="134"/>
      <c r="O35" s="83"/>
      <c r="P35" s="82"/>
      <c r="Q35" s="134"/>
      <c r="R35" s="83"/>
    </row>
    <row r="36" spans="1:18" x14ac:dyDescent="0.2">
      <c r="A36" s="79"/>
      <c r="B36" s="133"/>
      <c r="C36" s="81"/>
      <c r="D36" s="84"/>
      <c r="E36" s="82"/>
      <c r="F36" s="83"/>
      <c r="G36" s="82"/>
      <c r="H36" s="134"/>
      <c r="I36" s="83"/>
      <c r="J36" s="82"/>
      <c r="K36" s="134"/>
      <c r="L36" s="83"/>
      <c r="M36" s="82"/>
      <c r="N36" s="134"/>
      <c r="O36" s="83"/>
      <c r="P36" s="82"/>
      <c r="Q36" s="134"/>
      <c r="R36" s="83"/>
    </row>
    <row r="37" spans="1:18" x14ac:dyDescent="0.2">
      <c r="A37" s="79"/>
      <c r="B37" s="133"/>
      <c r="C37" s="81"/>
      <c r="D37" s="84"/>
      <c r="E37" s="82"/>
      <c r="F37" s="83"/>
      <c r="G37" s="82"/>
      <c r="H37" s="134"/>
      <c r="I37" s="83"/>
      <c r="J37" s="82"/>
      <c r="K37" s="134"/>
      <c r="L37" s="83"/>
      <c r="M37" s="82"/>
      <c r="N37" s="134"/>
      <c r="O37" s="83"/>
      <c r="P37" s="82"/>
      <c r="Q37" s="134"/>
      <c r="R37" s="83"/>
    </row>
    <row r="38" spans="1:18" x14ac:dyDescent="0.2">
      <c r="A38" s="79"/>
      <c r="B38" s="133"/>
      <c r="C38" s="81"/>
      <c r="D38" s="84"/>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x14ac:dyDescent="0.2">
      <c r="A200" s="79"/>
      <c r="B200" s="133"/>
      <c r="C200" s="81"/>
      <c r="D200" s="84"/>
      <c r="E200" s="82"/>
      <c r="F200" s="83"/>
      <c r="G200" s="82"/>
      <c r="H200" s="134"/>
      <c r="I200" s="83"/>
      <c r="J200" s="82"/>
      <c r="K200" s="134"/>
      <c r="L200" s="83"/>
      <c r="M200" s="82"/>
      <c r="N200" s="134"/>
      <c r="O200" s="83"/>
      <c r="P200" s="82"/>
      <c r="Q200" s="134"/>
      <c r="R200" s="83"/>
    </row>
    <row r="201" spans="1:18" x14ac:dyDescent="0.2">
      <c r="A201" s="79"/>
      <c r="B201" s="133"/>
      <c r="C201" s="81"/>
      <c r="D201" s="84"/>
      <c r="E201" s="82"/>
      <c r="F201" s="83"/>
      <c r="G201" s="82"/>
      <c r="H201" s="134"/>
      <c r="I201" s="83"/>
      <c r="J201" s="82"/>
      <c r="K201" s="134"/>
      <c r="L201" s="83"/>
      <c r="M201" s="82"/>
      <c r="N201" s="134"/>
      <c r="O201" s="83"/>
      <c r="P201" s="82"/>
      <c r="Q201" s="134"/>
      <c r="R201" s="83"/>
    </row>
    <row r="202" spans="1:18" x14ac:dyDescent="0.2">
      <c r="A202" s="79"/>
      <c r="B202" s="133"/>
      <c r="C202" s="81"/>
      <c r="D202" s="84"/>
      <c r="E202" s="82"/>
      <c r="F202" s="83"/>
      <c r="G202" s="82"/>
      <c r="H202" s="134"/>
      <c r="I202" s="83"/>
      <c r="J202" s="82"/>
      <c r="K202" s="134"/>
      <c r="L202" s="83"/>
      <c r="M202" s="82"/>
      <c r="N202" s="134"/>
      <c r="O202" s="83"/>
      <c r="P202" s="82"/>
      <c r="Q202" s="134"/>
      <c r="R202" s="83"/>
    </row>
    <row r="203" spans="1:18" ht="16" thickBot="1" x14ac:dyDescent="0.25">
      <c r="A203" s="87"/>
      <c r="B203" s="135"/>
      <c r="C203" s="89"/>
      <c r="D203" s="92"/>
      <c r="E203" s="90"/>
      <c r="F203" s="91"/>
      <c r="G203" s="90"/>
      <c r="H203" s="136"/>
      <c r="I203" s="91"/>
      <c r="J203" s="90"/>
      <c r="K203" s="136"/>
      <c r="L203" s="91"/>
      <c r="M203" s="90"/>
      <c r="N203" s="136"/>
      <c r="O203" s="91"/>
      <c r="P203" s="90"/>
      <c r="Q203" s="136"/>
      <c r="R203" s="91"/>
    </row>
    <row r="204" spans="1:18" ht="40" customHeight="1" thickBot="1" x14ac:dyDescent="0.25">
      <c r="A204" s="95"/>
      <c r="B204" s="96"/>
      <c r="C204" s="96"/>
      <c r="D204" s="96"/>
      <c r="E204" s="97"/>
      <c r="F204" s="97"/>
      <c r="G204" s="97"/>
      <c r="H204" s="97"/>
      <c r="I204" s="97"/>
      <c r="J204" s="97"/>
      <c r="K204" s="97"/>
      <c r="L204" s="97"/>
      <c r="M204" s="97"/>
      <c r="N204" s="97"/>
      <c r="O204" s="97"/>
      <c r="P204" s="97"/>
      <c r="Q204" s="97"/>
      <c r="R204" s="98"/>
    </row>
    <row r="205" spans="1:18" x14ac:dyDescent="0.2">
      <c r="A205" s="22"/>
      <c r="B205" s="113"/>
      <c r="C205" s="113"/>
      <c r="D205" s="113"/>
      <c r="E205" s="22"/>
      <c r="F205" s="22"/>
      <c r="G205" s="22"/>
      <c r="H205" s="22"/>
      <c r="I205" s="22"/>
      <c r="J205" s="22"/>
      <c r="K205" s="22"/>
      <c r="L205" s="22"/>
      <c r="M205" s="22"/>
      <c r="N205" s="22"/>
      <c r="O205" s="22"/>
      <c r="P205" s="22"/>
      <c r="Q205" s="22"/>
      <c r="R205" s="22"/>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row r="1286" spans="1:18" x14ac:dyDescent="0.2">
      <c r="A1286" s="22"/>
      <c r="B1286" s="113"/>
      <c r="C1286" s="113"/>
      <c r="D1286" s="113"/>
      <c r="E1286" s="22"/>
      <c r="F1286" s="22"/>
      <c r="G1286" s="22"/>
      <c r="H1286" s="22"/>
      <c r="I1286" s="22"/>
      <c r="J1286" s="22"/>
      <c r="K1286" s="22"/>
      <c r="L1286" s="22"/>
      <c r="M1286" s="22"/>
      <c r="N1286" s="22"/>
      <c r="O1286" s="22"/>
      <c r="P1286" s="22"/>
      <c r="Q1286" s="22"/>
      <c r="R1286" s="22"/>
    </row>
    <row r="1287" spans="1:18" x14ac:dyDescent="0.2">
      <c r="A1287" s="22"/>
      <c r="B1287" s="113"/>
      <c r="C1287" s="113"/>
      <c r="D1287" s="113"/>
      <c r="E1287" s="22"/>
      <c r="F1287" s="22"/>
      <c r="G1287" s="22"/>
      <c r="H1287" s="22"/>
      <c r="I1287" s="22"/>
      <c r="J1287" s="22"/>
      <c r="K1287" s="22"/>
      <c r="L1287" s="22"/>
      <c r="M1287" s="22"/>
      <c r="N1287" s="22"/>
      <c r="O1287" s="22"/>
      <c r="P1287" s="22"/>
      <c r="Q1287" s="22"/>
      <c r="R1287" s="22"/>
    </row>
    <row r="1288" spans="1:18" x14ac:dyDescent="0.2">
      <c r="A1288" s="22"/>
      <c r="B1288" s="113"/>
      <c r="C1288" s="113"/>
      <c r="D1288" s="113"/>
      <c r="E1288" s="22"/>
      <c r="F1288" s="22"/>
      <c r="G1288" s="22"/>
      <c r="H1288" s="22"/>
      <c r="I1288" s="22"/>
      <c r="J1288" s="22"/>
      <c r="K1288" s="22"/>
      <c r="L1288" s="22"/>
      <c r="M1288" s="22"/>
      <c r="N1288" s="22"/>
      <c r="O1288" s="22"/>
      <c r="P1288" s="22"/>
      <c r="Q1288" s="22"/>
      <c r="R1288"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topLeftCell="D1" zoomScale="92" workbookViewId="0">
      <pane ySplit="11" topLeftCell="A12" activePane="bottomLeft" state="frozen"/>
      <selection pane="bottomLeft" activeCell="L19" sqref="L19:L35"/>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3" t="s">
        <v>1194</v>
      </c>
      <c r="J9" s="234"/>
      <c r="K9" s="234"/>
      <c r="L9" s="234"/>
      <c r="M9" s="234"/>
      <c r="N9" s="235"/>
    </row>
    <row r="10" spans="1:14" ht="19" thickBot="1" x14ac:dyDescent="0.25">
      <c r="A10" s="248" t="s">
        <v>1185</v>
      </c>
      <c r="B10" s="287" t="s">
        <v>1103</v>
      </c>
      <c r="C10" s="289" t="s">
        <v>1083</v>
      </c>
      <c r="D10" s="290"/>
      <c r="E10" s="291"/>
      <c r="F10" s="258" t="s">
        <v>1201</v>
      </c>
      <c r="G10" s="259"/>
      <c r="H10" s="286"/>
      <c r="I10" s="224" t="s">
        <v>1193</v>
      </c>
      <c r="J10" s="225"/>
      <c r="K10" s="226"/>
      <c r="L10" s="210" t="s">
        <v>1153</v>
      </c>
      <c r="M10" s="211"/>
      <c r="N10" s="212"/>
    </row>
    <row r="11" spans="1:14" ht="20" customHeight="1" thickBot="1" x14ac:dyDescent="0.25">
      <c r="A11" s="250"/>
      <c r="B11" s="288"/>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t="s">
        <v>1419</v>
      </c>
      <c r="B19" s="133" t="s">
        <v>19</v>
      </c>
      <c r="C19" s="137" t="s">
        <v>18</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0.8</v>
      </c>
      <c r="H19" s="104" t="s">
        <v>1420</v>
      </c>
      <c r="I19" s="102">
        <f>(1-F19)*(G19)*('4. Material Balance Activities'!$G$16)</f>
        <v>63.2</v>
      </c>
      <c r="J19" s="105">
        <f>K19</f>
        <v>79</v>
      </c>
      <c r="K19" s="83">
        <f>I19*1.25</f>
        <v>79</v>
      </c>
      <c r="L19" s="102">
        <f>(1-F19)*(G19)*('4. Material Balance Activities'!$J$16)</f>
        <v>0.17555555555555558</v>
      </c>
      <c r="M19" s="105">
        <f>(1-F19)*G19*'4. Material Balance Activities'!K16</f>
        <v>0.21944444444444447</v>
      </c>
      <c r="N19" s="83">
        <f>(1-F19)*G19*'4. Material Balance Activities'!L16</f>
        <v>0.21944444444444447</v>
      </c>
    </row>
    <row r="20" spans="1:14" x14ac:dyDescent="0.2">
      <c r="A20" s="79" t="s">
        <v>1419</v>
      </c>
      <c r="B20" s="133" t="s">
        <v>1415</v>
      </c>
      <c r="C20" s="137" t="s">
        <v>506</v>
      </c>
      <c r="D20" s="81" t="str">
        <f>IFERROR(IF(C20="No CAS","",INDEX('DEQ Pollutant List'!$C$7:$C$611,MATCH('5. Pollutant Emissions - MB'!C20,'DEQ Pollutant List'!$B$7:$B$611,0))),"")</f>
        <v>Isopropyl alcohol</v>
      </c>
      <c r="E20" s="115">
        <f>IFERROR(IF(OR($C20="",$C20="No CAS"),INDEX('DEQ Pollutant List'!$A$7:$A$611,MATCH($D20,'DEQ Pollutant List'!$C$7:$C$611,0)),INDEX('DEQ Pollutant List'!$A$7:$A$611,MATCH($C20,'DEQ Pollutant List'!$B$7:$B$611,0))),"")</f>
        <v>302</v>
      </c>
      <c r="F20" s="138">
        <v>0</v>
      </c>
      <c r="G20" s="139">
        <v>1</v>
      </c>
      <c r="H20" s="104"/>
      <c r="I20" s="102">
        <f>(1-F20)*(G20)*('4. Material Balance Activities'!$G$17)</f>
        <v>132</v>
      </c>
      <c r="J20" s="105">
        <f>K20</f>
        <v>165</v>
      </c>
      <c r="K20" s="83">
        <f>I20*1.25</f>
        <v>165</v>
      </c>
      <c r="L20" s="102">
        <f>(1-F20)*(G20)*('4. Material Balance Activities'!$J$17)</f>
        <v>0.36666666666666664</v>
      </c>
      <c r="M20" s="105">
        <f>(1-F20)*G20*'4. Material Balance Activities'!K17</f>
        <v>0.45833333333333331</v>
      </c>
      <c r="N20" s="83">
        <f>(1-F20)*G20*'4. Material Balance Activities'!L17</f>
        <v>0.45833333333333331</v>
      </c>
    </row>
    <row r="21" spans="1:14" x14ac:dyDescent="0.2">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
      <c r="A22" s="79" t="s">
        <v>1455</v>
      </c>
      <c r="B22" s="133" t="s">
        <v>1389</v>
      </c>
      <c r="C22" s="137" t="s">
        <v>972</v>
      </c>
      <c r="D22" s="81" t="str">
        <f>IFERROR(IF(C22="No CAS","",INDEX('DEQ Pollutant List'!$C$7:$C$611,MATCH('5. Pollutant Emissions - MB'!C22,'DEQ Pollutant List'!$B$7:$B$611,0))),"")</f>
        <v>Terephthalic acid</v>
      </c>
      <c r="E22" s="115">
        <f>IFERROR(IF(OR($C22="",$C22="No CAS"),INDEX('DEQ Pollutant List'!$A$7:$A$611,MATCH($D22,'DEQ Pollutant List'!$C$7:$C$611,0)),INDEX('DEQ Pollutant List'!$A$7:$A$611,MATCH($C22,'DEQ Pollutant List'!$B$7:$B$611,0))),"")</f>
        <v>592</v>
      </c>
      <c r="F22" s="138">
        <v>0.99</v>
      </c>
      <c r="G22" s="139">
        <v>0.27500000000000002</v>
      </c>
      <c r="H22" s="104" t="s">
        <v>1398</v>
      </c>
      <c r="I22" s="102">
        <f>(1-F22)*(G22)*('4. Material Balance Activities'!$G$19)</f>
        <v>10.554500000000012</v>
      </c>
      <c r="J22" s="105">
        <f t="shared" ref="J22:J23" si="0">K22</f>
        <v>13.193125000000014</v>
      </c>
      <c r="K22" s="83">
        <f t="shared" ref="K22:K23" si="1">I22*1.25</f>
        <v>13.193125000000014</v>
      </c>
      <c r="L22" s="102">
        <f>(1-F22)*(G22)*('4. Material Balance Activities'!$J$19)</f>
        <v>4.2218000000000047E-2</v>
      </c>
      <c r="M22" s="105">
        <f>(1-F22)*G22*'4. Material Balance Activities'!K19</f>
        <v>5.2772500000000055E-2</v>
      </c>
      <c r="N22" s="83">
        <f>(1-F22)*G22*'4. Material Balance Activities'!L19</f>
        <v>5.2772500000000055E-2</v>
      </c>
    </row>
    <row r="23" spans="1:14" x14ac:dyDescent="0.2">
      <c r="A23" s="79" t="s">
        <v>1455</v>
      </c>
      <c r="B23" s="133" t="s">
        <v>1392</v>
      </c>
      <c r="C23" s="137" t="s">
        <v>972</v>
      </c>
      <c r="D23" s="81" t="str">
        <f>IFERROR(IF(C23="No CAS","",INDEX('DEQ Pollutant List'!$C$7:$C$611,MATCH('5. Pollutant Emissions - MB'!C23,'DEQ Pollutant List'!$B$7:$B$611,0))),"")</f>
        <v>Terephthalic acid</v>
      </c>
      <c r="E23" s="115">
        <f>IFERROR(IF(OR($C23="",$C23="No CAS"),INDEX('DEQ Pollutant List'!$A$7:$A$611,MATCH($D23,'DEQ Pollutant List'!$C$7:$C$611,0)),INDEX('DEQ Pollutant List'!$A$7:$A$611,MATCH($C23,'DEQ Pollutant List'!$B$7:$B$611,0))),"")</f>
        <v>592</v>
      </c>
      <c r="F23" s="138">
        <v>0.99</v>
      </c>
      <c r="G23" s="139">
        <v>0.125</v>
      </c>
      <c r="H23" s="104" t="s">
        <v>1397</v>
      </c>
      <c r="I23" s="102">
        <f>(1-F23)*(G23)*('4. Material Balance Activities'!$G$20)</f>
        <v>9.0625000000000089</v>
      </c>
      <c r="J23" s="105">
        <f t="shared" si="0"/>
        <v>11.328125000000011</v>
      </c>
      <c r="K23" s="83">
        <f t="shared" si="1"/>
        <v>11.328125000000011</v>
      </c>
      <c r="L23" s="102">
        <f>(1-F23)*(G23)*('4. Material Balance Activities'!$J$20)</f>
        <v>3.6250000000000032E-2</v>
      </c>
      <c r="M23" s="105">
        <f>(1-F23)*G23*'4. Material Balance Activities'!K20</f>
        <v>4.531250000000004E-2</v>
      </c>
      <c r="N23" s="83">
        <f>(1-F23)*G23*'4. Material Balance Activities'!L20</f>
        <v>4.531250000000004E-2</v>
      </c>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t="s">
        <v>1466</v>
      </c>
      <c r="B25" s="133" t="s">
        <v>1425</v>
      </c>
      <c r="C25" s="137" t="s">
        <v>42</v>
      </c>
      <c r="D25" s="81" t="str">
        <f>IFERROR(IF(C25="No CAS","",INDEX('DEQ Pollutant List'!$C$7:$C$611,MATCH('5. Pollutant Emissions - MB'!C25,'DEQ Pollutant List'!$B$7:$B$611,0))),"")</f>
        <v>Aluminum oxide (fibrous forms)</v>
      </c>
      <c r="E25" s="115">
        <f>IFERROR(IF(OR($C25="",$C25="No CAS"),INDEX('DEQ Pollutant List'!$A$7:$A$611,MATCH($D25,'DEQ Pollutant List'!$C$7:$C$611,0)),INDEX('DEQ Pollutant List'!$A$7:$A$611,MATCH($C25,'DEQ Pollutant List'!$B$7:$B$611,0))),"")</f>
        <v>14</v>
      </c>
      <c r="F25" s="138">
        <v>0.999</v>
      </c>
      <c r="G25" s="139">
        <v>0.95</v>
      </c>
      <c r="H25" s="104" t="s">
        <v>1423</v>
      </c>
      <c r="I25" s="198">
        <f>(1-F25)*(G25)*('4. Material Balance Activities'!$G$22)</f>
        <v>114.71250000000009</v>
      </c>
      <c r="J25" s="105">
        <f t="shared" ref="J25:J28" si="2">K25</f>
        <v>143.39062500000011</v>
      </c>
      <c r="K25" s="83">
        <f t="shared" ref="K25:K28" si="3">I25*1.25</f>
        <v>143.39062500000011</v>
      </c>
      <c r="L25" s="102">
        <f>(1-F25)*(G25)*('4. Material Balance Activities'!$J$22)</f>
        <v>0.45885000000000037</v>
      </c>
      <c r="M25" s="105">
        <f>(1-F25)*G25*'4. Material Balance Activities'!$K$22</f>
        <v>0.57356250000000042</v>
      </c>
      <c r="N25" s="83">
        <f>(1-F25)*G25*'4. Material Balance Activities'!$L$22</f>
        <v>0.57356250000000042</v>
      </c>
    </row>
    <row r="26" spans="1:14" x14ac:dyDescent="0.2">
      <c r="A26" s="79" t="s">
        <v>1466</v>
      </c>
      <c r="B26" s="133" t="s">
        <v>1425</v>
      </c>
      <c r="C26" s="137" t="s">
        <v>949</v>
      </c>
      <c r="D26" s="81" t="str">
        <f>IFERROR(IF(C26="No CAS","",INDEX('DEQ Pollutant List'!$C$7:$C$611,MATCH('5. Pollutant Emissions - MB'!C26,'DEQ Pollutant List'!$B$7:$B$611,0))),"")</f>
        <v>Silica, crystalline (respirable)</v>
      </c>
      <c r="E26" s="115">
        <f>IFERROR(IF(OR($C26="",$C26="No CAS"),INDEX('DEQ Pollutant List'!$A$7:$A$611,MATCH($D26,'DEQ Pollutant List'!$C$7:$C$611,0)),INDEX('DEQ Pollutant List'!$A$7:$A$611,MATCH($C26,'DEQ Pollutant List'!$B$7:$B$611,0))),"")</f>
        <v>579</v>
      </c>
      <c r="F26" s="138">
        <v>0.999</v>
      </c>
      <c r="G26" s="139">
        <v>2.5000000000000001E-2</v>
      </c>
      <c r="H26" s="104" t="s">
        <v>1424</v>
      </c>
      <c r="I26" s="102">
        <f>(1-F26)*(G26)*('4. Material Balance Activities'!$G$22)</f>
        <v>3.0187500000000029</v>
      </c>
      <c r="J26" s="105">
        <f t="shared" si="2"/>
        <v>3.7734375000000036</v>
      </c>
      <c r="K26" s="83">
        <f t="shared" si="3"/>
        <v>3.7734375000000036</v>
      </c>
      <c r="L26" s="102">
        <f>(1-F26)*(G26)*('4. Material Balance Activities'!$J$22)</f>
        <v>1.2075000000000013E-2</v>
      </c>
      <c r="M26" s="105">
        <f>(1-F26)*G26*'4. Material Balance Activities'!$K$22</f>
        <v>1.5093750000000015E-2</v>
      </c>
      <c r="N26" s="83">
        <f>(1-F26)*G26*'4. Material Balance Activities'!$L$22</f>
        <v>1.5093750000000015E-2</v>
      </c>
    </row>
    <row r="27" spans="1:14" x14ac:dyDescent="0.2">
      <c r="A27" s="79" t="s">
        <v>1467</v>
      </c>
      <c r="B27" s="200" t="s">
        <v>1425</v>
      </c>
      <c r="C27" s="137" t="s">
        <v>42</v>
      </c>
      <c r="D27" s="81" t="str">
        <f>IFERROR(IF(C27="No CAS","",INDEX('DEQ Pollutant List'!$C$7:$C$611,MATCH('5. Pollutant Emissions - MB'!C27,'DEQ Pollutant List'!$B$7:$B$611,0))),"")</f>
        <v>Aluminum oxide (fibrous forms)</v>
      </c>
      <c r="E27" s="115"/>
      <c r="F27" s="138">
        <v>0.999</v>
      </c>
      <c r="G27" s="139">
        <v>0.95</v>
      </c>
      <c r="H27" s="104" t="s">
        <v>1423</v>
      </c>
      <c r="I27" s="102">
        <f>(1-F27)*(G27)*('4. Material Balance Activities'!$G$23)</f>
        <v>38.237500000000033</v>
      </c>
      <c r="J27" s="105">
        <f t="shared" si="2"/>
        <v>47.796875000000043</v>
      </c>
      <c r="K27" s="83">
        <f t="shared" si="3"/>
        <v>47.796875000000043</v>
      </c>
      <c r="L27" s="102">
        <f>(1-F27)*(G27)*('4. Material Balance Activities'!$J$23)</f>
        <v>0.15295000000000011</v>
      </c>
      <c r="M27" s="105">
        <f>(1-F27)*G27*'4. Material Balance Activities'!$K$23</f>
        <v>0.19118750000000015</v>
      </c>
      <c r="N27" s="83">
        <f>(1-F27)*G27*'4. Material Balance Activities'!$L$23</f>
        <v>0.19118750000000015</v>
      </c>
    </row>
    <row r="28" spans="1:14" x14ac:dyDescent="0.2">
      <c r="A28" s="79" t="s">
        <v>1467</v>
      </c>
      <c r="B28" s="133" t="s">
        <v>1425</v>
      </c>
      <c r="C28" s="137" t="s">
        <v>949</v>
      </c>
      <c r="D28" s="81" t="str">
        <f>IFERROR(IF(C28="No CAS","",INDEX('DEQ Pollutant List'!$C$7:$C$611,MATCH('5. Pollutant Emissions - MB'!C28,'DEQ Pollutant List'!$B$7:$B$611,0))),"")</f>
        <v>Silica, crystalline (respirable)</v>
      </c>
      <c r="E28" s="115"/>
      <c r="F28" s="138">
        <v>0.999</v>
      </c>
      <c r="G28" s="139">
        <v>2.5000000000000001E-2</v>
      </c>
      <c r="H28" s="104" t="s">
        <v>1424</v>
      </c>
      <c r="I28" s="102">
        <f>(1-F28)*(G28)*('4. Material Balance Activities'!$G$23)</f>
        <v>1.006250000000001</v>
      </c>
      <c r="J28" s="105">
        <f t="shared" si="2"/>
        <v>1.2578125000000013</v>
      </c>
      <c r="K28" s="83">
        <f t="shared" si="3"/>
        <v>1.2578125000000013</v>
      </c>
      <c r="L28" s="102">
        <f>(1-F28)*(G28)*('4. Material Balance Activities'!$J$23)</f>
        <v>4.0250000000000043E-3</v>
      </c>
      <c r="M28" s="105">
        <f>(1-F28)*G28*'4. Material Balance Activities'!$K$23</f>
        <v>5.0312500000000053E-3</v>
      </c>
      <c r="N28" s="83">
        <f>(1-F28)*G28*'4. Material Balance Activities'!$L$23</f>
        <v>5.0312500000000053E-3</v>
      </c>
    </row>
    <row r="29" spans="1:14" x14ac:dyDescent="0.2">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
      <c r="A30" s="79" t="s">
        <v>1462</v>
      </c>
      <c r="B30" s="133" t="s">
        <v>1428</v>
      </c>
      <c r="C30" s="137" t="s">
        <v>1038</v>
      </c>
      <c r="D30" s="81" t="str">
        <f>IFERROR(IF(C30="No CAS","",INDEX('DEQ Pollutant List'!$C$7:$C$611,MATCH('5. Pollutant Emissions - MB'!C30,'DEQ Pollutant List'!$B$7:$B$611,0))),"")</f>
        <v>Triphenyl phosphate</v>
      </c>
      <c r="E30" s="115">
        <f>IFERROR(IF(OR($C30="",$C30="No CAS"),INDEX('DEQ Pollutant List'!$A$7:$A$611,MATCH($D30,'DEQ Pollutant List'!$C$7:$C$611,0)),INDEX('DEQ Pollutant List'!$A$7:$A$611,MATCH($C30,'DEQ Pollutant List'!$B$7:$B$611,0))),"")</f>
        <v>516</v>
      </c>
      <c r="F30" s="138">
        <v>0</v>
      </c>
      <c r="G30" s="139">
        <f>((0.009-0.0025)/2 +0.0025)*(0.525)</f>
        <v>3.0187500000000002E-3</v>
      </c>
      <c r="H30" s="104" t="s">
        <v>1430</v>
      </c>
      <c r="I30" s="102">
        <f>(1-F30)*(G30)*('4. Material Balance Activities'!$G$25)</f>
        <v>0.28798875000000002</v>
      </c>
      <c r="J30" s="105">
        <f>K30</f>
        <v>0.35998593750000002</v>
      </c>
      <c r="K30" s="83">
        <f>I30*1.25</f>
        <v>0.35998593750000002</v>
      </c>
      <c r="L30" s="102">
        <f>(1-F30)*(G30)*('4. Material Balance Activities'!$J$25)</f>
        <v>8.2282500000000001E-4</v>
      </c>
      <c r="M30" s="105">
        <f>(1-F30)*G30*'4. Material Balance Activities'!$K$25</f>
        <v>1.0285312500000001E-3</v>
      </c>
      <c r="N30" s="83">
        <f>(1-F30)*G30*'4. Material Balance Activities'!$L$25</f>
        <v>1.0285312500000001E-3</v>
      </c>
    </row>
    <row r="31" spans="1:14" x14ac:dyDescent="0.2">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
      <c r="A32" s="79" t="s">
        <v>1450</v>
      </c>
      <c r="B32" s="133" t="s">
        <v>1432</v>
      </c>
      <c r="C32" s="137" t="s">
        <v>42</v>
      </c>
      <c r="D32" s="81" t="str">
        <f>IFERROR(IF(C32="No CAS","",INDEX('DEQ Pollutant List'!$C$7:$C$611,MATCH('5. Pollutant Emissions - MB'!C32,'DEQ Pollutant List'!$B$7:$B$611,0))),"")</f>
        <v>Aluminum oxide (fibrous forms)</v>
      </c>
      <c r="E32" s="115">
        <f>IFERROR(IF(OR($C32="",$C32="No CAS"),INDEX('DEQ Pollutant List'!$A$7:$A$611,MATCH($D32,'DEQ Pollutant List'!$C$7:$C$611,0)),INDEX('DEQ Pollutant List'!$A$7:$A$611,MATCH($C32,'DEQ Pollutant List'!$B$7:$B$611,0))),"")</f>
        <v>14</v>
      </c>
      <c r="F32" s="138">
        <v>0.999</v>
      </c>
      <c r="G32" s="139">
        <v>1</v>
      </c>
      <c r="H32" s="104" t="s">
        <v>1436</v>
      </c>
      <c r="I32" s="102">
        <f>(1-F32)*(G32)*('4. Material Balance Activities'!$G$27)</f>
        <v>3.8000000000000034</v>
      </c>
      <c r="J32" s="105">
        <f t="shared" ref="J32:J33" si="4">K32</f>
        <v>4.7500000000000044</v>
      </c>
      <c r="K32" s="83">
        <f t="shared" ref="K32:K33" si="5">I32*1.25</f>
        <v>4.7500000000000044</v>
      </c>
      <c r="L32" s="102">
        <f>(1-F32)*(G32)*('4. Material Balance Activities'!$J$27)</f>
        <v>1.0555555555555565E-2</v>
      </c>
      <c r="M32" s="105">
        <f>(1-F32)*G32*'4. Material Balance Activities'!K27</f>
        <v>1.3194444444444457E-2</v>
      </c>
      <c r="N32" s="83">
        <f>(1-F32)*G32*'4. Material Balance Activities'!L27</f>
        <v>1.3194444444444457E-2</v>
      </c>
    </row>
    <row r="33" spans="1:14" x14ac:dyDescent="0.2">
      <c r="A33" s="79" t="s">
        <v>1431</v>
      </c>
      <c r="B33" s="133" t="s">
        <v>1433</v>
      </c>
      <c r="C33" s="137" t="s">
        <v>42</v>
      </c>
      <c r="D33" s="81" t="str">
        <f>IFERROR(IF(C33="No CAS","",INDEX('DEQ Pollutant List'!$C$7:$C$611,MATCH('5. Pollutant Emissions - MB'!C33,'DEQ Pollutant List'!$B$7:$B$611,0))),"")</f>
        <v>Aluminum oxide (fibrous forms)</v>
      </c>
      <c r="E33" s="115">
        <f>IFERROR(IF(OR($C33="",$C33="No CAS"),INDEX('DEQ Pollutant List'!$A$7:$A$611,MATCH($D33,'DEQ Pollutant List'!$C$7:$C$611,0)),INDEX('DEQ Pollutant List'!$A$7:$A$611,MATCH($C33,'DEQ Pollutant List'!$B$7:$B$611,0))),"")</f>
        <v>14</v>
      </c>
      <c r="F33" s="138">
        <v>0.99999499999999997</v>
      </c>
      <c r="G33" s="139">
        <v>0.32500000000000001</v>
      </c>
      <c r="H33" s="104" t="s">
        <v>1437</v>
      </c>
      <c r="I33" s="102">
        <f>(1-F33)*(G33)*('4. Material Balance Activities'!$G$28)</f>
        <v>3.1687500000207596E-3</v>
      </c>
      <c r="J33" s="105">
        <f t="shared" si="4"/>
        <v>3.9609375000259498E-3</v>
      </c>
      <c r="K33" s="83">
        <f t="shared" si="5"/>
        <v>3.9609375000259498E-3</v>
      </c>
      <c r="L33" s="102">
        <f>(1-F33)*(G33)*('4. Material Balance Activities'!$J$28)</f>
        <v>1.2675000000083038E-5</v>
      </c>
      <c r="M33" s="105">
        <f>(1-F33)*G33*'4. Material Balance Activities'!K28</f>
        <v>1.5843750000103798E-5</v>
      </c>
      <c r="N33" s="83">
        <f>(1-F33)*G33*'4. Material Balance Activities'!L28</f>
        <v>1.5843750000103798E-5</v>
      </c>
    </row>
    <row r="34" spans="1:14" x14ac:dyDescent="0.2">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
      <c r="A35" s="79" t="s">
        <v>1445</v>
      </c>
      <c r="B35" s="133" t="s">
        <v>1447</v>
      </c>
      <c r="C35" s="137" t="s">
        <v>954</v>
      </c>
      <c r="D35" s="81" t="str">
        <f>IFERROR(IF(C35="No CAS","",INDEX('DEQ Pollutant List'!$C$7:$C$611,MATCH('5. Pollutant Emissions - MB'!C35,'DEQ Pollutant List'!$B$7:$B$611,0))),"")</f>
        <v>Sodium hydroxide</v>
      </c>
      <c r="E35" s="115">
        <f>IFERROR(IF(OR($C35="",$C35="No CAS"),INDEX('DEQ Pollutant List'!$A$7:$A$611,MATCH($D35,'DEQ Pollutant List'!$C$7:$C$611,0)),INDEX('DEQ Pollutant List'!$A$7:$A$611,MATCH($C35,'DEQ Pollutant List'!$B$7:$B$611,0))),"")</f>
        <v>582</v>
      </c>
      <c r="F35" s="138">
        <v>0.99</v>
      </c>
      <c r="G35" s="139">
        <v>0.94</v>
      </c>
      <c r="H35" s="104" t="s">
        <v>1487</v>
      </c>
      <c r="I35" s="102">
        <f>(1-F35)*G35*0.9*'4. Material Balance Activities'!G30</f>
        <v>16.920000000000016</v>
      </c>
      <c r="J35" s="105">
        <f>K35</f>
        <v>21.15000000000002</v>
      </c>
      <c r="K35" s="83">
        <f>I35*1.25</f>
        <v>21.15000000000002</v>
      </c>
      <c r="L35" s="102">
        <f>(1-F35)*(G35)*('4. Material Balance Activities'!$J$30)</f>
        <v>5.1506849315068527E-2</v>
      </c>
      <c r="M35" s="105">
        <f>(1-F35)*G35*'4. Material Balance Activities'!K30</f>
        <v>6.4383561643835671E-2</v>
      </c>
      <c r="N35" s="83">
        <f>(1-F35)*G35*'4. Material Balance Activities'!L30</f>
        <v>6.4383561643835671E-2</v>
      </c>
    </row>
    <row r="36" spans="1:14" x14ac:dyDescent="0.2">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
      <c r="A500" s="79"/>
      <c r="B500" s="133"/>
      <c r="C500" s="137"/>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
      <c r="A501" s="79"/>
      <c r="B501" s="133"/>
      <c r="C501" s="137"/>
      <c r="D501" s="81" t="str">
        <f>IFERROR(IF(C501="No CAS","",INDEX('DEQ Pollutant List'!$C$7:$C$611,MATCH('5. Pollutant Emissions - MB'!C501,'DEQ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ht="16" thickBot="1" x14ac:dyDescent="0.25">
      <c r="A502" s="87"/>
      <c r="B502" s="135"/>
      <c r="C502" s="140"/>
      <c r="D502" s="81" t="str">
        <f>IFERROR(IF(C502="No CAS","",INDEX('DEQ Pollutant List'!$C$7:$C$611,MATCH('5. Pollutant Emissions - MB'!C502,'DEQ Pollutant List'!$B$7:$B$611,0))),"")</f>
        <v/>
      </c>
      <c r="E502" s="115" t="str">
        <f>IFERROR(IF(OR($C502="",$C502="No CAS"),INDEX('DEQ Pollutant List'!$A$7:$A$611,MATCH($D502,'DEQ Pollutant List'!$C$7:$C$611,0)),INDEX('DEQ Pollutant List'!$A$7:$A$611,MATCH($C502,'DEQ Pollutant List'!$B$7:$B$611,0))),"")</f>
        <v/>
      </c>
      <c r="F502" s="141"/>
      <c r="G502" s="142"/>
      <c r="H502" s="110"/>
      <c r="I502" s="108"/>
      <c r="J502" s="111"/>
      <c r="K502" s="91"/>
      <c r="L502" s="108"/>
      <c r="M502" s="111"/>
      <c r="N502" s="91"/>
    </row>
    <row r="503" spans="1:14" x14ac:dyDescent="0.2">
      <c r="A503" s="239" t="s">
        <v>1138</v>
      </c>
      <c r="B503" s="240"/>
      <c r="C503" s="240"/>
      <c r="D503" s="240"/>
      <c r="E503" s="240"/>
      <c r="F503" s="240"/>
      <c r="G503" s="240"/>
      <c r="H503" s="240"/>
      <c r="I503" s="240"/>
      <c r="J503" s="240"/>
      <c r="K503" s="240"/>
      <c r="L503" s="240"/>
      <c r="M503" s="240"/>
      <c r="N503" s="240"/>
    </row>
    <row r="504" spans="1:14" x14ac:dyDescent="0.2">
      <c r="A504" s="242"/>
      <c r="B504" s="243"/>
      <c r="C504" s="243"/>
      <c r="D504" s="243"/>
      <c r="E504" s="243"/>
      <c r="F504" s="243"/>
      <c r="G504" s="243"/>
      <c r="H504" s="243"/>
      <c r="I504" s="243"/>
      <c r="J504" s="243"/>
      <c r="K504" s="243"/>
      <c r="L504" s="243"/>
      <c r="M504" s="243"/>
      <c r="N504" s="243"/>
    </row>
    <row r="505" spans="1:14" ht="16" thickBot="1" x14ac:dyDescent="0.25">
      <c r="A505" s="245"/>
      <c r="B505" s="246"/>
      <c r="C505" s="246"/>
      <c r="D505" s="246"/>
      <c r="E505" s="246"/>
      <c r="F505" s="246"/>
      <c r="G505" s="246"/>
      <c r="H505" s="246"/>
      <c r="I505" s="246"/>
      <c r="J505" s="246"/>
      <c r="K505" s="246"/>
      <c r="L505" s="246"/>
      <c r="M505" s="246"/>
      <c r="N505" s="246"/>
    </row>
  </sheetData>
  <sheetProtection sheet="1" objects="1" insertRows="0"/>
  <mergeCells count="8">
    <mergeCell ref="I9:N9"/>
    <mergeCell ref="A503:N505"/>
    <mergeCell ref="F10:H10"/>
    <mergeCell ref="A10:A11"/>
    <mergeCell ref="B10:B11"/>
    <mergeCell ref="I10:K10"/>
    <mergeCell ref="L10:N10"/>
    <mergeCell ref="C10:E10"/>
  </mergeCells>
  <phoneticPr fontId="47" type="noConversion"/>
  <conditionalFormatting sqref="E12:E502">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14" workbookViewId="0">
      <selection activeCell="C232" sqref="A1:XFD1048576"/>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Lisa Simmons</cp:lastModifiedBy>
  <cp:lastPrinted>2018-12-14T23:57:06Z</cp:lastPrinted>
  <dcterms:created xsi:type="dcterms:W3CDTF">2018-11-29T22:27:46Z</dcterms:created>
  <dcterms:modified xsi:type="dcterms:W3CDTF">2024-11-22T20:01:00Z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