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https://flyashprods-my.sharepoint.com/personal/teri_bowman_ecomaterial_com/Documents/Documents/Lakeview Oregon/Air Quality/Air Permit Application/Final application forms/Simple Permit Application/AQ500 Forms/"/>
    </mc:Choice>
  </mc:AlternateContent>
  <xr:revisionPtr revIDLastSave="248" documentId="8_{3F8B4B78-4ADC-4953-A7C5-B6A85259395B}" xr6:coauthVersionLast="47" xr6:coauthVersionMax="47" xr10:uidLastSave="{4AE5F35B-A184-4ED7-BE8E-19A64487C084}"/>
  <bookViews>
    <workbookView xWindow="28680" yWindow="-120" windowWidth="29040" windowHeight="15840" tabRatio="925" activeTab="4" xr2:uid="{00000000-000D-0000-FFFF-FFFF00000000}"/>
  </bookViews>
  <sheets>
    <sheet name="Form Instructions" sheetId="16" r:id="rId1"/>
    <sheet name="1. Facility Information" sheetId="1" r:id="rId2"/>
    <sheet name="NOTES" sheetId="18" r:id="rId3"/>
    <sheet name="2. Emissions Units &amp; Activities" sheetId="2" r:id="rId4"/>
    <sheet name="3. Pollutant Emissions - EF" sheetId="9" r:id="rId5"/>
    <sheet name="4. Material Balance Activities" sheetId="6" r:id="rId6"/>
    <sheet name="5. Pollutant Emissions - MB" sheetId="11" r:id="rId7"/>
    <sheet name="DEQ Pollutant List" sheetId="17" r:id="rId8"/>
    <sheet name="RevHistory" sheetId="13" state="hidden" r:id="rId9"/>
  </sheets>
  <definedNames>
    <definedName name="_xlnm._FilterDatabase" localSheetId="7"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2" i="9" l="1"/>
  <c r="F241" i="9"/>
  <c r="F230" i="9"/>
  <c r="F197" i="9"/>
  <c r="F186" i="9"/>
  <c r="F175" i="9"/>
  <c r="F164" i="9"/>
  <c r="F153" i="9"/>
  <c r="F142" i="9"/>
  <c r="F131" i="9"/>
  <c r="F118" i="9"/>
  <c r="F107" i="9"/>
  <c r="F100" i="9"/>
  <c r="F94" i="9"/>
  <c r="O86" i="9"/>
  <c r="N86" i="9"/>
  <c r="M86" i="9"/>
  <c r="L86" i="9"/>
  <c r="K86" i="9"/>
  <c r="J86" i="9"/>
  <c r="G86" i="9"/>
  <c r="F86" i="9"/>
  <c r="C86" i="9"/>
  <c r="F83" i="9"/>
  <c r="F81" i="9"/>
  <c r="F79" i="9"/>
  <c r="F76" i="9"/>
  <c r="F64" i="9"/>
  <c r="M59" i="9"/>
  <c r="N59" i="9" s="1"/>
  <c r="L59" i="9"/>
  <c r="J59" i="9"/>
  <c r="K59" i="9" s="1"/>
  <c r="G59" i="9"/>
  <c r="O59" i="9" s="1"/>
  <c r="F54" i="9"/>
  <c r="F51" i="9"/>
  <c r="O50" i="9"/>
  <c r="L50" i="9"/>
  <c r="J50" i="9"/>
  <c r="K50" i="9" s="1"/>
  <c r="G50" i="9"/>
  <c r="M50" i="9" s="1"/>
  <c r="N50" i="9" s="1"/>
  <c r="F274" i="9"/>
  <c r="F273" i="9"/>
  <c r="F270" i="9"/>
  <c r="G266" i="9"/>
  <c r="F266" i="9"/>
  <c r="G265" i="9"/>
  <c r="F265" i="9"/>
  <c r="G263" i="9"/>
  <c r="F263" i="9"/>
  <c r="G259" i="9"/>
  <c r="F259" i="9"/>
  <c r="F299" i="9"/>
  <c r="G299" i="9" s="1"/>
  <c r="F296" i="9"/>
  <c r="L296" i="9" s="1"/>
  <c r="F287" i="9"/>
  <c r="F285" i="9"/>
  <c r="F276" i="9"/>
  <c r="J299" i="9"/>
  <c r="K299" i="9" s="1"/>
  <c r="J298" i="9"/>
  <c r="K298" i="9" s="1"/>
  <c r="F291" i="9"/>
  <c r="G291" i="9" s="1"/>
  <c r="M291" i="9" s="1"/>
  <c r="N291" i="9" s="1"/>
  <c r="F300" i="9"/>
  <c r="G300" i="9" s="1"/>
  <c r="O300" i="9" s="1"/>
  <c r="F298" i="9"/>
  <c r="G298" i="9" s="1"/>
  <c r="O298" i="9" s="1"/>
  <c r="F297" i="9"/>
  <c r="G297" i="9" s="1"/>
  <c r="O297" i="9" s="1"/>
  <c r="F295" i="9"/>
  <c r="G295" i="9" s="1"/>
  <c r="O295" i="9" s="1"/>
  <c r="F294" i="9"/>
  <c r="G294" i="9" s="1"/>
  <c r="O294" i="9" s="1"/>
  <c r="F293" i="9"/>
  <c r="G293" i="9" s="1"/>
  <c r="O293" i="9" s="1"/>
  <c r="F292" i="9"/>
  <c r="L292" i="9" s="1"/>
  <c r="F290" i="9"/>
  <c r="G290" i="9" s="1"/>
  <c r="C291" i="9"/>
  <c r="C290" i="9"/>
  <c r="M294" i="9" l="1"/>
  <c r="N294" i="9" s="1"/>
  <c r="J294" i="9"/>
  <c r="K294" i="9" s="1"/>
  <c r="L294" i="9"/>
  <c r="O291" i="9"/>
  <c r="M293" i="9"/>
  <c r="N293" i="9" s="1"/>
  <c r="M297" i="9"/>
  <c r="N297" i="9" s="1"/>
  <c r="L290" i="9"/>
  <c r="M298" i="9"/>
  <c r="N298" i="9" s="1"/>
  <c r="J291" i="9"/>
  <c r="K291" i="9" s="1"/>
  <c r="L298" i="9"/>
  <c r="J290" i="9"/>
  <c r="K290" i="9" s="1"/>
  <c r="J293" i="9"/>
  <c r="K293" i="9" s="1"/>
  <c r="L300" i="9"/>
  <c r="O290" i="9"/>
  <c r="M290" i="9"/>
  <c r="N290" i="9" s="1"/>
  <c r="L295" i="9"/>
  <c r="J292" i="9"/>
  <c r="K292" i="9" s="1"/>
  <c r="J300" i="9"/>
  <c r="K300" i="9" s="1"/>
  <c r="L297" i="9"/>
  <c r="M295" i="9"/>
  <c r="N295" i="9" s="1"/>
  <c r="J295" i="9"/>
  <c r="K295" i="9" s="1"/>
  <c r="L291" i="9"/>
  <c r="M300" i="9"/>
  <c r="N300" i="9" s="1"/>
  <c r="G292" i="9"/>
  <c r="J296" i="9"/>
  <c r="K296" i="9" s="1"/>
  <c r="J297" i="9"/>
  <c r="K297" i="9" s="1"/>
  <c r="L293" i="9"/>
  <c r="M299" i="9"/>
  <c r="N299" i="9" s="1"/>
  <c r="O299" i="9"/>
  <c r="L299" i="9"/>
  <c r="G296" i="9"/>
  <c r="M292" i="9" l="1"/>
  <c r="N292" i="9" s="1"/>
  <c r="O292" i="9"/>
  <c r="O296" i="9"/>
  <c r="M296" i="9"/>
  <c r="N296" i="9" s="1"/>
  <c r="F232" i="9" l="1"/>
  <c r="L287" i="9" l="1"/>
  <c r="L285" i="9"/>
  <c r="L276" i="9"/>
  <c r="L274" i="9"/>
  <c r="L273" i="9"/>
  <c r="L270" i="9"/>
  <c r="J287" i="9"/>
  <c r="K287" i="9" s="1"/>
  <c r="J285" i="9"/>
  <c r="K285" i="9" s="1"/>
  <c r="J276" i="9"/>
  <c r="K276" i="9" s="1"/>
  <c r="J274" i="9"/>
  <c r="K274" i="9" s="1"/>
  <c r="J273" i="9"/>
  <c r="K273" i="9" s="1"/>
  <c r="J270" i="9"/>
  <c r="K270" i="9" s="1"/>
  <c r="G285" i="9"/>
  <c r="O285" i="9" s="1"/>
  <c r="G287" i="9"/>
  <c r="O287" i="9" s="1"/>
  <c r="G273" i="9"/>
  <c r="M273" i="9" s="1"/>
  <c r="N273" i="9" s="1"/>
  <c r="G274" i="9"/>
  <c r="M274" i="9" s="1"/>
  <c r="N274" i="9" s="1"/>
  <c r="G276" i="9"/>
  <c r="M276" i="9" s="1"/>
  <c r="N276" i="9" s="1"/>
  <c r="G270" i="9"/>
  <c r="O270" i="9" s="1"/>
  <c r="G267" i="9"/>
  <c r="F267" i="9"/>
  <c r="G264" i="9"/>
  <c r="F264" i="9"/>
  <c r="G262" i="9"/>
  <c r="F262" i="9"/>
  <c r="G261" i="9"/>
  <c r="F261" i="9"/>
  <c r="G260" i="9"/>
  <c r="F260" i="9"/>
  <c r="G258" i="9"/>
  <c r="F258" i="9"/>
  <c r="G257" i="9"/>
  <c r="F257" i="9"/>
  <c r="M270" i="9" l="1"/>
  <c r="N270" i="9" s="1"/>
  <c r="M287" i="9"/>
  <c r="N287" i="9" s="1"/>
  <c r="O273" i="9"/>
  <c r="O276" i="9"/>
  <c r="M285" i="9"/>
  <c r="N285" i="9" s="1"/>
  <c r="O274" i="9"/>
  <c r="F289" i="9"/>
  <c r="F288" i="9"/>
  <c r="F286" i="9"/>
  <c r="F284" i="9"/>
  <c r="F283" i="9"/>
  <c r="F282" i="9"/>
  <c r="F281" i="9"/>
  <c r="F280" i="9"/>
  <c r="F279" i="9"/>
  <c r="C280" i="9"/>
  <c r="C279" i="9"/>
  <c r="F256" i="9"/>
  <c r="F255" i="9"/>
  <c r="F254" i="9"/>
  <c r="F253" i="9"/>
  <c r="F251" i="9"/>
  <c r="F250" i="9"/>
  <c r="F249" i="9"/>
  <c r="F248" i="9"/>
  <c r="F245" i="9"/>
  <c r="F244" i="9"/>
  <c r="F243" i="9"/>
  <c r="F242" i="9"/>
  <c r="F240" i="9"/>
  <c r="F239" i="9"/>
  <c r="F238" i="9"/>
  <c r="F237" i="9"/>
  <c r="F234" i="9"/>
  <c r="F233" i="9"/>
  <c r="F231" i="9"/>
  <c r="F229" i="9"/>
  <c r="F228" i="9"/>
  <c r="F227" i="9"/>
  <c r="F226" i="9"/>
  <c r="F201" i="9"/>
  <c r="F200" i="9"/>
  <c r="F199" i="9"/>
  <c r="F198" i="9"/>
  <c r="F196" i="9"/>
  <c r="F195" i="9"/>
  <c r="F194" i="9"/>
  <c r="F193" i="9"/>
  <c r="F190" i="9"/>
  <c r="F189" i="9"/>
  <c r="F188" i="9"/>
  <c r="F187" i="9"/>
  <c r="F185" i="9"/>
  <c r="F184" i="9"/>
  <c r="F183" i="9"/>
  <c r="F182" i="9"/>
  <c r="F179" i="9"/>
  <c r="F178" i="9"/>
  <c r="F177" i="9"/>
  <c r="F176" i="9"/>
  <c r="F174" i="9"/>
  <c r="F173" i="9"/>
  <c r="F172" i="9"/>
  <c r="F171" i="9"/>
  <c r="F168" i="9"/>
  <c r="F167" i="9"/>
  <c r="F166" i="9"/>
  <c r="F165" i="9"/>
  <c r="F163" i="9"/>
  <c r="F162" i="9"/>
  <c r="F161" i="9"/>
  <c r="F160" i="9"/>
  <c r="F157" i="9"/>
  <c r="F156" i="9"/>
  <c r="F155" i="9"/>
  <c r="F154" i="9"/>
  <c r="F152" i="9"/>
  <c r="F151" i="9"/>
  <c r="F150" i="9"/>
  <c r="F149" i="9"/>
  <c r="F146" i="9"/>
  <c r="F145" i="9"/>
  <c r="F144" i="9"/>
  <c r="F143" i="9"/>
  <c r="F141" i="9"/>
  <c r="F140" i="9"/>
  <c r="F139" i="9"/>
  <c r="F138" i="9"/>
  <c r="F135" i="9"/>
  <c r="F134" i="9"/>
  <c r="F133" i="9"/>
  <c r="F132" i="9"/>
  <c r="F130" i="9"/>
  <c r="F129" i="9"/>
  <c r="F128" i="9"/>
  <c r="F127" i="9"/>
  <c r="F122" i="9"/>
  <c r="F121" i="9"/>
  <c r="F120" i="9"/>
  <c r="F119" i="9"/>
  <c r="F117" i="9"/>
  <c r="F116" i="9"/>
  <c r="F115" i="9"/>
  <c r="F114" i="9"/>
  <c r="F113" i="9"/>
  <c r="F112" i="9"/>
  <c r="F111" i="9"/>
  <c r="F110" i="9"/>
  <c r="F109" i="9"/>
  <c r="F108" i="9"/>
  <c r="F106" i="9"/>
  <c r="F105" i="9"/>
  <c r="F104" i="9"/>
  <c r="F103" i="9"/>
  <c r="G268" i="9"/>
  <c r="F278" i="9"/>
  <c r="F277" i="9"/>
  <c r="F275" i="9"/>
  <c r="F272" i="9"/>
  <c r="F271" i="9"/>
  <c r="F269" i="9"/>
  <c r="F268" i="9"/>
  <c r="C269" i="9"/>
  <c r="C268" i="9"/>
  <c r="J286" i="9" l="1"/>
  <c r="K286" i="9" s="1"/>
  <c r="G286" i="9"/>
  <c r="L286" i="9"/>
  <c r="J288" i="9"/>
  <c r="K288" i="9" s="1"/>
  <c r="L288" i="9"/>
  <c r="G288" i="9"/>
  <c r="G275" i="9"/>
  <c r="J275" i="9"/>
  <c r="K275" i="9" s="1"/>
  <c r="L275" i="9"/>
  <c r="L284" i="9"/>
  <c r="G284" i="9"/>
  <c r="J284" i="9"/>
  <c r="K284" i="9" s="1"/>
  <c r="G277" i="9"/>
  <c r="L277" i="9"/>
  <c r="J277" i="9"/>
  <c r="K277" i="9" s="1"/>
  <c r="L289" i="9"/>
  <c r="J289" i="9"/>
  <c r="K289" i="9" s="1"/>
  <c r="G289" i="9"/>
  <c r="L268" i="9"/>
  <c r="J268" i="9"/>
  <c r="K268" i="9" s="1"/>
  <c r="L280" i="9"/>
  <c r="J280" i="9"/>
  <c r="K280" i="9" s="1"/>
  <c r="G280" i="9"/>
  <c r="L278" i="9"/>
  <c r="J278" i="9"/>
  <c r="K278" i="9" s="1"/>
  <c r="G278" i="9"/>
  <c r="M268" i="9"/>
  <c r="N268" i="9" s="1"/>
  <c r="O268" i="9"/>
  <c r="L279" i="9"/>
  <c r="J279" i="9"/>
  <c r="K279" i="9" s="1"/>
  <c r="G279" i="9"/>
  <c r="G269" i="9"/>
  <c r="L269" i="9"/>
  <c r="J269" i="9"/>
  <c r="K269" i="9" s="1"/>
  <c r="L281" i="9"/>
  <c r="J281" i="9"/>
  <c r="K281" i="9" s="1"/>
  <c r="G281" i="9"/>
  <c r="L272" i="9"/>
  <c r="J272" i="9"/>
  <c r="K272" i="9" s="1"/>
  <c r="G272" i="9"/>
  <c r="L283" i="9"/>
  <c r="G283" i="9"/>
  <c r="J283" i="9"/>
  <c r="K283" i="9" s="1"/>
  <c r="G271" i="9"/>
  <c r="L271" i="9"/>
  <c r="J271" i="9"/>
  <c r="K271" i="9" s="1"/>
  <c r="G282" i="9"/>
  <c r="L282" i="9"/>
  <c r="J282" i="9"/>
  <c r="K282" i="9" s="1"/>
  <c r="M45" i="9"/>
  <c r="N45" i="9"/>
  <c r="O45" i="9"/>
  <c r="M44" i="9"/>
  <c r="N44" i="9"/>
  <c r="O44" i="9"/>
  <c r="M43" i="9"/>
  <c r="N43" i="9"/>
  <c r="O43" i="9"/>
  <c r="M42" i="9"/>
  <c r="N42" i="9"/>
  <c r="O42" i="9"/>
  <c r="M41" i="9"/>
  <c r="N41" i="9"/>
  <c r="O41" i="9"/>
  <c r="M40" i="9"/>
  <c r="N40" i="9"/>
  <c r="O40" i="9"/>
  <c r="M38" i="9"/>
  <c r="N38" i="9"/>
  <c r="O38" i="9"/>
  <c r="J29" i="9"/>
  <c r="K29" i="9"/>
  <c r="L29" i="9"/>
  <c r="J28" i="9"/>
  <c r="K28" i="9"/>
  <c r="L28" i="9"/>
  <c r="J27" i="9"/>
  <c r="K27" i="9"/>
  <c r="L27" i="9"/>
  <c r="J26" i="9"/>
  <c r="K26" i="9"/>
  <c r="L26" i="9"/>
  <c r="J25" i="9"/>
  <c r="K25" i="9"/>
  <c r="L25" i="9"/>
  <c r="J23" i="9"/>
  <c r="K23" i="9"/>
  <c r="L23" i="9"/>
  <c r="O272" i="9" l="1"/>
  <c r="M272" i="9"/>
  <c r="N272" i="9" s="1"/>
  <c r="O269" i="9"/>
  <c r="M269" i="9"/>
  <c r="N269" i="9" s="1"/>
  <c r="M282" i="9"/>
  <c r="N282" i="9" s="1"/>
  <c r="O282" i="9"/>
  <c r="O279" i="9"/>
  <c r="M279" i="9"/>
  <c r="N279" i="9" s="1"/>
  <c r="O280" i="9"/>
  <c r="M280" i="9"/>
  <c r="N280" i="9" s="1"/>
  <c r="M275" i="9"/>
  <c r="N275" i="9" s="1"/>
  <c r="O275" i="9"/>
  <c r="M271" i="9"/>
  <c r="N271" i="9" s="1"/>
  <c r="O271" i="9"/>
  <c r="O288" i="9"/>
  <c r="M288" i="9"/>
  <c r="N288" i="9" s="1"/>
  <c r="M281" i="9"/>
  <c r="N281" i="9" s="1"/>
  <c r="O281" i="9"/>
  <c r="M277" i="9"/>
  <c r="N277" i="9" s="1"/>
  <c r="O277" i="9"/>
  <c r="M284" i="9"/>
  <c r="N284" i="9" s="1"/>
  <c r="O284" i="9"/>
  <c r="M283" i="9"/>
  <c r="N283" i="9" s="1"/>
  <c r="O283" i="9"/>
  <c r="O278" i="9"/>
  <c r="M278" i="9"/>
  <c r="N278" i="9" s="1"/>
  <c r="O289" i="9"/>
  <c r="M289" i="9"/>
  <c r="N289" i="9" s="1"/>
  <c r="M286" i="9"/>
  <c r="N286" i="9" s="1"/>
  <c r="O286" i="9"/>
  <c r="J100" i="9"/>
  <c r="K100" i="9" s="1"/>
  <c r="L94" i="9"/>
  <c r="L83" i="9"/>
  <c r="L80" i="9"/>
  <c r="L81" i="9"/>
  <c r="C81" i="9"/>
  <c r="L79" i="9"/>
  <c r="C79" i="9"/>
  <c r="L64" i="9"/>
  <c r="C64" i="9"/>
  <c r="L54" i="9"/>
  <c r="L51" i="9"/>
  <c r="C51" i="9"/>
  <c r="G100" i="9" l="1"/>
  <c r="L100" i="9"/>
  <c r="G94" i="9"/>
  <c r="G81" i="9"/>
  <c r="O81" i="9" s="1"/>
  <c r="J94" i="9"/>
  <c r="K94" i="9" s="1"/>
  <c r="J81" i="9"/>
  <c r="K81" i="9" s="1"/>
  <c r="G83" i="9"/>
  <c r="J83" i="9"/>
  <c r="K83" i="9" s="1"/>
  <c r="G79" i="9"/>
  <c r="J79" i="9"/>
  <c r="K79" i="9" s="1"/>
  <c r="G64" i="9"/>
  <c r="O64" i="9" s="1"/>
  <c r="J64" i="9"/>
  <c r="K64" i="9" s="1"/>
  <c r="G54" i="9"/>
  <c r="J54" i="9"/>
  <c r="K54" i="9" s="1"/>
  <c r="G51" i="9"/>
  <c r="M51" i="9" s="1"/>
  <c r="N51" i="9" s="1"/>
  <c r="J51" i="9"/>
  <c r="K51" i="9" s="1"/>
  <c r="M64" i="9" l="1"/>
  <c r="N64" i="9" s="1"/>
  <c r="M100" i="9"/>
  <c r="N100" i="9" s="1"/>
  <c r="O100" i="9"/>
  <c r="O83" i="9"/>
  <c r="M83" i="9"/>
  <c r="N83" i="9" s="1"/>
  <c r="M81" i="9"/>
  <c r="N81" i="9" s="1"/>
  <c r="O94" i="9"/>
  <c r="M94" i="9"/>
  <c r="N94" i="9" s="1"/>
  <c r="O79" i="9"/>
  <c r="M79" i="9"/>
  <c r="N79" i="9" s="1"/>
  <c r="O51" i="9"/>
  <c r="O54" i="9"/>
  <c r="M54" i="9"/>
  <c r="N54" i="9" s="1"/>
  <c r="L93" i="9"/>
  <c r="J93" i="9"/>
  <c r="K93" i="9" s="1"/>
  <c r="G93" i="9"/>
  <c r="O93" i="9" s="1"/>
  <c r="J256" i="9"/>
  <c r="K256" i="9" s="1"/>
  <c r="G255" i="9"/>
  <c r="O255" i="9" s="1"/>
  <c r="G254" i="9"/>
  <c r="O254" i="9" s="1"/>
  <c r="G253" i="9"/>
  <c r="O253" i="9" s="1"/>
  <c r="J252" i="9"/>
  <c r="K252" i="9" s="1"/>
  <c r="G251" i="9"/>
  <c r="O251" i="9" s="1"/>
  <c r="G250" i="9"/>
  <c r="O250" i="9" s="1"/>
  <c r="G249" i="9"/>
  <c r="M249" i="9" s="1"/>
  <c r="N249" i="9" s="1"/>
  <c r="L248" i="9"/>
  <c r="F247" i="9"/>
  <c r="J245" i="9"/>
  <c r="K245" i="9" s="1"/>
  <c r="G244" i="9"/>
  <c r="O244" i="9" s="1"/>
  <c r="G243" i="9"/>
  <c r="O243" i="9" s="1"/>
  <c r="J242" i="9"/>
  <c r="K242" i="9" s="1"/>
  <c r="G241" i="9"/>
  <c r="M241" i="9" s="1"/>
  <c r="N241" i="9" s="1"/>
  <c r="G240" i="9"/>
  <c r="O240" i="9" s="1"/>
  <c r="G239" i="9"/>
  <c r="M239" i="9" s="1"/>
  <c r="N239" i="9" s="1"/>
  <c r="G238" i="9"/>
  <c r="M238" i="9" s="1"/>
  <c r="N238" i="9" s="1"/>
  <c r="G237" i="9"/>
  <c r="O237" i="9" s="1"/>
  <c r="G234" i="9"/>
  <c r="M234" i="9" s="1"/>
  <c r="N234" i="9" s="1"/>
  <c r="G233" i="9"/>
  <c r="O233" i="9" s="1"/>
  <c r="L232" i="9"/>
  <c r="G231" i="9"/>
  <c r="O231" i="9" s="1"/>
  <c r="G230" i="9"/>
  <c r="O230" i="9" s="1"/>
  <c r="G229" i="9"/>
  <c r="O229" i="9" s="1"/>
  <c r="G228" i="9"/>
  <c r="M228" i="9" s="1"/>
  <c r="N228" i="9" s="1"/>
  <c r="G227" i="9"/>
  <c r="G226" i="9"/>
  <c r="G201" i="9"/>
  <c r="O201" i="9" s="1"/>
  <c r="G200" i="9"/>
  <c r="O200" i="9" s="1"/>
  <c r="G199" i="9"/>
  <c r="G198" i="9"/>
  <c r="O198" i="9" s="1"/>
  <c r="G197" i="9"/>
  <c r="O197" i="9" s="1"/>
  <c r="G196" i="9"/>
  <c r="O196" i="9" s="1"/>
  <c r="L195" i="9"/>
  <c r="G194" i="9"/>
  <c r="M194" i="9" s="1"/>
  <c r="N194" i="9" s="1"/>
  <c r="G193" i="9"/>
  <c r="O193" i="9" s="1"/>
  <c r="G190" i="9"/>
  <c r="O190" i="9" s="1"/>
  <c r="G189" i="9"/>
  <c r="O189" i="9" s="1"/>
  <c r="G188" i="9"/>
  <c r="O188" i="9" s="1"/>
  <c r="G187" i="9"/>
  <c r="O187" i="9" s="1"/>
  <c r="J186" i="9"/>
  <c r="K186" i="9" s="1"/>
  <c r="L185" i="9"/>
  <c r="G184" i="9"/>
  <c r="M184" i="9" s="1"/>
  <c r="N184" i="9" s="1"/>
  <c r="G183" i="9"/>
  <c r="M183" i="9" s="1"/>
  <c r="N183" i="9" s="1"/>
  <c r="G182" i="9"/>
  <c r="L157" i="9"/>
  <c r="L156" i="9"/>
  <c r="G155" i="9"/>
  <c r="J154" i="9"/>
  <c r="K154" i="9" s="1"/>
  <c r="L153" i="9"/>
  <c r="L152" i="9"/>
  <c r="J151" i="9"/>
  <c r="K151" i="9" s="1"/>
  <c r="J150" i="9"/>
  <c r="K150" i="9" s="1"/>
  <c r="L149" i="9"/>
  <c r="L146" i="9"/>
  <c r="L145" i="9"/>
  <c r="J144" i="9"/>
  <c r="K144" i="9" s="1"/>
  <c r="G143" i="9"/>
  <c r="J142" i="9"/>
  <c r="K142" i="9" s="1"/>
  <c r="L141" i="9"/>
  <c r="G140" i="9"/>
  <c r="L139" i="9"/>
  <c r="L138" i="9"/>
  <c r="L135" i="9"/>
  <c r="L134" i="9"/>
  <c r="G133" i="9"/>
  <c r="J132" i="9"/>
  <c r="K132" i="9" s="1"/>
  <c r="J131" i="9"/>
  <c r="K131" i="9" s="1"/>
  <c r="L130" i="9"/>
  <c r="G129" i="9"/>
  <c r="L128" i="9"/>
  <c r="L127" i="9"/>
  <c r="F126" i="9"/>
  <c r="F124" i="9"/>
  <c r="F123" i="9"/>
  <c r="C124" i="9"/>
  <c r="G122" i="9"/>
  <c r="J121" i="9"/>
  <c r="K121" i="9" s="1"/>
  <c r="J120" i="9"/>
  <c r="K120" i="9" s="1"/>
  <c r="L119" i="9"/>
  <c r="J118" i="9"/>
  <c r="K118" i="9" s="1"/>
  <c r="G117" i="9"/>
  <c r="L116" i="9"/>
  <c r="J115" i="9"/>
  <c r="K115" i="9" s="1"/>
  <c r="G114" i="9"/>
  <c r="C123" i="9"/>
  <c r="G111" i="9"/>
  <c r="L110" i="9"/>
  <c r="J109" i="9"/>
  <c r="K109" i="9" s="1"/>
  <c r="G108" i="9"/>
  <c r="G107" i="9"/>
  <c r="L106" i="9"/>
  <c r="J105" i="9"/>
  <c r="K105" i="9" s="1"/>
  <c r="J104" i="9"/>
  <c r="K104" i="9" s="1"/>
  <c r="G103" i="9"/>
  <c r="G179" i="9"/>
  <c r="M179" i="9" s="1"/>
  <c r="N179" i="9" s="1"/>
  <c r="G178" i="9"/>
  <c r="O178" i="9" s="1"/>
  <c r="G177" i="9"/>
  <c r="M177" i="9" s="1"/>
  <c r="N177" i="9" s="1"/>
  <c r="G176" i="9"/>
  <c r="G175" i="9"/>
  <c r="O175" i="9" s="1"/>
  <c r="J174" i="9"/>
  <c r="K174" i="9" s="1"/>
  <c r="G173" i="9"/>
  <c r="O173" i="9" s="1"/>
  <c r="L172" i="9"/>
  <c r="G171" i="9"/>
  <c r="O171" i="9" s="1"/>
  <c r="L168" i="9"/>
  <c r="G167" i="9"/>
  <c r="L166" i="9"/>
  <c r="J165" i="9"/>
  <c r="K165" i="9" s="1"/>
  <c r="J164" i="9"/>
  <c r="K164" i="9" s="1"/>
  <c r="J163" i="9"/>
  <c r="K163" i="9" s="1"/>
  <c r="L162" i="9"/>
  <c r="L161" i="9"/>
  <c r="G160" i="9"/>
  <c r="M267" i="9"/>
  <c r="N267" i="9" s="1"/>
  <c r="J267" i="9"/>
  <c r="K267" i="9" s="1"/>
  <c r="O266" i="9"/>
  <c r="J266" i="9"/>
  <c r="K266" i="9" s="1"/>
  <c r="O265" i="9"/>
  <c r="J265" i="9"/>
  <c r="K265" i="9" s="1"/>
  <c r="O264" i="9"/>
  <c r="J264" i="9"/>
  <c r="K264" i="9" s="1"/>
  <c r="O263" i="9"/>
  <c r="L263" i="9"/>
  <c r="M262" i="9"/>
  <c r="N262" i="9" s="1"/>
  <c r="J262" i="9"/>
  <c r="K262" i="9" s="1"/>
  <c r="L261" i="9"/>
  <c r="M261" i="9"/>
  <c r="N261" i="9" s="1"/>
  <c r="M260" i="9"/>
  <c r="N260" i="9" s="1"/>
  <c r="L260" i="9"/>
  <c r="L251" i="9" l="1"/>
  <c r="O238" i="9"/>
  <c r="J254" i="9"/>
  <c r="K254" i="9" s="1"/>
  <c r="G245" i="9"/>
  <c r="O245" i="9" s="1"/>
  <c r="L253" i="9"/>
  <c r="G232" i="9"/>
  <c r="O232" i="9" s="1"/>
  <c r="L245" i="9"/>
  <c r="L252" i="9"/>
  <c r="G252" i="9"/>
  <c r="G248" i="9"/>
  <c r="O248" i="9" s="1"/>
  <c r="M250" i="9"/>
  <c r="N250" i="9" s="1"/>
  <c r="M251" i="9"/>
  <c r="N251" i="9" s="1"/>
  <c r="M93" i="9"/>
  <c r="N93" i="9" s="1"/>
  <c r="L244" i="9"/>
  <c r="J253" i="9"/>
  <c r="K253" i="9" s="1"/>
  <c r="M253" i="9"/>
  <c r="N253" i="9" s="1"/>
  <c r="J238" i="9"/>
  <c r="K238" i="9" s="1"/>
  <c r="O241" i="9"/>
  <c r="J249" i="9"/>
  <c r="K249" i="9" s="1"/>
  <c r="L255" i="9"/>
  <c r="M254" i="9"/>
  <c r="N254" i="9" s="1"/>
  <c r="M243" i="9"/>
  <c r="N243" i="9" s="1"/>
  <c r="G256" i="9"/>
  <c r="J255" i="9"/>
  <c r="K255" i="9" s="1"/>
  <c r="J248" i="9"/>
  <c r="K248" i="9" s="1"/>
  <c r="J243" i="9"/>
  <c r="K243" i="9" s="1"/>
  <c r="J250" i="9"/>
  <c r="K250" i="9" s="1"/>
  <c r="L256" i="9"/>
  <c r="M255" i="9"/>
  <c r="N255" i="9" s="1"/>
  <c r="O228" i="9"/>
  <c r="L254" i="9"/>
  <c r="L237" i="9"/>
  <c r="J251" i="9"/>
  <c r="K251" i="9" s="1"/>
  <c r="L249" i="9"/>
  <c r="G242" i="9"/>
  <c r="O249" i="9"/>
  <c r="M230" i="9"/>
  <c r="N230" i="9" s="1"/>
  <c r="L241" i="9"/>
  <c r="L250" i="9"/>
  <c r="J234" i="9"/>
  <c r="K234" i="9" s="1"/>
  <c r="L231" i="9"/>
  <c r="J244" i="9"/>
  <c r="K244" i="9" s="1"/>
  <c r="L242" i="9"/>
  <c r="O239" i="9"/>
  <c r="M240" i="9"/>
  <c r="N240" i="9" s="1"/>
  <c r="J237" i="9"/>
  <c r="K237" i="9" s="1"/>
  <c r="L243" i="9"/>
  <c r="J239" i="9"/>
  <c r="K239" i="9" s="1"/>
  <c r="M244" i="9"/>
  <c r="N244" i="9" s="1"/>
  <c r="J226" i="9"/>
  <c r="K226" i="9" s="1"/>
  <c r="J240" i="9"/>
  <c r="K240" i="9" s="1"/>
  <c r="L238" i="9"/>
  <c r="M237" i="9"/>
  <c r="N237" i="9" s="1"/>
  <c r="M245" i="9"/>
  <c r="N245" i="9" s="1"/>
  <c r="J228" i="9"/>
  <c r="K228" i="9" s="1"/>
  <c r="O234" i="9"/>
  <c r="J241" i="9"/>
  <c r="K241" i="9" s="1"/>
  <c r="L239" i="9"/>
  <c r="J232" i="9"/>
  <c r="K232" i="9" s="1"/>
  <c r="L240" i="9"/>
  <c r="M226" i="9"/>
  <c r="N226" i="9" s="1"/>
  <c r="O226" i="9"/>
  <c r="M227" i="9"/>
  <c r="N227" i="9" s="1"/>
  <c r="O227" i="9"/>
  <c r="L229" i="9"/>
  <c r="J233" i="9"/>
  <c r="K233" i="9" s="1"/>
  <c r="L230" i="9"/>
  <c r="M229" i="9"/>
  <c r="N229" i="9" s="1"/>
  <c r="J227" i="9"/>
  <c r="K227" i="9" s="1"/>
  <c r="M231" i="9"/>
  <c r="N231" i="9" s="1"/>
  <c r="L233" i="9"/>
  <c r="J229" i="9"/>
  <c r="K229" i="9" s="1"/>
  <c r="L226" i="9"/>
  <c r="L234" i="9"/>
  <c r="M233" i="9"/>
  <c r="N233" i="9" s="1"/>
  <c r="J230" i="9"/>
  <c r="K230" i="9" s="1"/>
  <c r="L227" i="9"/>
  <c r="J199" i="9"/>
  <c r="K199" i="9" s="1"/>
  <c r="J231" i="9"/>
  <c r="K231" i="9" s="1"/>
  <c r="L228" i="9"/>
  <c r="M187" i="9"/>
  <c r="N187" i="9" s="1"/>
  <c r="J182" i="9"/>
  <c r="K182" i="9" s="1"/>
  <c r="L198" i="9"/>
  <c r="J188" i="9"/>
  <c r="K188" i="9" s="1"/>
  <c r="M193" i="9"/>
  <c r="N193" i="9" s="1"/>
  <c r="M196" i="9"/>
  <c r="N196" i="9" s="1"/>
  <c r="L197" i="9"/>
  <c r="M197" i="9"/>
  <c r="N197" i="9" s="1"/>
  <c r="J196" i="9"/>
  <c r="K196" i="9" s="1"/>
  <c r="O199" i="9"/>
  <c r="M199" i="9"/>
  <c r="N199" i="9" s="1"/>
  <c r="O194" i="9"/>
  <c r="J200" i="9"/>
  <c r="K200" i="9" s="1"/>
  <c r="G145" i="9"/>
  <c r="O145" i="9" s="1"/>
  <c r="L186" i="9"/>
  <c r="G195" i="9"/>
  <c r="J193" i="9"/>
  <c r="K193" i="9" s="1"/>
  <c r="J201" i="9"/>
  <c r="K201" i="9" s="1"/>
  <c r="L199" i="9"/>
  <c r="M198" i="9"/>
  <c r="N198" i="9" s="1"/>
  <c r="L143" i="9"/>
  <c r="L187" i="9"/>
  <c r="J194" i="9"/>
  <c r="K194" i="9" s="1"/>
  <c r="L200" i="9"/>
  <c r="L188" i="9"/>
  <c r="J195" i="9"/>
  <c r="K195" i="9" s="1"/>
  <c r="L193" i="9"/>
  <c r="L201" i="9"/>
  <c r="M200" i="9"/>
  <c r="N200" i="9" s="1"/>
  <c r="J153" i="9"/>
  <c r="K153" i="9" s="1"/>
  <c r="L194" i="9"/>
  <c r="M201" i="9"/>
  <c r="N201" i="9" s="1"/>
  <c r="L150" i="9"/>
  <c r="J197" i="9"/>
  <c r="K197" i="9" s="1"/>
  <c r="J198" i="9"/>
  <c r="K198" i="9" s="1"/>
  <c r="L196" i="9"/>
  <c r="O182" i="9"/>
  <c r="M182" i="9"/>
  <c r="N182" i="9" s="1"/>
  <c r="G157" i="9"/>
  <c r="G153" i="9"/>
  <c r="O153" i="9" s="1"/>
  <c r="L151" i="9"/>
  <c r="G185" i="9"/>
  <c r="J183" i="9"/>
  <c r="K183" i="9" s="1"/>
  <c r="L189" i="9"/>
  <c r="M188" i="9"/>
  <c r="N188" i="9" s="1"/>
  <c r="G152" i="9"/>
  <c r="O152" i="9" s="1"/>
  <c r="J184" i="9"/>
  <c r="K184" i="9" s="1"/>
  <c r="L182" i="9"/>
  <c r="L190" i="9"/>
  <c r="M189" i="9"/>
  <c r="N189" i="9" s="1"/>
  <c r="O183" i="9"/>
  <c r="G151" i="9"/>
  <c r="O151" i="9" s="1"/>
  <c r="G186" i="9"/>
  <c r="J185" i="9"/>
  <c r="K185" i="9" s="1"/>
  <c r="L183" i="9"/>
  <c r="M190" i="9"/>
  <c r="N190" i="9" s="1"/>
  <c r="J189" i="9"/>
  <c r="K189" i="9" s="1"/>
  <c r="O184" i="9"/>
  <c r="G149" i="9"/>
  <c r="L184" i="9"/>
  <c r="J156" i="9"/>
  <c r="K156" i="9" s="1"/>
  <c r="J190" i="9"/>
  <c r="K190" i="9" s="1"/>
  <c r="J143" i="9"/>
  <c r="K143" i="9" s="1"/>
  <c r="J152" i="9"/>
  <c r="K152" i="9" s="1"/>
  <c r="J187" i="9"/>
  <c r="K187" i="9" s="1"/>
  <c r="M155" i="9"/>
  <c r="N155" i="9" s="1"/>
  <c r="O155" i="9"/>
  <c r="G146" i="9"/>
  <c r="O146" i="9" s="1"/>
  <c r="L144" i="9"/>
  <c r="G144" i="9"/>
  <c r="O144" i="9" s="1"/>
  <c r="G150" i="9"/>
  <c r="J155" i="9"/>
  <c r="K155" i="9" s="1"/>
  <c r="G138" i="9"/>
  <c r="O138" i="9" s="1"/>
  <c r="L154" i="9"/>
  <c r="G134" i="9"/>
  <c r="O134" i="9" s="1"/>
  <c r="J138" i="9"/>
  <c r="K138" i="9" s="1"/>
  <c r="G156" i="9"/>
  <c r="J149" i="9"/>
  <c r="K149" i="9" s="1"/>
  <c r="J157" i="9"/>
  <c r="K157" i="9" s="1"/>
  <c r="L155" i="9"/>
  <c r="J146" i="9"/>
  <c r="K146" i="9" s="1"/>
  <c r="J133" i="9"/>
  <c r="K133" i="9" s="1"/>
  <c r="J167" i="9"/>
  <c r="K167" i="9" s="1"/>
  <c r="L133" i="9"/>
  <c r="J145" i="9"/>
  <c r="K145" i="9" s="1"/>
  <c r="G154" i="9"/>
  <c r="O143" i="9"/>
  <c r="M143" i="9"/>
  <c r="N143" i="9" s="1"/>
  <c r="M140" i="9"/>
  <c r="N140" i="9" s="1"/>
  <c r="O140" i="9"/>
  <c r="G139" i="9"/>
  <c r="L142" i="9"/>
  <c r="J139" i="9"/>
  <c r="K139" i="9" s="1"/>
  <c r="M144" i="9"/>
  <c r="N144" i="9" s="1"/>
  <c r="J134" i="9"/>
  <c r="K134" i="9" s="1"/>
  <c r="J140" i="9"/>
  <c r="K140" i="9" s="1"/>
  <c r="G128" i="9"/>
  <c r="M128" i="9" s="1"/>
  <c r="N128" i="9" s="1"/>
  <c r="G121" i="9"/>
  <c r="O121" i="9" s="1"/>
  <c r="L131" i="9"/>
  <c r="G142" i="9"/>
  <c r="J141" i="9"/>
  <c r="K141" i="9" s="1"/>
  <c r="L104" i="9"/>
  <c r="G120" i="9"/>
  <c r="O120" i="9" s="1"/>
  <c r="L132" i="9"/>
  <c r="G141" i="9"/>
  <c r="L140" i="9"/>
  <c r="J122" i="9"/>
  <c r="K122" i="9" s="1"/>
  <c r="M129" i="9"/>
  <c r="N129" i="9" s="1"/>
  <c r="O129" i="9"/>
  <c r="O133" i="9"/>
  <c r="M133" i="9"/>
  <c r="N133" i="9" s="1"/>
  <c r="G135" i="9"/>
  <c r="G127" i="9"/>
  <c r="J127" i="9"/>
  <c r="K127" i="9" s="1"/>
  <c r="J135" i="9"/>
  <c r="K135" i="9" s="1"/>
  <c r="J108" i="9"/>
  <c r="K108" i="9" s="1"/>
  <c r="G119" i="9"/>
  <c r="O119" i="9" s="1"/>
  <c r="L114" i="9"/>
  <c r="J128" i="9"/>
  <c r="K128" i="9" s="1"/>
  <c r="G132" i="9"/>
  <c r="J129" i="9"/>
  <c r="K129" i="9" s="1"/>
  <c r="J111" i="9"/>
  <c r="K111" i="9" s="1"/>
  <c r="L115" i="9"/>
  <c r="J114" i="9"/>
  <c r="K114" i="9" s="1"/>
  <c r="L120" i="9"/>
  <c r="G131" i="9"/>
  <c r="J130" i="9"/>
  <c r="K130" i="9" s="1"/>
  <c r="G115" i="9"/>
  <c r="M115" i="9" s="1"/>
  <c r="N115" i="9" s="1"/>
  <c r="M264" i="9"/>
  <c r="N264" i="9" s="1"/>
  <c r="L108" i="9"/>
  <c r="L121" i="9"/>
  <c r="G130" i="9"/>
  <c r="L129" i="9"/>
  <c r="J116" i="9"/>
  <c r="K116" i="9" s="1"/>
  <c r="L122" i="9"/>
  <c r="O117" i="9"/>
  <c r="M117" i="9"/>
  <c r="N117" i="9" s="1"/>
  <c r="M114" i="9"/>
  <c r="N114" i="9" s="1"/>
  <c r="O114" i="9"/>
  <c r="M122" i="9"/>
  <c r="N122" i="9" s="1"/>
  <c r="O122" i="9"/>
  <c r="G116" i="9"/>
  <c r="J119" i="9"/>
  <c r="K119" i="9" s="1"/>
  <c r="L117" i="9"/>
  <c r="G104" i="9"/>
  <c r="M104" i="9" s="1"/>
  <c r="N104" i="9" s="1"/>
  <c r="J103" i="9"/>
  <c r="K103" i="9" s="1"/>
  <c r="L118" i="9"/>
  <c r="J166" i="9"/>
  <c r="K166" i="9" s="1"/>
  <c r="J107" i="9"/>
  <c r="K107" i="9" s="1"/>
  <c r="G109" i="9"/>
  <c r="O109" i="9" s="1"/>
  <c r="L105" i="9"/>
  <c r="G118" i="9"/>
  <c r="J117" i="9"/>
  <c r="K117" i="9" s="1"/>
  <c r="G105" i="9"/>
  <c r="M105" i="9" s="1"/>
  <c r="N105" i="9" s="1"/>
  <c r="M107" i="9"/>
  <c r="N107" i="9" s="1"/>
  <c r="O107" i="9"/>
  <c r="O108" i="9"/>
  <c r="M108" i="9"/>
  <c r="N108" i="9" s="1"/>
  <c r="O111" i="9"/>
  <c r="M111" i="9"/>
  <c r="N111" i="9" s="1"/>
  <c r="O103" i="9"/>
  <c r="M103" i="9"/>
  <c r="N103" i="9" s="1"/>
  <c r="G172" i="9"/>
  <c r="O172" i="9" s="1"/>
  <c r="J176" i="9"/>
  <c r="K176" i="9" s="1"/>
  <c r="G110" i="9"/>
  <c r="J110" i="9"/>
  <c r="K110" i="9" s="1"/>
  <c r="L107" i="9"/>
  <c r="O177" i="9"/>
  <c r="L173" i="9"/>
  <c r="L109" i="9"/>
  <c r="G168" i="9"/>
  <c r="O168" i="9" s="1"/>
  <c r="L174" i="9"/>
  <c r="J177" i="9"/>
  <c r="K177" i="9" s="1"/>
  <c r="M171" i="9"/>
  <c r="N171" i="9" s="1"/>
  <c r="G106" i="9"/>
  <c r="J106" i="9"/>
  <c r="K106" i="9" s="1"/>
  <c r="L103" i="9"/>
  <c r="L111" i="9"/>
  <c r="O176" i="9"/>
  <c r="M176" i="9"/>
  <c r="N176" i="9" s="1"/>
  <c r="M178" i="9"/>
  <c r="N178" i="9" s="1"/>
  <c r="J178" i="9"/>
  <c r="K178" i="9" s="1"/>
  <c r="L175" i="9"/>
  <c r="O179" i="9"/>
  <c r="L163" i="9"/>
  <c r="G174" i="9"/>
  <c r="J171" i="9"/>
  <c r="K171" i="9" s="1"/>
  <c r="J179" i="9"/>
  <c r="K179" i="9" s="1"/>
  <c r="L176" i="9"/>
  <c r="M173" i="9"/>
  <c r="N173" i="9" s="1"/>
  <c r="G162" i="9"/>
  <c r="J172" i="9"/>
  <c r="K172" i="9" s="1"/>
  <c r="L177" i="9"/>
  <c r="G166" i="9"/>
  <c r="O166" i="9" s="1"/>
  <c r="J173" i="9"/>
  <c r="K173" i="9" s="1"/>
  <c r="L178" i="9"/>
  <c r="M175" i="9"/>
  <c r="N175" i="9" s="1"/>
  <c r="G163" i="9"/>
  <c r="G165" i="9"/>
  <c r="O165" i="9" s="1"/>
  <c r="L171" i="9"/>
  <c r="L179" i="9"/>
  <c r="L264" i="9"/>
  <c r="J175" i="9"/>
  <c r="K175" i="9" s="1"/>
  <c r="O160" i="9"/>
  <c r="M160" i="9"/>
  <c r="N160" i="9" s="1"/>
  <c r="O167" i="9"/>
  <c r="M167" i="9"/>
  <c r="N167" i="9" s="1"/>
  <c r="L164" i="9"/>
  <c r="G164" i="9"/>
  <c r="J160" i="9"/>
  <c r="K160" i="9" s="1"/>
  <c r="J168" i="9"/>
  <c r="K168" i="9" s="1"/>
  <c r="G161" i="9"/>
  <c r="J161" i="9"/>
  <c r="K161" i="9" s="1"/>
  <c r="L167" i="9"/>
  <c r="L165" i="9"/>
  <c r="L262" i="9"/>
  <c r="J162" i="9"/>
  <c r="K162" i="9" s="1"/>
  <c r="L160" i="9"/>
  <c r="M263" i="9"/>
  <c r="N263" i="9" s="1"/>
  <c r="M265" i="9"/>
  <c r="N265" i="9" s="1"/>
  <c r="O260" i="9"/>
  <c r="J261" i="9"/>
  <c r="K261" i="9" s="1"/>
  <c r="O267" i="9"/>
  <c r="J260" i="9"/>
  <c r="K260" i="9" s="1"/>
  <c r="J263" i="9"/>
  <c r="K263" i="9" s="1"/>
  <c r="L265" i="9"/>
  <c r="M266" i="9"/>
  <c r="N266" i="9" s="1"/>
  <c r="L266" i="9"/>
  <c r="O261" i="9"/>
  <c r="L267" i="9"/>
  <c r="O262" i="9"/>
  <c r="M232" i="9" l="1"/>
  <c r="N232" i="9" s="1"/>
  <c r="M248" i="9"/>
  <c r="N248" i="9" s="1"/>
  <c r="O252" i="9"/>
  <c r="M252" i="9"/>
  <c r="N252" i="9" s="1"/>
  <c r="M242" i="9"/>
  <c r="N242" i="9" s="1"/>
  <c r="O242" i="9"/>
  <c r="M256" i="9"/>
  <c r="N256" i="9" s="1"/>
  <c r="O256" i="9"/>
  <c r="O115" i="9"/>
  <c r="M152" i="9"/>
  <c r="N152" i="9" s="1"/>
  <c r="O128" i="9"/>
  <c r="M195" i="9"/>
  <c r="N195" i="9" s="1"/>
  <c r="O195" i="9"/>
  <c r="M120" i="9"/>
  <c r="N120" i="9" s="1"/>
  <c r="M145" i="9"/>
  <c r="N145" i="9" s="1"/>
  <c r="M185" i="9"/>
  <c r="N185" i="9" s="1"/>
  <c r="O185" i="9"/>
  <c r="O157" i="9"/>
  <c r="M157" i="9"/>
  <c r="N157" i="9" s="1"/>
  <c r="M146" i="9"/>
  <c r="N146" i="9" s="1"/>
  <c r="O149" i="9"/>
  <c r="M149" i="9"/>
  <c r="N149" i="9" s="1"/>
  <c r="M138" i="9"/>
  <c r="N138" i="9" s="1"/>
  <c r="M119" i="9"/>
  <c r="N119" i="9" s="1"/>
  <c r="M151" i="9"/>
  <c r="N151" i="9" s="1"/>
  <c r="M153" i="9"/>
  <c r="N153" i="9" s="1"/>
  <c r="M186" i="9"/>
  <c r="N186" i="9" s="1"/>
  <c r="O186" i="9"/>
  <c r="M121" i="9"/>
  <c r="N121" i="9" s="1"/>
  <c r="M156" i="9"/>
  <c r="N156" i="9" s="1"/>
  <c r="O156" i="9"/>
  <c r="M150" i="9"/>
  <c r="N150" i="9" s="1"/>
  <c r="O150" i="9"/>
  <c r="M134" i="9"/>
  <c r="N134" i="9" s="1"/>
  <c r="O154" i="9"/>
  <c r="M154" i="9"/>
  <c r="N154" i="9" s="1"/>
  <c r="O105" i="9"/>
  <c r="O141" i="9"/>
  <c r="M141" i="9"/>
  <c r="N141" i="9" s="1"/>
  <c r="M172" i="9"/>
  <c r="N172" i="9" s="1"/>
  <c r="M139" i="9"/>
  <c r="N139" i="9" s="1"/>
  <c r="O139" i="9"/>
  <c r="M142" i="9"/>
  <c r="N142" i="9" s="1"/>
  <c r="O142" i="9"/>
  <c r="O104" i="9"/>
  <c r="O132" i="9"/>
  <c r="M132" i="9"/>
  <c r="N132" i="9" s="1"/>
  <c r="M166" i="9"/>
  <c r="N166" i="9" s="1"/>
  <c r="M130" i="9"/>
  <c r="N130" i="9" s="1"/>
  <c r="O130" i="9"/>
  <c r="O127" i="9"/>
  <c r="M127" i="9"/>
  <c r="N127" i="9" s="1"/>
  <c r="O135" i="9"/>
  <c r="M135" i="9"/>
  <c r="N135" i="9" s="1"/>
  <c r="M131" i="9"/>
  <c r="N131" i="9" s="1"/>
  <c r="O131" i="9"/>
  <c r="M109" i="9"/>
  <c r="N109" i="9" s="1"/>
  <c r="O116" i="9"/>
  <c r="M116" i="9"/>
  <c r="N116" i="9" s="1"/>
  <c r="M168" i="9"/>
  <c r="N168" i="9" s="1"/>
  <c r="O118" i="9"/>
  <c r="M118" i="9"/>
  <c r="N118" i="9" s="1"/>
  <c r="O106" i="9"/>
  <c r="M106" i="9"/>
  <c r="N106" i="9" s="1"/>
  <c r="O110" i="9"/>
  <c r="M110" i="9"/>
  <c r="N110" i="9" s="1"/>
  <c r="M162" i="9"/>
  <c r="N162" i="9" s="1"/>
  <c r="O162" i="9"/>
  <c r="M165" i="9"/>
  <c r="N165" i="9" s="1"/>
  <c r="O163" i="9"/>
  <c r="M163" i="9"/>
  <c r="N163" i="9" s="1"/>
  <c r="O174" i="9"/>
  <c r="M174" i="9"/>
  <c r="N174" i="9" s="1"/>
  <c r="M164" i="9"/>
  <c r="N164" i="9" s="1"/>
  <c r="O164" i="9"/>
  <c r="M161" i="9"/>
  <c r="N161" i="9" s="1"/>
  <c r="O161" i="9"/>
  <c r="O259" i="9" l="1"/>
  <c r="M259" i="9"/>
  <c r="N259" i="9" s="1"/>
  <c r="L259" i="9"/>
  <c r="J259" i="9"/>
  <c r="K259" i="9" s="1"/>
  <c r="L49" i="9"/>
  <c r="J49" i="9"/>
  <c r="K49" i="9" s="1"/>
  <c r="G49" i="9"/>
  <c r="O49" i="9" s="1"/>
  <c r="M49" i="9" l="1"/>
  <c r="N49" i="9" s="1"/>
  <c r="O39" i="9"/>
  <c r="N39" i="9"/>
  <c r="M39" i="9"/>
  <c r="O37" i="9"/>
  <c r="N37" i="9"/>
  <c r="M37" i="9"/>
  <c r="O36" i="9"/>
  <c r="N36" i="9"/>
  <c r="M36" i="9"/>
  <c r="O35" i="9"/>
  <c r="N35" i="9"/>
  <c r="M35" i="9"/>
  <c r="O34" i="9"/>
  <c r="N34" i="9"/>
  <c r="M34" i="9"/>
  <c r="O33" i="9"/>
  <c r="N33" i="9"/>
  <c r="M33" i="9"/>
  <c r="O32" i="9"/>
  <c r="N32" i="9"/>
  <c r="M32" i="9"/>
  <c r="O31" i="9"/>
  <c r="N31" i="9"/>
  <c r="M31" i="9"/>
  <c r="C39" i="9"/>
  <c r="C37" i="9"/>
  <c r="C36" i="9"/>
  <c r="C35" i="9"/>
  <c r="C34" i="9"/>
  <c r="C33" i="9"/>
  <c r="C32" i="9"/>
  <c r="C31" i="9"/>
  <c r="L24" i="9"/>
  <c r="K24" i="9"/>
  <c r="J24" i="9"/>
  <c r="L22" i="9"/>
  <c r="K22" i="9"/>
  <c r="J22" i="9"/>
  <c r="L21" i="9"/>
  <c r="K21" i="9"/>
  <c r="J21" i="9"/>
  <c r="L20" i="9"/>
  <c r="K20" i="9"/>
  <c r="J20" i="9"/>
  <c r="L19" i="9"/>
  <c r="K19" i="9"/>
  <c r="J19" i="9"/>
  <c r="L18" i="9"/>
  <c r="K18" i="9"/>
  <c r="J18" i="9"/>
  <c r="L17" i="9"/>
  <c r="K17" i="9"/>
  <c r="J17" i="9"/>
  <c r="L16" i="9"/>
  <c r="K16" i="9"/>
  <c r="J16" i="9"/>
  <c r="L77" i="9" l="1"/>
  <c r="J77" i="9"/>
  <c r="K77" i="9" s="1"/>
  <c r="G77" i="9"/>
  <c r="O77" i="9" s="1"/>
  <c r="F84" i="9"/>
  <c r="J258" i="9"/>
  <c r="K258" i="9" s="1"/>
  <c r="J257" i="9"/>
  <c r="K257" i="9" s="1"/>
  <c r="C16" i="9"/>
  <c r="F246" i="9"/>
  <c r="J246" i="9" s="1"/>
  <c r="K246" i="9" s="1"/>
  <c r="F235" i="9"/>
  <c r="L247" i="9"/>
  <c r="F236" i="9"/>
  <c r="J236" i="9" s="1"/>
  <c r="K236" i="9" s="1"/>
  <c r="C258" i="9"/>
  <c r="C257" i="9"/>
  <c r="C247" i="9"/>
  <c r="C246" i="9"/>
  <c r="C236" i="9"/>
  <c r="C235" i="9"/>
  <c r="F225" i="9"/>
  <c r="G225" i="9" s="1"/>
  <c r="M225" i="9" s="1"/>
  <c r="N225" i="9" s="1"/>
  <c r="F224" i="9"/>
  <c r="G224" i="9" s="1"/>
  <c r="M224" i="9" s="1"/>
  <c r="N224" i="9" s="1"/>
  <c r="I33" i="2"/>
  <c r="I32" i="2"/>
  <c r="F192" i="9"/>
  <c r="F191" i="9"/>
  <c r="F181" i="9"/>
  <c r="F180" i="9"/>
  <c r="F170" i="9"/>
  <c r="J170" i="9" s="1"/>
  <c r="K170" i="9" s="1"/>
  <c r="F169" i="9"/>
  <c r="L169" i="9" s="1"/>
  <c r="F159" i="9"/>
  <c r="L159" i="9" s="1"/>
  <c r="F158" i="9"/>
  <c r="L158" i="9" s="1"/>
  <c r="C225" i="9"/>
  <c r="C224" i="9"/>
  <c r="C203" i="9"/>
  <c r="C202" i="9"/>
  <c r="C192" i="9"/>
  <c r="C191" i="9"/>
  <c r="C181" i="9"/>
  <c r="C180" i="9"/>
  <c r="C170" i="9"/>
  <c r="C169" i="9"/>
  <c r="C159" i="9"/>
  <c r="C158" i="9"/>
  <c r="I31" i="2"/>
  <c r="I28" i="2"/>
  <c r="I27" i="2"/>
  <c r="I26" i="2"/>
  <c r="I25" i="2"/>
  <c r="F148" i="9"/>
  <c r="G148" i="9" s="1"/>
  <c r="M148" i="9" s="1"/>
  <c r="N148" i="9" s="1"/>
  <c r="F147" i="9"/>
  <c r="G147" i="9" s="1"/>
  <c r="F136" i="9"/>
  <c r="G136" i="9" s="1"/>
  <c r="O136" i="9" s="1"/>
  <c r="F125" i="9"/>
  <c r="L125" i="9" s="1"/>
  <c r="F137" i="9"/>
  <c r="L137" i="9" s="1"/>
  <c r="G126" i="9"/>
  <c r="G124" i="9"/>
  <c r="G123" i="9"/>
  <c r="M123" i="9" s="1"/>
  <c r="N123" i="9" s="1"/>
  <c r="J113" i="9"/>
  <c r="K113" i="9" s="1"/>
  <c r="L112" i="9"/>
  <c r="L235" i="9" l="1"/>
  <c r="J235" i="9"/>
  <c r="L191" i="9"/>
  <c r="J191" i="9"/>
  <c r="K191" i="9" s="1"/>
  <c r="L180" i="9"/>
  <c r="J180" i="9"/>
  <c r="K180" i="9" s="1"/>
  <c r="L192" i="9"/>
  <c r="J192" i="9"/>
  <c r="K192" i="9" s="1"/>
  <c r="J181" i="9"/>
  <c r="K181" i="9" s="1"/>
  <c r="L181" i="9"/>
  <c r="M77" i="9"/>
  <c r="N77" i="9" s="1"/>
  <c r="L258" i="9"/>
  <c r="O224" i="9"/>
  <c r="J158" i="9"/>
  <c r="K158" i="9" s="1"/>
  <c r="J123" i="9"/>
  <c r="K123" i="9" s="1"/>
  <c r="O258" i="9"/>
  <c r="G169" i="9"/>
  <c r="M169" i="9" s="1"/>
  <c r="N169" i="9" s="1"/>
  <c r="L257" i="9"/>
  <c r="G158" i="9"/>
  <c r="M158" i="9" s="1"/>
  <c r="N158" i="9" s="1"/>
  <c r="J247" i="9"/>
  <c r="K247" i="9" s="1"/>
  <c r="L113" i="9"/>
  <c r="J126" i="9"/>
  <c r="K126" i="9" s="1"/>
  <c r="J124" i="9"/>
  <c r="K124" i="9" s="1"/>
  <c r="J159" i="9"/>
  <c r="K159" i="9" s="1"/>
  <c r="G112" i="9"/>
  <c r="O112" i="9" s="1"/>
  <c r="L123" i="9"/>
  <c r="J169" i="9"/>
  <c r="K169" i="9" s="1"/>
  <c r="O123" i="9"/>
  <c r="M136" i="9"/>
  <c r="N136" i="9" s="1"/>
  <c r="G180" i="9"/>
  <c r="L225" i="9"/>
  <c r="G159" i="9"/>
  <c r="O159" i="9" s="1"/>
  <c r="J147" i="9"/>
  <c r="K147" i="9" s="1"/>
  <c r="O124" i="9"/>
  <c r="M124" i="9"/>
  <c r="N124" i="9" s="1"/>
  <c r="M147" i="9"/>
  <c r="N147" i="9" s="1"/>
  <c r="O147" i="9"/>
  <c r="O126" i="9"/>
  <c r="M126" i="9"/>
  <c r="N126" i="9" s="1"/>
  <c r="G192" i="9"/>
  <c r="L170" i="9"/>
  <c r="O225" i="9"/>
  <c r="G113" i="9"/>
  <c r="L124" i="9"/>
  <c r="L126" i="9"/>
  <c r="J136" i="9"/>
  <c r="K136" i="9" s="1"/>
  <c r="J148" i="9"/>
  <c r="K148" i="9" s="1"/>
  <c r="J112" i="9"/>
  <c r="K112" i="9" s="1"/>
  <c r="J137" i="9"/>
  <c r="K137" i="9" s="1"/>
  <c r="G191" i="9"/>
  <c r="J224" i="9"/>
  <c r="K224" i="9" s="1"/>
  <c r="G246" i="9"/>
  <c r="L236" i="9"/>
  <c r="G181" i="9"/>
  <c r="J225" i="9"/>
  <c r="K225" i="9" s="1"/>
  <c r="G236" i="9"/>
  <c r="L246" i="9"/>
  <c r="O148" i="9"/>
  <c r="L147" i="9"/>
  <c r="G247" i="9"/>
  <c r="G170" i="9"/>
  <c r="L136" i="9"/>
  <c r="L148" i="9"/>
  <c r="G137" i="9"/>
  <c r="L224" i="9"/>
  <c r="G235" i="9"/>
  <c r="K235" i="9"/>
  <c r="G125" i="9"/>
  <c r="J125" i="9"/>
  <c r="K125" i="9" s="1"/>
  <c r="O181" i="9" l="1"/>
  <c r="M181" i="9"/>
  <c r="N181" i="9" s="1"/>
  <c r="O158" i="9"/>
  <c r="O180" i="9"/>
  <c r="M180" i="9"/>
  <c r="N180" i="9" s="1"/>
  <c r="O169" i="9"/>
  <c r="M258" i="9"/>
  <c r="N258" i="9" s="1"/>
  <c r="M159" i="9"/>
  <c r="N159" i="9" s="1"/>
  <c r="M112" i="9"/>
  <c r="N112" i="9" s="1"/>
  <c r="M247" i="9"/>
  <c r="N247" i="9" s="1"/>
  <c r="O247" i="9"/>
  <c r="O113" i="9"/>
  <c r="M113" i="9"/>
  <c r="N113" i="9" s="1"/>
  <c r="M192" i="9"/>
  <c r="N192" i="9" s="1"/>
  <c r="O192" i="9"/>
  <c r="O137" i="9"/>
  <c r="M137" i="9"/>
  <c r="N137" i="9" s="1"/>
  <c r="O257" i="9"/>
  <c r="M257" i="9"/>
  <c r="N257" i="9" s="1"/>
  <c r="O191" i="9"/>
  <c r="M191" i="9"/>
  <c r="N191" i="9" s="1"/>
  <c r="M246" i="9"/>
  <c r="N246" i="9" s="1"/>
  <c r="O246" i="9"/>
  <c r="O170" i="9"/>
  <c r="M170" i="9"/>
  <c r="N170" i="9" s="1"/>
  <c r="M236" i="9"/>
  <c r="N236" i="9" s="1"/>
  <c r="O236" i="9"/>
  <c r="O235" i="9"/>
  <c r="M235" i="9"/>
  <c r="N235" i="9" s="1"/>
  <c r="M125" i="9"/>
  <c r="N125" i="9" s="1"/>
  <c r="O125" i="9"/>
  <c r="F102" i="9" l="1"/>
  <c r="F101" i="9"/>
  <c r="L101" i="9" s="1"/>
  <c r="L102" i="9" l="1"/>
  <c r="J102" i="9"/>
  <c r="K102" i="9" s="1"/>
  <c r="J101" i="9"/>
  <c r="K101" i="9" s="1"/>
  <c r="G102" i="9"/>
  <c r="G101" i="9"/>
  <c r="O101" i="9" l="1"/>
  <c r="M101" i="9"/>
  <c r="N101" i="9" s="1"/>
  <c r="M102" i="9"/>
  <c r="N102" i="9" s="1"/>
  <c r="O102" i="9"/>
  <c r="L99" i="9" l="1"/>
  <c r="L98" i="9"/>
  <c r="L97" i="9"/>
  <c r="L96" i="9"/>
  <c r="L95" i="9"/>
  <c r="L92" i="9"/>
  <c r="L91" i="9"/>
  <c r="L90" i="9"/>
  <c r="L89" i="9"/>
  <c r="L88" i="9"/>
  <c r="L87" i="9"/>
  <c r="L85" i="9"/>
  <c r="L82" i="9"/>
  <c r="L78" i="9"/>
  <c r="L76" i="9"/>
  <c r="L75" i="9"/>
  <c r="L74" i="9"/>
  <c r="L73" i="9"/>
  <c r="L72" i="9"/>
  <c r="L71" i="9"/>
  <c r="L70" i="9"/>
  <c r="L69" i="9"/>
  <c r="L68" i="9"/>
  <c r="L67" i="9"/>
  <c r="L66" i="9"/>
  <c r="L65" i="9"/>
  <c r="L63" i="9"/>
  <c r="L62" i="9"/>
  <c r="L61" i="9"/>
  <c r="L60" i="9"/>
  <c r="L58" i="9"/>
  <c r="L57" i="9"/>
  <c r="L56" i="9"/>
  <c r="L55" i="9"/>
  <c r="L53" i="9"/>
  <c r="L48" i="9"/>
  <c r="L47" i="9"/>
  <c r="L52" i="9"/>
  <c r="J48" i="9"/>
  <c r="K48" i="9" s="1"/>
  <c r="J47" i="9"/>
  <c r="K47" i="9" s="1"/>
  <c r="J99" i="9"/>
  <c r="K99" i="9" s="1"/>
  <c r="J98" i="9"/>
  <c r="K98" i="9" s="1"/>
  <c r="J97" i="9"/>
  <c r="K97" i="9" s="1"/>
  <c r="J96" i="9"/>
  <c r="K96" i="9" s="1"/>
  <c r="J95" i="9"/>
  <c r="K95" i="9" s="1"/>
  <c r="J92" i="9"/>
  <c r="K92" i="9" s="1"/>
  <c r="J91" i="9"/>
  <c r="K91" i="9" s="1"/>
  <c r="J90" i="9"/>
  <c r="K90" i="9" s="1"/>
  <c r="J89" i="9"/>
  <c r="K89" i="9" s="1"/>
  <c r="J88" i="9"/>
  <c r="K88" i="9" s="1"/>
  <c r="J87" i="9"/>
  <c r="K87" i="9" s="1"/>
  <c r="J85" i="9"/>
  <c r="K85" i="9" s="1"/>
  <c r="J82" i="9"/>
  <c r="K82" i="9" s="1"/>
  <c r="J80" i="9"/>
  <c r="K80" i="9" s="1"/>
  <c r="J78" i="9"/>
  <c r="K78" i="9" s="1"/>
  <c r="J76" i="9"/>
  <c r="K76" i="9" s="1"/>
  <c r="J75" i="9"/>
  <c r="K75" i="9" s="1"/>
  <c r="J74" i="9"/>
  <c r="K74" i="9" s="1"/>
  <c r="J73" i="9"/>
  <c r="K73" i="9" s="1"/>
  <c r="J72" i="9"/>
  <c r="K72" i="9" s="1"/>
  <c r="J71" i="9"/>
  <c r="K71" i="9" s="1"/>
  <c r="J70" i="9"/>
  <c r="K70" i="9" s="1"/>
  <c r="J69" i="9"/>
  <c r="K69" i="9" s="1"/>
  <c r="J68" i="9"/>
  <c r="K68" i="9" s="1"/>
  <c r="J67" i="9"/>
  <c r="K67" i="9" s="1"/>
  <c r="J66" i="9"/>
  <c r="K66" i="9" s="1"/>
  <c r="J65" i="9"/>
  <c r="K65" i="9" s="1"/>
  <c r="J63" i="9"/>
  <c r="K63" i="9" s="1"/>
  <c r="J62" i="9"/>
  <c r="K62" i="9" s="1"/>
  <c r="J61" i="9"/>
  <c r="K61" i="9" s="1"/>
  <c r="J60" i="9"/>
  <c r="K60" i="9" s="1"/>
  <c r="J58" i="9"/>
  <c r="K58" i="9" s="1"/>
  <c r="J57" i="9"/>
  <c r="K57" i="9" s="1"/>
  <c r="J56" i="9"/>
  <c r="K56" i="9" s="1"/>
  <c r="J55" i="9"/>
  <c r="K55" i="9" s="1"/>
  <c r="J53" i="9"/>
  <c r="K53" i="9" s="1"/>
  <c r="J52" i="9"/>
  <c r="K52" i="9" s="1"/>
  <c r="L84" i="9"/>
  <c r="J84" i="9" l="1"/>
  <c r="K84" i="9" s="1"/>
  <c r="G99" i="9"/>
  <c r="G98" i="9"/>
  <c r="G97" i="9"/>
  <c r="G96" i="9"/>
  <c r="G95" i="9"/>
  <c r="G90" i="9"/>
  <c r="G89" i="9"/>
  <c r="G92" i="9"/>
  <c r="G88" i="9"/>
  <c r="G87" i="9"/>
  <c r="G91" i="9"/>
  <c r="G84" i="9"/>
  <c r="G82" i="9"/>
  <c r="G85" i="9"/>
  <c r="G80" i="9"/>
  <c r="G78" i="9"/>
  <c r="G76" i="9"/>
  <c r="G75" i="9"/>
  <c r="G74" i="9"/>
  <c r="G73" i="9"/>
  <c r="G72" i="9"/>
  <c r="G71" i="9"/>
  <c r="G70" i="9"/>
  <c r="G69" i="9"/>
  <c r="G68" i="9"/>
  <c r="G67" i="9"/>
  <c r="G66" i="9"/>
  <c r="G65" i="9"/>
  <c r="G63" i="9"/>
  <c r="G62" i="9"/>
  <c r="G61" i="9"/>
  <c r="G60" i="9"/>
  <c r="G58" i="9"/>
  <c r="G57" i="9"/>
  <c r="G56" i="9"/>
  <c r="G55" i="9"/>
  <c r="G53" i="9"/>
  <c r="G52" i="9"/>
  <c r="G48" i="9"/>
  <c r="O48" i="9" s="1"/>
  <c r="G47" i="9"/>
  <c r="O47" i="9" s="1"/>
  <c r="M70" i="9" l="1"/>
  <c r="N70" i="9" s="1"/>
  <c r="O70" i="9"/>
  <c r="O80" i="9"/>
  <c r="M80" i="9"/>
  <c r="N80" i="9" s="1"/>
  <c r="M62" i="9"/>
  <c r="N62" i="9" s="1"/>
  <c r="O62" i="9"/>
  <c r="M53" i="9"/>
  <c r="N53" i="9" s="1"/>
  <c r="O53" i="9"/>
  <c r="M95" i="9"/>
  <c r="N95" i="9" s="1"/>
  <c r="O95" i="9"/>
  <c r="M73" i="9"/>
  <c r="N73" i="9" s="1"/>
  <c r="O73" i="9"/>
  <c r="M84" i="9"/>
  <c r="N84" i="9" s="1"/>
  <c r="O84" i="9"/>
  <c r="M56" i="9"/>
  <c r="N56" i="9" s="1"/>
  <c r="O56" i="9"/>
  <c r="M66" i="9"/>
  <c r="N66" i="9" s="1"/>
  <c r="O66" i="9"/>
  <c r="M74" i="9"/>
  <c r="N74" i="9" s="1"/>
  <c r="O74" i="9"/>
  <c r="O91" i="9"/>
  <c r="M91" i="9"/>
  <c r="N91" i="9" s="1"/>
  <c r="M97" i="9"/>
  <c r="N97" i="9" s="1"/>
  <c r="O97" i="9"/>
  <c r="M52" i="9"/>
  <c r="N52" i="9" s="1"/>
  <c r="O52" i="9"/>
  <c r="O85" i="9"/>
  <c r="M85" i="9"/>
  <c r="N85" i="9" s="1"/>
  <c r="M63" i="9"/>
  <c r="N63" i="9" s="1"/>
  <c r="O63" i="9"/>
  <c r="M82" i="9"/>
  <c r="N82" i="9" s="1"/>
  <c r="O82" i="9"/>
  <c r="M65" i="9"/>
  <c r="N65" i="9" s="1"/>
  <c r="O65" i="9"/>
  <c r="M96" i="9"/>
  <c r="N96" i="9" s="1"/>
  <c r="O96" i="9"/>
  <c r="O57" i="9"/>
  <c r="M57" i="9"/>
  <c r="N57" i="9" s="1"/>
  <c r="O67" i="9"/>
  <c r="M67" i="9"/>
  <c r="N67" i="9" s="1"/>
  <c r="M75" i="9"/>
  <c r="N75" i="9" s="1"/>
  <c r="O75" i="9"/>
  <c r="M87" i="9"/>
  <c r="N87" i="9" s="1"/>
  <c r="O87" i="9"/>
  <c r="O98" i="9"/>
  <c r="M98" i="9"/>
  <c r="N98" i="9" s="1"/>
  <c r="O89" i="9"/>
  <c r="M89" i="9"/>
  <c r="N89" i="9" s="1"/>
  <c r="M71" i="9"/>
  <c r="N71" i="9" s="1"/>
  <c r="O71" i="9"/>
  <c r="M72" i="9"/>
  <c r="N72" i="9" s="1"/>
  <c r="O72" i="9"/>
  <c r="M55" i="9"/>
  <c r="N55" i="9" s="1"/>
  <c r="O55" i="9"/>
  <c r="O58" i="9"/>
  <c r="M58" i="9"/>
  <c r="N58" i="9" s="1"/>
  <c r="O68" i="9"/>
  <c r="M68" i="9"/>
  <c r="N68" i="9" s="1"/>
  <c r="O76" i="9"/>
  <c r="M76" i="9"/>
  <c r="N76" i="9" s="1"/>
  <c r="O88" i="9"/>
  <c r="M88" i="9"/>
  <c r="N88" i="9" s="1"/>
  <c r="O99" i="9"/>
  <c r="M99" i="9"/>
  <c r="N99" i="9" s="1"/>
  <c r="O61" i="9"/>
  <c r="M61" i="9"/>
  <c r="N61" i="9" s="1"/>
  <c r="O90" i="9"/>
  <c r="M90" i="9"/>
  <c r="N90" i="9" s="1"/>
  <c r="M60" i="9"/>
  <c r="N60" i="9" s="1"/>
  <c r="O60" i="9"/>
  <c r="O69" i="9"/>
  <c r="M69" i="9"/>
  <c r="N69" i="9" s="1"/>
  <c r="O78" i="9"/>
  <c r="M78" i="9"/>
  <c r="N78" i="9" s="1"/>
  <c r="M92" i="9"/>
  <c r="N92" i="9" s="1"/>
  <c r="O92" i="9"/>
  <c r="M47" i="9"/>
  <c r="N47" i="9" s="1"/>
  <c r="M48" i="9"/>
  <c r="N48" i="9" s="1"/>
  <c r="C95" i="9" l="1"/>
  <c r="C92" i="9"/>
  <c r="C88" i="9"/>
  <c r="C85" i="9"/>
  <c r="C80" i="9"/>
  <c r="C78" i="9"/>
  <c r="C75" i="9"/>
  <c r="C71" i="9"/>
  <c r="C66" i="9"/>
  <c r="C65" i="9"/>
  <c r="C63" i="9"/>
  <c r="C55" i="9"/>
  <c r="C52" i="9"/>
  <c r="C24" i="9"/>
  <c r="C22" i="9"/>
  <c r="C21" i="9"/>
  <c r="C20" i="9"/>
  <c r="C19" i="9"/>
  <c r="C18" i="9"/>
  <c r="C17"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D19" i="9"/>
  <c r="D20" i="9"/>
  <c r="D21" i="9"/>
  <c r="D22" i="9"/>
  <c r="D24" i="9"/>
  <c r="D40" i="9"/>
  <c r="D52" i="9"/>
  <c r="D55" i="9"/>
  <c r="D63" i="9"/>
  <c r="D65" i="9"/>
  <c r="D66" i="9"/>
  <c r="D71" i="9"/>
  <c r="D75" i="9"/>
  <c r="D78" i="9"/>
  <c r="D80" i="9"/>
  <c r="D85" i="9"/>
  <c r="D88" i="9"/>
  <c r="D92" i="9"/>
  <c r="D95" i="9"/>
  <c r="D96" i="9"/>
  <c r="D97" i="9"/>
  <c r="D98" i="9"/>
  <c r="D99" i="9"/>
  <c r="C101" i="9"/>
  <c r="D101" i="9" s="1"/>
  <c r="C102" i="9"/>
  <c r="D102" i="9" s="1"/>
  <c r="C112" i="9"/>
  <c r="D112" i="9" s="1"/>
  <c r="C113" i="9"/>
  <c r="D113" i="9" s="1"/>
  <c r="D123" i="9"/>
  <c r="D124" i="9"/>
  <c r="C125" i="9"/>
  <c r="D125" i="9" s="1"/>
  <c r="C126" i="9"/>
  <c r="D126" i="9" s="1"/>
  <c r="C136" i="9"/>
  <c r="D136" i="9" s="1"/>
  <c r="C137" i="9"/>
  <c r="D137" i="9" s="1"/>
  <c r="C147" i="9"/>
  <c r="D147" i="9" s="1"/>
  <c r="C148" i="9"/>
  <c r="D148" i="9" s="1"/>
  <c r="D158" i="9"/>
  <c r="D159" i="9"/>
  <c r="D169" i="9"/>
  <c r="D170" i="9"/>
  <c r="D180" i="9"/>
  <c r="D181" i="9"/>
  <c r="D191" i="9"/>
  <c r="D192" i="9"/>
  <c r="D202" i="9"/>
  <c r="D203" i="9"/>
  <c r="D213" i="9"/>
  <c r="D214" i="9"/>
  <c r="D224" i="9"/>
  <c r="D225" i="9"/>
  <c r="D235" i="9"/>
  <c r="D236" i="9"/>
  <c r="D246" i="9"/>
  <c r="D247"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C557" i="9"/>
  <c r="D557" i="9" s="1"/>
  <c r="C558" i="9"/>
  <c r="D558" i="9" s="1"/>
  <c r="C559" i="9"/>
  <c r="D559" i="9" s="1"/>
  <c r="C560" i="9"/>
  <c r="D560" i="9" s="1"/>
  <c r="C561" i="9"/>
  <c r="D561" i="9" s="1"/>
  <c r="C562" i="9"/>
  <c r="D562" i="9" s="1"/>
  <c r="C563" i="9"/>
  <c r="D563" i="9" s="1"/>
  <c r="C564" i="9"/>
  <c r="D564" i="9" s="1"/>
  <c r="C565" i="9"/>
  <c r="D565" i="9" s="1"/>
  <c r="C566" i="9"/>
  <c r="D566" i="9" s="1"/>
  <c r="C567" i="9"/>
  <c r="D567" i="9" s="1"/>
  <c r="C568" i="9"/>
  <c r="D568" i="9" s="1"/>
  <c r="C569" i="9"/>
  <c r="D569" i="9" s="1"/>
  <c r="C570" i="9"/>
  <c r="D570" i="9" s="1"/>
  <c r="C571" i="9"/>
  <c r="D571" i="9" s="1"/>
  <c r="C572" i="9"/>
  <c r="D572" i="9" s="1"/>
  <c r="C573" i="9"/>
  <c r="D573" i="9" s="1"/>
  <c r="C574" i="9"/>
  <c r="D574" i="9" s="1"/>
  <c r="C575" i="9"/>
  <c r="D575" i="9" s="1"/>
  <c r="C576" i="9"/>
  <c r="D576" i="9" s="1"/>
  <c r="C577" i="9"/>
  <c r="D577" i="9" s="1"/>
  <c r="C578" i="9"/>
  <c r="D578" i="9" s="1"/>
  <c r="C579" i="9"/>
  <c r="D579" i="9" s="1"/>
  <c r="C580" i="9"/>
  <c r="D580" i="9" s="1"/>
  <c r="C581" i="9"/>
  <c r="D581" i="9" s="1"/>
  <c r="C582" i="9"/>
  <c r="D582" i="9" s="1"/>
  <c r="C583" i="9"/>
  <c r="D583" i="9" s="1"/>
  <c r="C584" i="9"/>
  <c r="D584" i="9" s="1"/>
  <c r="C585" i="9"/>
  <c r="D585" i="9" s="1"/>
  <c r="C586" i="9"/>
  <c r="D586" i="9" s="1"/>
  <c r="C587" i="9"/>
  <c r="D587" i="9" s="1"/>
  <c r="C588" i="9"/>
  <c r="D588" i="9" s="1"/>
  <c r="C589" i="9"/>
  <c r="D589" i="9" s="1"/>
  <c r="C590" i="9"/>
  <c r="D590" i="9" s="1"/>
  <c r="C591" i="9"/>
  <c r="D591" i="9" s="1"/>
  <c r="C592" i="9"/>
  <c r="D592" i="9" s="1"/>
  <c r="C593" i="9"/>
  <c r="D593" i="9" s="1"/>
  <c r="C594" i="9"/>
  <c r="D594" i="9" s="1"/>
  <c r="C595" i="9"/>
  <c r="D595" i="9" s="1"/>
  <c r="C596" i="9"/>
  <c r="D596" i="9" s="1"/>
  <c r="C597" i="9"/>
  <c r="D597" i="9" s="1"/>
  <c r="C598" i="9"/>
  <c r="D598" i="9" s="1"/>
  <c r="C599" i="9"/>
  <c r="D599" i="9" s="1"/>
  <c r="C600" i="9"/>
  <c r="D600" i="9" s="1"/>
  <c r="C601" i="9"/>
  <c r="D601" i="9" s="1"/>
  <c r="C602" i="9"/>
  <c r="D602" i="9" s="1"/>
  <c r="C603" i="9"/>
  <c r="D603" i="9" s="1"/>
  <c r="C604" i="9"/>
  <c r="D604" i="9" s="1"/>
  <c r="C605" i="9"/>
  <c r="D605" i="9" s="1"/>
  <c r="C606" i="9"/>
  <c r="D606" i="9" s="1"/>
  <c r="C607" i="9"/>
  <c r="D607" i="9" s="1"/>
  <c r="C608" i="9"/>
  <c r="D608" i="9" s="1"/>
  <c r="C609" i="9"/>
  <c r="D609" i="9" s="1"/>
  <c r="C610" i="9"/>
  <c r="D610" i="9" s="1"/>
  <c r="C611" i="9"/>
  <c r="D611" i="9" s="1"/>
  <c r="C612" i="9"/>
  <c r="D612" i="9" s="1"/>
  <c r="C613" i="9"/>
  <c r="D613" i="9" s="1"/>
  <c r="C614" i="9"/>
  <c r="D614" i="9" s="1"/>
  <c r="C615" i="9"/>
  <c r="D615" i="9" s="1"/>
  <c r="C616" i="9"/>
  <c r="D616" i="9" s="1"/>
  <c r="C617" i="9"/>
  <c r="D617" i="9" s="1"/>
  <c r="C618" i="9"/>
  <c r="D618" i="9" s="1"/>
  <c r="C619" i="9"/>
  <c r="D619" i="9" s="1"/>
  <c r="C620" i="9"/>
  <c r="D620" i="9" s="1"/>
  <c r="C621" i="9"/>
  <c r="D621" i="9" s="1"/>
  <c r="C622" i="9"/>
  <c r="D622" i="9" s="1"/>
  <c r="C623" i="9"/>
  <c r="D623" i="9" s="1"/>
  <c r="C624" i="9"/>
  <c r="D624" i="9" s="1"/>
  <c r="C625" i="9"/>
  <c r="D625" i="9" s="1"/>
  <c r="C626" i="9"/>
  <c r="D626" i="9" s="1"/>
  <c r="C627" i="9"/>
  <c r="D627" i="9" s="1"/>
  <c r="C628" i="9"/>
  <c r="D628" i="9" s="1"/>
  <c r="C629" i="9"/>
  <c r="D629" i="9" s="1"/>
  <c r="C630" i="9"/>
  <c r="D630" i="9" s="1"/>
  <c r="C631" i="9"/>
  <c r="D631" i="9" s="1"/>
  <c r="C632" i="9"/>
  <c r="D632" i="9" s="1"/>
  <c r="C633" i="9"/>
  <c r="D633" i="9" s="1"/>
  <c r="C634" i="9"/>
  <c r="D634" i="9" s="1"/>
  <c r="C635" i="9"/>
  <c r="D635" i="9" s="1"/>
  <c r="C636" i="9"/>
  <c r="D636" i="9" s="1"/>
  <c r="C637" i="9"/>
  <c r="D637" i="9" s="1"/>
  <c r="C638" i="9"/>
  <c r="D638" i="9" s="1"/>
  <c r="C639" i="9"/>
  <c r="D639" i="9" s="1"/>
  <c r="C640" i="9"/>
  <c r="D640" i="9" s="1"/>
  <c r="C641" i="9"/>
  <c r="D641" i="9" s="1"/>
  <c r="C642" i="9"/>
  <c r="D642" i="9" s="1"/>
  <c r="C643" i="9"/>
  <c r="D643" i="9" s="1"/>
  <c r="C644" i="9"/>
  <c r="D644" i="9" s="1"/>
  <c r="C645" i="9"/>
  <c r="D645" i="9" s="1"/>
  <c r="C646" i="9"/>
  <c r="D646" i="9" s="1"/>
  <c r="C647" i="9"/>
  <c r="D647" i="9" s="1"/>
  <c r="C648" i="9"/>
  <c r="D648" i="9" s="1"/>
  <c r="C649" i="9"/>
  <c r="D649" i="9" s="1"/>
  <c r="C650" i="9"/>
  <c r="D650" i="9" s="1"/>
  <c r="C651" i="9"/>
  <c r="D651" i="9" s="1"/>
  <c r="C652" i="9"/>
  <c r="D652" i="9" s="1"/>
  <c r="C653" i="9"/>
  <c r="D653" i="9" s="1"/>
  <c r="C654" i="9"/>
  <c r="D654" i="9" s="1"/>
  <c r="C655" i="9"/>
  <c r="D655" i="9" s="1"/>
  <c r="C656" i="9"/>
  <c r="D656" i="9" s="1"/>
  <c r="C657" i="9"/>
  <c r="D657" i="9" s="1"/>
  <c r="C658" i="9"/>
  <c r="D658" i="9" s="1"/>
  <c r="C659" i="9"/>
  <c r="D659" i="9" s="1"/>
  <c r="C660" i="9"/>
  <c r="D660" i="9" s="1"/>
  <c r="C661" i="9"/>
  <c r="D661" i="9" s="1"/>
  <c r="C662" i="9"/>
  <c r="D662" i="9" s="1"/>
  <c r="C663" i="9"/>
  <c r="D663" i="9" s="1"/>
  <c r="C664" i="9"/>
  <c r="D664" i="9" s="1"/>
  <c r="C665" i="9"/>
  <c r="D665" i="9" s="1"/>
  <c r="C666" i="9"/>
  <c r="D666" i="9" s="1"/>
  <c r="C667" i="9"/>
  <c r="D667" i="9" s="1"/>
  <c r="C668" i="9"/>
  <c r="D668" i="9" s="1"/>
  <c r="C669" i="9"/>
  <c r="D669" i="9" s="1"/>
  <c r="C670" i="9"/>
  <c r="D670" i="9" s="1"/>
  <c r="C671" i="9"/>
  <c r="D671" i="9" s="1"/>
  <c r="C672" i="9"/>
  <c r="D672" i="9" s="1"/>
  <c r="C673" i="9"/>
  <c r="D673" i="9" s="1"/>
  <c r="C674" i="9"/>
  <c r="D674" i="9" s="1"/>
  <c r="C675" i="9"/>
  <c r="D675" i="9" s="1"/>
  <c r="C676" i="9"/>
  <c r="D676" i="9" s="1"/>
  <c r="C677" i="9"/>
  <c r="D677" i="9" s="1"/>
  <c r="C678" i="9"/>
  <c r="D678" i="9" s="1"/>
  <c r="C679" i="9"/>
  <c r="D679" i="9" s="1"/>
  <c r="C680" i="9"/>
  <c r="D680" i="9" s="1"/>
  <c r="C681" i="9"/>
  <c r="D681" i="9" s="1"/>
  <c r="C682" i="9"/>
  <c r="D682" i="9" s="1"/>
  <c r="C683" i="9"/>
  <c r="D683" i="9" s="1"/>
  <c r="C684" i="9"/>
  <c r="D684" i="9" s="1"/>
  <c r="C685" i="9"/>
  <c r="D685"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I14" i="11"/>
  <c r="N14" i="11"/>
  <c r="L14" i="11"/>
  <c r="M14" i="11"/>
  <c r="C15" i="9"/>
  <c r="D15" i="9" s="1"/>
  <c r="M17" i="11" l="1"/>
  <c r="N17" i="11"/>
  <c r="K14"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tc={59EA6250-FD4D-4475-9D9E-14D5F54AEBAE}</author>
    <author>tc={D9CADCB3-7C5E-4722-B102-AE602A4002B4}</author>
    <author>tc={490C1208-512C-49C8-B6A6-28118264017F}</author>
    <author>tc={239101A9-8F52-4ADC-A6D2-0D45523D5BA8}</author>
    <author>tc={9A900EFF-E9AE-42DD-9BC1-DEA38EF0730B}</author>
    <author>tc={82144DBB-E276-4AE0-871A-2C704280AC5F}</author>
    <author>tc={0D9AECE8-A58D-4C93-A26D-EE3F0E7C8EC6}</author>
    <author>tc={7B37E02B-A5D5-4937-A446-3C5F402850D9}</author>
  </authors>
  <commentList>
    <comment ref="A15" authorId="0" shapeId="0" xr:uid="{59EA6250-FD4D-4475-9D9E-14D5F54AEBAE}">
      <text>
        <t>[Threaded comment]
Your version of Excel allows you to read this threaded comment; however, any edits to it will get removed if the file is opened in a newer version of Excel. Learn more: https://go.microsoft.com/fwlink/?linkid=870924
Comment:
    Includes both tanks and total plant throughput.</t>
      </text>
    </comment>
    <comment ref="F18" authorId="1" shapeId="0" xr:uid="{D9CADCB3-7C5E-4722-B102-AE602A4002B4}">
      <text>
        <t>[Threaded comment]
Your version of Excel allows you to read this threaded comment; however, any edits to it will get removed if the file is opened in a newer version of Excel. Learn more: https://go.microsoft.com/fwlink/?linkid=870924
Comment:
    Designed to load/unload 1 silo at a time, hours of operation split between silo 1 &amp; 2; total operation for both silos can never exceed 8760 hours/year</t>
      </text>
    </comment>
    <comment ref="F19" authorId="2" shapeId="0" xr:uid="{490C1208-512C-49C8-B6A6-28118264017F}">
      <text>
        <t>[Threaded comment]
Your version of Excel allows you to read this threaded comment; however, any edits to it will get removed if the file is opened in a newer version of Excel. Learn more: https://go.microsoft.com/fwlink/?linkid=870924
Comment:
    Designed to load/unload 1 silo at a time, hours of operation split between silo 1 &amp; 2; total operation for both silos can never exceed 8760 hours/year</t>
      </text>
    </comment>
    <comment ref="F20" authorId="3" shapeId="0" xr:uid="{239101A9-8F52-4ADC-A6D2-0D45523D5BA8}">
      <text>
        <t>[Threaded comment]
Your version of Excel allows you to read this threaded comment; however, any edits to it will get removed if the file is opened in a newer version of Excel. Learn more: https://go.microsoft.com/fwlink/?linkid=870924
Comment:
    Designed to load/unload 1 silo at a time, hours of operation split between silo 3 &amp; 4; total operation for both silos can never exceed 8760 hours/year</t>
      </text>
    </comment>
    <comment ref="F21" authorId="4" shapeId="0" xr:uid="{9A900EFF-E9AE-42DD-9BC1-DEA38EF0730B}">
      <text>
        <t>[Threaded comment]
Your version of Excel allows you to read this threaded comment; however, any edits to it will get removed if the file is opened in a newer version of Excel. Learn more: https://go.microsoft.com/fwlink/?linkid=870924
Comment:
    Designed to load/unload 1 silo at a time, hours of operation split between silo 3 &amp; 4; total operation for both silos can never exceed 8760 hours/year</t>
      </text>
    </comment>
    <comment ref="F22" authorId="5" shapeId="0" xr:uid="{82144DBB-E276-4AE0-871A-2C704280AC5F}">
      <text>
        <t>[Threaded comment]
Your version of Excel allows you to read this threaded comment; however, any edits to it will get removed if the file is opened in a newer version of Excel. Learn more: https://go.microsoft.com/fwlink/?linkid=870924
Comment:
    Design will only allow 1 silo at a time to operate.  Particulate emissions is calculated assuming each silo will be on line 2920 hours/year; The total for all 3 silos can never exceed 8760</t>
      </text>
    </comment>
    <comment ref="F23" authorId="6" shapeId="0" xr:uid="{0D9AECE8-A58D-4C93-A26D-EE3F0E7C8EC6}">
      <text>
        <t>[Threaded comment]
Your version of Excel allows you to read this threaded comment; however, any edits to it will get removed if the file is opened in a newer version of Excel. Learn more: https://go.microsoft.com/fwlink/?linkid=870924
Comment:
    Design will only allow 1 silo at a time to operate.  Particulate emissions is calculated assuming each silo will be on line 2920 hours/year; The total for all 3 silos can never exceed 8760</t>
      </text>
    </comment>
    <comment ref="F24" authorId="7" shapeId="0" xr:uid="{7B37E02B-A5D5-4937-A446-3C5F402850D9}">
      <text>
        <t>[Threaded comment]
Your version of Excel allows you to read this threaded comment; however, any edits to it will get removed if the file is opened in a newer version of Excel. Learn more: https://go.microsoft.com/fwlink/?linkid=870924
Comment:
    Design will only allow 1 silo at a time to operate.  Particulate emissions is calculated assuming each silo will be on line 2920 hours/year; The total for all 3 silos can never exceed 8760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tc={70BE57C8-D907-4923-9AA1-B5D2B7A9D3B1}</author>
    <author>GISKA Jonathan</author>
    <author>tc={07CC8CE9-54A8-4A95-9136-66D4A0997C48}</author>
    <author>tc={7FD38168-CF29-406A-A4CF-B3349245839E}</author>
    <author>tc={ECD15F08-F699-430C-9EB8-061CEABA52DF}</author>
    <author>tc={140BD192-7818-4A0E-87E4-2BD8F1B6EBA7}</author>
    <author>tc={58555808-10C7-4B45-AFB3-5E1AAB1D7344}</author>
    <author>tc={D16D7883-CB49-4EFD-8D90-8AF40C5DDBBF}</author>
    <author>tc={ECD6A34F-EAF3-40BA-8FB2-31A27FB2E360}</author>
    <author>tc={0E69EDC1-0100-4EFA-8896-6751F0AE70CF}</author>
    <author>tc={8975A002-170B-491A-A962-3B4169840C76}</author>
    <author>tc={C8743235-8ADE-489D-B8EA-35597B5F0F41}</author>
    <author>tc={E344C79B-DCB5-4F01-A8B1-B7C5D58F8C07}</author>
    <author>tc={2301D28B-6C97-4301-A4E1-48BB32D209A7}</author>
    <author>tc={0CB91F67-BA93-48A7-A50A-AFEA7BF993B7}</author>
    <author>tc={8DD3B0CF-765C-4AF4-B218-2ECDF175E62D}</author>
    <author>tc={D0AC81AF-07E7-4350-B5E4-AA3CDE4BB4C3}</author>
    <author>tc={E6F9D78E-6ABC-41DA-BE8D-1EF3BBE2312C}</author>
    <author>tc={838143C3-0C39-469B-A811-B7F45EC55A79}</author>
    <author>tc={73FD63EF-C590-4445-BDBE-B178DE2641AD}</author>
    <author>tc={E5A9B8B4-9042-4107-B790-DD02C04558E9}</author>
    <author>tc={2E3D698C-A96C-473A-B6B3-B4FCD5C7512B}</author>
    <author>tc={50A0FD63-B05D-47BB-AB65-03608E74FC7E}</author>
    <author>tc={9C456C57-6879-4194-B5D8-6A6D552B339A}</author>
    <author>tc={CA72E43D-47B4-482C-84A5-B64B57ED5F7D}</author>
    <author>tc={0AED3364-3947-407F-A475-157AAB21ED15}</author>
    <author>tc={EF9F43BE-845F-4781-AD48-7E62385C3A7C}</author>
    <author>tc={EAF0251A-173D-482B-AFE3-176B7416C9CA}</author>
    <author>tc={F606A8AB-7139-4D50-9680-9CE53840C63E}</author>
    <author>tc={71E05CE9-95B0-46BE-9CC1-91B09AAC21B9}</author>
    <author>tc={DF431558-1D2B-469D-B49A-36F0EEF8509C}</author>
    <author>tc={C5094D76-B116-4B34-824E-55B1923F067F}</author>
    <author>tc={4678F574-5B86-41D8-9989-994E21B5C52C}</author>
    <author>tc={61532A8B-B336-43FB-A664-3143BE43FD4F}</author>
    <author>tc={2FB3E7D6-22CF-45C0-983E-7836E06D05B4}</author>
    <author>tc={A6EE3C57-1D40-4681-B312-4B3057BE0B26}</author>
    <author>tc={102CAC67-63B8-428A-AEF4-46D29B4079B9}</author>
    <author>tc={A6A8705B-5855-4DB1-AA4E-CDED6718BD7D}</author>
    <author>tc={BD5CDFCE-AEF2-4A88-A239-94B0D4E122A2}</author>
    <author>tc={8B62B999-6F55-4025-ACDF-C34B3A564935}</author>
    <author>tc={F02656E8-EC47-4E7F-A00B-6819FB4CA105}</author>
    <author>tc={F9097FBD-C533-4501-AFA8-600CC98D6B29}</author>
    <author>tc={51BC4628-5903-4CED-A596-3EECC1A53FB3}</author>
    <author>tc={5276144D-1799-46F4-A709-7C4886B39617}</author>
    <author>tc={F9353A68-E110-4AE4-AAF1-B84CB0B26452}</author>
    <author>tc={DFABB42F-E529-439F-BA08-378C0A5DC356}</author>
    <author>tc={CA911546-3220-4385-9C1A-2B5608C7B337}</author>
    <author>tc={79F92C86-0B43-4B3F-B18A-056B7440DFBE}</author>
    <author>tc={F6226B85-8912-4223-A250-80513DE7735F}</author>
    <author>tc={A55DFCDE-4ACC-4B4A-8265-1F95D76E05EE}</author>
    <author>tc={6C462933-9CAE-412F-9AE6-899EF9AF31B0}</author>
    <author>tc={416C48D2-B2C4-4FFF-B487-C34719C8E540}</author>
    <author>tc={16C145CB-D399-470B-BE78-350EDF13E3E8}</author>
    <author>tc={DCC4D1EA-FD90-478A-94E3-D2D69B5D1EF8}</author>
    <author>tc={DF91A944-1778-47C5-9D31-23D3D154FA70}</author>
    <author>tc={C0AA5FC5-DAEE-48CC-8592-EEAB065410DE}</author>
    <author>tc={F58C04E6-87BA-4E38-9BFB-40D7E91F83E9}</author>
    <author>tc={F04070BA-994B-4B50-A11E-1A2B4670AC75}</author>
    <author>tc={8B1EED6B-B8EF-4684-9BBF-AB34784496D7}</author>
    <author>tc={19B4E14E-D8E9-472C-92C2-78260ADDDBD8}</author>
    <author>tc={1A15F678-73C0-4E94-8BEE-1BABAB71AB53}</author>
    <author>tc={FFD4FD21-2148-4CC7-B64A-E2CC711C5956}</author>
    <author>tc={1A13DF4D-EDC9-493A-9F88-405D7F6F78B3}</author>
    <author>tc={0DF9B2CE-F40C-4E5F-8B9A-3459FF064040}</author>
    <author>tc={2A6FB080-BF24-4987-ACD4-0934DE10277D}</author>
    <author>tc={3C8D690B-3946-4826-91F6-8E04346D47D0}</author>
    <author>tc={BC58C202-243A-4981-AA02-8869AC45FD3D}</author>
    <author>tc={C19A7F7E-F1D5-483D-9A56-D1FA950B7307}</author>
    <author>tc={99853E2D-7C58-46F4-BD8E-2FD91041E2E1}</author>
    <author>tc={EFE6EAA7-FCC2-4039-BD7D-676E6F7EDC24}</author>
    <author>tc={5AEB3099-72E8-4958-88F6-9A130D291E8D}</author>
    <author>tc={F1C5010D-ABCE-49CB-9F02-0D54F6D28057}</author>
    <author>tc={13F03ADE-1148-4F49-BD1C-32C6B132A28A}</author>
    <author>tc={90569A72-242B-422B-9A11-BB337EA8E17B}</author>
    <author>tc={953DD4F4-C147-456C-83AB-DE1E208C7ED1}</author>
    <author>tc={C1F9BE88-575A-4625-9C1D-636257618762}</author>
    <author>tc={011D5E8A-53EA-48A1-8FEF-73244EFD7903}</author>
    <author>tc={5D97BADC-FF07-4949-B95A-C9DCBDF3D9CE}</author>
    <author>tc={F6354329-C063-4D60-87E9-AE5D8BA2CF80}</author>
    <author>tc={F2C1946D-42DD-4903-900A-1096515293D6}</author>
    <author>tc={D3241D0D-028D-4B67-B03E-7AD60B797B74}</author>
    <author>tc={1366A428-5E76-4513-8FF6-FF5E0FA773DB}</author>
    <author>tc={2925A8EC-A4FF-48F9-9E3F-979B5D2D34A0}</author>
    <author>tc={4078B68D-C885-4CD4-B731-DE1870C6D90B}</author>
    <author>tc={1EBFE777-7853-4E85-BC3E-C74EDB0BDBA9}</author>
    <author>tc={A21BD35B-F704-4FD7-BC3A-69ECE3B9563B}</author>
    <author>tc={43731327-3915-46C8-8345-0EEAF28EEA01}</author>
    <author>tc={396F7214-9ED2-4B81-BC78-4B0E75025FC6}</author>
    <author>tc={3D1E06C8-5DC8-42DE-A963-DE0A45981F31}</author>
    <author>tc={3DEF810B-A844-467C-B272-0EBD5688F812}</author>
    <author>tc={C1B24851-9884-4ECB-AB01-14C6AE87284F}</author>
    <author>tc={5F29174C-1CDD-4703-98E7-B3DBA5EAB789}</author>
    <author>tc={3154CFDC-7F0D-49AE-91CF-5472E211FBD9}</author>
    <author>tc={CED55074-FF40-4592-B496-7ED3C0A75612}</author>
    <author>tc={B293BAD2-761A-490E-883F-3240AFDCC061}</author>
    <author>tc={EA109E1B-A584-4774-8115-333678A86F2E}</author>
    <author>tc={8F8A9EF0-0226-4F96-98FC-76C3FE5A0AA0}</author>
    <author>tc={017E1A90-482C-47AB-B6B6-085E2D7F29A0}</author>
    <author>tc={4A3B8AAF-534E-4745-9D5E-9313D05C6541}</author>
    <author>tc={798B6C24-FE53-431B-A8A3-B1343B7AD4D4}</author>
    <author>tc={1A2070EB-1581-4D93-9ABC-CEFE6B5A2642}</author>
    <author>tc={7EEB2E68-3DA4-4921-84C5-B695FB86EA44}</author>
    <author>tc={DB42FCB2-F88D-40CD-B06F-A267C0027CC4}</author>
    <author>tc={FDE9CAB2-7FC8-44E6-94B1-04C2FB6A2A7E}</author>
    <author>tc={A2F419DC-CEC3-44A6-8718-5963277F53FA}</author>
    <author>tc={AC0CF636-C7F7-4E91-9C70-C6DA1A4E9214}</author>
    <author>tc={1B88F00E-89ED-4A66-8C60-380A83BB4094}</author>
    <author>tc={0CA45DC1-1A06-471C-B620-B49A835AB884}</author>
    <author>tc={B2DB2917-09C7-4516-B3B1-7D6AD739F18A}</author>
    <author>tc={D53009E7-E8D9-4C0F-89B0-9EF1B28A04E4}</author>
    <author>tc={2CB687F4-45AD-464C-8419-A104842AE505}</author>
    <author>tc={86977377-01C4-40D7-938C-EF699CC3F21F}</author>
    <author>tc={CF26782A-70C1-4F22-8D03-AA50724B6763}</author>
    <author>tc={DBBF2764-64EA-465F-BE9D-9BC4DAB28647}</author>
    <author>tc={FA7B562A-7554-478D-8806-F00E54AEC0E1}</author>
    <author>tc={E5B87782-BFA3-47DF-9BED-94FB15FEDA04}</author>
    <author>tc={4EF45771-E919-49BD-90F6-2F85DC6665E8}</author>
    <author>tc={BA4CED4F-3E52-4135-995C-FB4F43D1DB69}</author>
    <author>tc={A38CC7CC-09D9-4CA4-BA6C-5721DBD7A935}</author>
    <author>tc={AFE6A8C7-2454-49BD-B29B-D8587A9B9EB3}</author>
    <author>tc={16D955BC-A353-451A-9371-0D0953E19A12}</author>
    <author>tc={4B4AA224-7834-44A0-B425-04454EB7E307}</author>
    <author>tc={A842F3B5-4E43-4657-AFA6-0BD69DE0BD7A}</author>
    <author>tc={D39C2D5D-AF4A-438B-8CFB-962A48C15A5D}</author>
    <author>tc={18267BF5-FC6E-4CB1-B0F3-754BD7CB5AEF}</author>
    <author>tc={EAE1A359-8E38-4F8A-824E-B8CB717DF64D}</author>
    <author>tc={4C255604-8203-4A56-928C-AA41BDBC9FDD}</author>
    <author>tc={1ADF1501-C998-4B3B-ABFC-F23574F3633F}</author>
    <author>tc={16B10238-812A-4D04-95BA-752AA77276AA}</author>
    <author>tc={4760BEB9-CDE8-4067-8611-D1778EE05B4D}</author>
    <author>tc={0A8600E5-2BC1-47E2-B405-D9813C002337}</author>
    <author>tc={3FD21739-7D39-4530-8C8F-47C04BF887A0}</author>
    <author>tc={6285236F-733C-4CFD-B719-7B76D281591E}</author>
    <author>tc={B5DD7B0C-DDB2-4AD5-9A4B-46C116397812}</author>
    <author>tc={D313CDC0-66E1-4421-B7A6-812596061B32}</author>
    <author>tc={25623011-9B9C-479F-A57E-1B9338E85718}</author>
    <author>tc={94ED4A96-82F1-4D25-866D-160F95D6DF7A}</author>
    <author>tc={96A62E79-33CD-414C-9D31-61A4C27A3A56}</author>
    <author>tc={EFEF0DF0-7379-40C8-BC8B-A021EF23D267}</author>
    <author>tc={B1C26D9D-449C-4ED5-A613-E0342FF2805C}</author>
    <author>tc={4796B40F-2603-47FC-9C4E-17332A0D7A82}</author>
    <author>tc={5E5462EC-8F31-44DF-AD43-E2C5B10A7A2D}</author>
    <author>tc={735DC382-1C31-4391-8A17-F49F202C48C5}</author>
    <author>tc={2241D514-61FF-4C0B-A617-064F867F477C}</author>
    <author>tc={82E8B42A-C030-4DA7-A0AF-774A373C3BF7}</author>
    <author>tc={E5E1C9B5-B71D-4EE1-B027-36A25870B101}</author>
    <author>tc={6682E82A-0FB8-47CB-B52E-110D351C08B7}</author>
    <author>tc={3EBAE156-2073-4C0D-B3B2-9C777D3CC4E4}</author>
    <author>tc={2A4927C6-AA46-45CB-A8FD-C85FC84C5F3F}</author>
    <author>tc={BA94C6B7-3896-4D70-8A46-4C8C98008DAD}</author>
    <author>tc={3EDF20CE-B1C9-4887-8454-B85054FA990F}</author>
    <author>tc={22437970-CDBF-4F49-95BD-EA5FBD7FE919}</author>
    <author>tc={28D85BC2-C9D5-4985-A68F-A98BB7456397}</author>
    <author>tc={F439AE55-0269-4BF8-9D89-8E58F37F3B2E}</author>
    <author>tc={FAA7866F-327B-48B0-AC8F-A7B4435EB290}</author>
    <author>tc={9AD87684-A1EA-4A71-AB41-9E192E91CD6E}</author>
    <author>tc={C645D08E-2FC9-40B0-9D0B-2B7FE5BF4E10}</author>
    <author>tc={78090E97-6A59-4F12-BD46-B7CB53FC69DF}</author>
    <author>tc={336FC0FE-22FE-4F7F-9FAE-F2400EF3B76D}</author>
    <author>tc={2012B1B8-8D21-416D-9960-AD8F51AC33E1}</author>
    <author>tc={9FD61255-9BE1-436F-8DE2-918945AF521B}</author>
    <author>tc={A7032C21-A60B-4312-9ACA-AC15FDC3201B}</author>
    <author>tc={646FCDBE-077B-4704-93D8-F608C6436F18}</author>
    <author>tc={2489C46D-673E-41E8-AB17-CA9AE3246BAB}</author>
    <author>tc={A998D224-8961-4565-8EF5-D58A0CC1C0BD}</author>
    <author>tc={37030CCB-9080-402C-9611-8C8A7FB5170F}</author>
    <author>tc={CD727731-1070-4EEE-AD3F-1EDE9DB960A2}</author>
    <author>tc={117166F3-2EB9-43B3-8E16-F4385DC20F87}</author>
    <author>tc={784E5D76-2B9B-4152-99A1-C113AFB86BA1}</author>
    <author>tc={B912D6D8-DB97-41AC-9065-A0E803E276E8}</author>
    <author>tc={FECD63CA-8E0E-4A10-9C55-223B5EF675DE}</author>
    <author>tc={BC548444-4C6E-472D-BD8A-5F0934BCED0A}</author>
    <author>tc={455EF656-9181-426D-AB37-C24E83707C41}</author>
    <author>tc={41A411FC-4BA2-4D5C-92C8-0AA3F09BD99F}</author>
    <author>tc={E2471F81-D53C-473C-8D73-D19012EC82A6}</author>
    <author>tc={9F63CA2D-7A7A-495E-888B-5A9FAB4F7BA6}</author>
    <author>tc={FA6E6CB9-BE97-4962-B6AF-F4E64A5D3C1B}</author>
    <author>tc={F65DA47D-0471-413F-96A4-B48563E0F7AB}</author>
    <author>tc={9AEC991A-2B8C-4B30-9D3F-BAD57A573237}</author>
    <author>tc={5E2E72AC-9103-438D-9DD5-7ACD1EF91C92}</author>
    <author>tc={92AD2C01-027C-4193-8AAA-8CEDC5E2661E}</author>
    <author>tc={E5AF2804-85E8-407E-B5D6-1875B120866E}</author>
    <author>tc={7C1FF349-7968-4447-81C0-07FBA4C3FF99}</author>
    <author>tc={6687F326-44CB-4A98-9A3D-A384B8C74743}</author>
    <author>tc={F7FC4897-47A6-42D4-B26A-3EC17533BF44}</author>
    <author>tc={1BC67BE1-E27D-4CC1-BF87-45F87C499F99}</author>
    <author>tc={6303BF14-EFB2-4817-8612-3E9B35AA74FB}</author>
    <author>tc={98749F30-2948-48FE-8325-E58E0B1C60BC}</author>
    <author>tc={FE353516-A325-48DB-98AA-55C677F0C84F}</author>
    <author>tc={5D73D471-FD61-4272-AFA3-364A260E30E3}</author>
    <author>tc={7E3E87C1-FDB8-4A0D-9D8C-42373D001995}</author>
    <author>tc={74BA3D22-6739-49EF-B4A8-27E8E1D27E2B}</author>
    <author>tc={5F4E062B-4ECA-49D5-91C1-BBDD0E1EA542}</author>
    <author>tc={DF814ECB-4E7B-4022-9C2E-16F239BE9238}</author>
    <author>tc={A8E3B4AE-7E68-4F85-BA57-F0CD262DC462}</author>
    <author>tc={911CE5F9-1B27-4EC3-AE97-9DDB1D86D413}</author>
    <author>tc={2EC92CD6-BA2C-4BF6-B947-B1807EAA0EE6}</author>
    <author>tc={E26B8A5E-AE65-420B-8E60-12F640289142}</author>
    <author>tc={9809CBCF-CFB4-40B8-BE7B-DAA054ABF6A4}</author>
    <author>tc={321B6AA5-0E41-42A4-B1FA-DFA22A61C1B8}</author>
    <author>tc={F5DF0665-353C-45D6-8550-A4B91A6EB10A}</author>
    <author>tc={224182CE-8656-4E7B-89CD-3A4D0A3031FB}</author>
    <author>tc={53400A5F-2D52-4A7F-A0B3-795574E8D913}</author>
    <author>tc={67B778A5-DED5-465E-A369-D1D14C127329}</author>
    <author>tc={736B1C4E-00B1-4D65-A6C3-60D1CAF2D228}</author>
    <author>tc={034857FE-45E4-4961-8F7C-221BC0245F5A}</author>
    <author>tc={37F0380E-F0AE-4A44-B56A-28B51737E9A9}</author>
    <author>tc={D3A37C67-FA3C-465F-B6B1-8DE6D3D3D7F6}</author>
    <author>tc={99B6EE43-2660-407C-BF15-117C826D7729}</author>
    <author>tc={35D87009-DB4B-4264-AC90-3DD7881F014D}</author>
    <author>tc={651390CE-7660-4DC9-A9B3-56307A1E9A43}</author>
    <author>tc={C1A9FDEF-A566-45F7-B77A-84B40E977ED2}</author>
    <author>tc={EB76786F-7A47-4D71-B422-944C55CCBF3D}</author>
    <author>tc={695FC566-0CA1-4103-86CC-87332E1EBC02}</author>
    <author>tc={69219591-F7A4-483A-9F13-CFBDED590FD9}</author>
    <author>tc={5F9C8EC8-6A54-4149-8EA1-A01AB954EC27}</author>
    <author>tc={AEB89A2F-3350-4679-BCB8-B5CF5E4F6AE3}</author>
    <author>tc={68AF665C-9775-4FEF-8B69-B4D236CF380C}</author>
    <author>tc={0936237A-965F-4AE2-AAAE-A1413A56D282}</author>
    <author>tc={E2816145-490E-4B7E-8133-9CA1DD9165C4}</author>
    <author>tc={D185F1E0-CD42-4123-A7DF-054214928632}</author>
    <author>tc={FAB12C70-DBBE-4A17-9F2A-AD9118EEF065}</author>
    <author>tc={3037DF8B-F0F9-41D3-93B9-51CBC0FEEEB5}</author>
    <author>tc={C8338CE1-9C8D-41D0-BE1D-892CC30C77D2}</author>
    <author>tc={6119C122-CA11-4BB1-8FF9-8581D043AF4C}</author>
    <author>tc={9E7C2D07-A6D3-47DB-838A-45555ADA633E}</author>
    <author>tc={4FBC6104-7C8F-4615-870F-0F9B4B9168FE}</author>
    <author>tc={6FBEE781-AF41-419F-9CF3-93F5CA988789}</author>
    <author>tc={D1571952-DB7D-40CC-8328-FA24EDD621AA}</author>
    <author>tc={8E51E0FF-769C-4A0B-B0E0-64F338B06171}</author>
    <author>tc={C37DC923-6160-4E32-A5D7-059CDA6F316D}</author>
    <author>tc={DB41E8C3-C675-41CC-AB2B-7E87C79F1D16}</author>
    <author>tc={CDF984EC-2077-41F3-B701-03D946DF420B}</author>
    <author>tc={F4FCBD15-A9C2-4170-AEDD-F625270457CB}</author>
    <author>tc={9AF9FFB8-F07B-4D04-9B77-5FB6A2991F8D}</author>
    <author>tc={D4A605B3-D6B5-4F3C-9A2C-A3EAE9F0A50C}</author>
    <author>tc={20111554-BB59-445A-8DC9-30861F926E39}</author>
    <author>tc={77441C44-D1F3-4391-86D1-697C8C52702D}</author>
    <author>tc={777456A7-5C5B-4BEB-AC02-38B0F366E24D}</author>
    <author>tc={33FB8909-9812-43CB-807F-E5528583D848}</author>
    <author>tc={AF0630B7-B1A0-4E18-8EEA-DF6748A407FD}</author>
    <author>tc={DB10C9E8-7682-45A3-BDA7-92EEF3D0ECC4}</author>
    <author>tc={B3500E28-BD6A-46B4-9158-D2379E580E68}</author>
    <author>tc={F0483D94-08FA-4E28-8D28-B2E3D2BD5E5E}</author>
    <author>tc={93268A4B-6C12-4BEE-84C4-8869843F8A5E}</author>
    <author>tc={7826E8F4-93F2-463B-8727-2D09D3E727F8}</author>
    <author>tc={9160F563-649D-4746-BB55-71A486761895}</author>
    <author>tc={2B5133F5-3A0B-4D17-9699-D9D981CB6829}</author>
    <author>tc={EDC50B90-CB5F-4B75-9C90-0D4BEC1A0D40}</author>
    <author>tc={A75DA654-8F4F-497E-B603-05B08B0107C0}</author>
    <author>tc={EDA0B6CE-CCA2-4A15-BF31-D9EB043E0F1C}</author>
    <author>tc={8833FAD4-DE9D-4BF6-987F-DDE0D4443990}</author>
    <author>tc={CD2A289E-1A4C-4DA2-9498-D38578643BBF}</author>
    <author>tc={9A8C9CE5-2252-40FB-98EF-DE0986AD4B6A}</author>
    <author>tc={29768BC6-4601-4455-9214-1D95E1BB6453}</author>
    <author>tc={72C9962E-A8BF-4510-9295-787F7C24B466}</author>
    <author>tc={177E37ED-1D8F-43CF-A94F-8766001F3778}</author>
    <author>tc={CE3A461F-00AE-4553-B2AF-728DAD889CF9}</author>
    <author>tc={3A23E550-244F-46C2-9E42-FFFEDD861CCB}</author>
    <author>tc={AFEE39D9-E6A7-4EF4-9697-E2F685534B47}</author>
    <author>tc={9E6DC240-46EA-44E3-9EBF-D0AD8433E7AD}</author>
    <author>tc={788367A1-620D-4DA2-9102-A67EF62A0959}</author>
    <author>tc={62EEA552-406D-4277-8116-FBDBF9F8732C}</author>
    <author>tc={F7D0F802-D566-49F7-9925-025DE56CDDAD}</author>
    <author>tc={938A1C73-33A1-443A-9238-9DA99A5573EA}</author>
    <author>tc={D44837CA-0E38-4DBF-BEE8-E36092AC5283}</author>
    <author>tc={A49394CB-1169-45A3-AA7B-581EB7EBF9A3}</author>
    <author>tc={9E5A7DD7-DA72-46AF-B34E-EB7C51835DD6}</author>
    <author>tc={E57DDFC7-5332-4D02-BB85-F43A936A626E}</author>
    <author>tc={643CD5CC-3484-4889-8078-7D1D72610F36}</author>
    <author>tc={EFF5961E-CDB7-4FD3-BC11-8EF97D097C50}</author>
    <author>tc={7AD86C36-9F74-46E4-B319-A48794894105}</author>
    <author>tc={1559C0CC-8E17-4764-94EA-AE06DD46CD92}</author>
    <author>tc={C9B9AA46-F5EE-4067-AE4E-9689ECCFAC5C}</author>
    <author>tc={C7037CAA-B404-476D-89E7-051726C81069}</author>
    <author>tc={9DB647CD-A984-4D72-B825-76823FD14836}</author>
    <author>tc={D0D26886-BE1F-4111-860B-2BE40696F66A}</author>
    <author>tc={D58648C4-E363-4210-97FF-C7028367A261}</author>
    <author>tc={B8F146C0-A3CB-4B4C-B3CF-7388C9001FA8}</author>
    <author>tc={0587B129-842D-4B8D-8564-844282D6F2BA}</author>
  </authors>
  <commentList>
    <comment ref="I11" authorId="0" shapeId="0" xr:uid="{70BE57C8-D907-4923-9AA1-B5D2B7A9D3B1}">
      <text>
        <t xml:space="preserve">[Threaded comment]
Your version of Excel allows you to read this threaded comment; however, any edits to it will get removed if the file is opened in a newer version of Excel. Learn more: https://go.microsoft.com/fwlink/?linkid=870924
Comment:
    AP42 Chapter 1.3 emission factors for  metal from No. 6 fuel oil combustion for dryer emission were used  first and foremost where emission factors were available; where emission factors were not available and to be ultra conservative  AP42 Chapter 1.11  emission factors for waste oil combustion were used. </t>
      </text>
    </comment>
    <comment ref="C12" authorId="1"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E51" authorId="2" shapeId="0" xr:uid="{07CC8CE9-54A8-4A95-9136-66D4A0997C4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54" authorId="3" shapeId="0" xr:uid="{7FD38168-CF29-406A-A4CF-B3349245839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64" authorId="4" shapeId="0" xr:uid="{ECD15F08-F699-430C-9EB8-061CEABA52D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79" authorId="5" shapeId="0" xr:uid="{140BD192-7818-4A0E-87E4-2BD8F1B6EBA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81" authorId="6" shapeId="0" xr:uid="{58555808-10C7-4B45-AFB3-5E1AAB1D7344}">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83" authorId="7" shapeId="0" xr:uid="{D16D7883-CB49-4EFD-8D90-8AF40C5DDBB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86" authorId="8" shapeId="0" xr:uid="{ECD6A34F-EAF3-40BA-8FB2-31A27FB2E36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94" authorId="9" shapeId="0" xr:uid="{0E69EDC1-0100-4EFA-8896-6751F0AE70C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100" authorId="10" shapeId="0" xr:uid="{8975A002-170B-491A-A962-3B4169840C7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101" authorId="11" shapeId="0" xr:uid="{C8743235-8ADE-489D-B8EA-35597B5F0F41}">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03" authorId="12" shapeId="0" xr:uid="{E344C79B-DCB5-4F01-A8B1-B7C5D58F8C0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04" authorId="13" shapeId="0" xr:uid="{2301D28B-6C97-4301-A4E1-48BB32D209A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05" authorId="14" shapeId="0" xr:uid="{0CB91F67-BA93-48A7-A50A-AFEA7BF993B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06" authorId="15" shapeId="0" xr:uid="{8DD3B0CF-765C-4AF4-B218-2ECDF175E62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07" authorId="16" shapeId="0" xr:uid="{D0AC81AF-07E7-4350-B5E4-AA3CDE4BB4C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08" authorId="17" shapeId="0" xr:uid="{E6F9D78E-6ABC-41DA-BE8D-1EF3BBE2312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09" authorId="18" shapeId="0" xr:uid="{838143C3-0C39-469B-A811-B7F45EC55A7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10" authorId="19" shapeId="0" xr:uid="{73FD63EF-C590-4445-BDBE-B178DE2641A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11" authorId="20" shapeId="0" xr:uid="{E5A9B8B4-9042-4107-B790-DD02C04558E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12" authorId="21" shapeId="0" xr:uid="{2E3D698C-A96C-473A-B6B3-B4FCD5C7512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113" authorId="22" shapeId="0" xr:uid="{50A0FD63-B05D-47BB-AB65-03608E74FC7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114" authorId="23" shapeId="0" xr:uid="{9C456C57-6879-4194-B5D8-6A6D552B339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14" authorId="24" shapeId="0" xr:uid="{CA72E43D-47B4-482C-84A5-B64B57ED5F7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15" authorId="25" shapeId="0" xr:uid="{0AED3364-3947-407F-A475-157AAB21ED15}">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15" authorId="26" shapeId="0" xr:uid="{EF9F43BE-845F-4781-AD48-7E62385C3A7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16" authorId="27" shapeId="0" xr:uid="{EAF0251A-173D-482B-AFE3-176B7416C9C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16" authorId="28" shapeId="0" xr:uid="{F606A8AB-7139-4D50-9680-9CE53840C63E}">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17" authorId="29" shapeId="0" xr:uid="{71E05CE9-95B0-46BE-9CC1-91B09AAC21B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17" authorId="30" shapeId="0" xr:uid="{DF431558-1D2B-469D-B49A-36F0EEF8509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18" authorId="31" shapeId="0" xr:uid="{C5094D76-B116-4B34-824E-55B1923F067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18" authorId="32" shapeId="0" xr:uid="{4678F574-5B86-41D8-9989-994E21B5C52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19" authorId="33" shapeId="0" xr:uid="{61532A8B-B336-43FB-A664-3143BE43FD4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19" authorId="34" shapeId="0" xr:uid="{2FB3E7D6-22CF-45C0-983E-7836E06D05B4}">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20" authorId="35" shapeId="0" xr:uid="{A6EE3C57-1D40-4681-B312-4B3057BE0B2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20" authorId="36" shapeId="0" xr:uid="{102CAC67-63B8-428A-AEF4-46D29B4079B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21" authorId="37" shapeId="0" xr:uid="{A6A8705B-5855-4DB1-AA4E-CDED6718BD7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21" authorId="38" shapeId="0" xr:uid="{BD5CDFCE-AEF2-4A88-A239-94B0D4E122A2}">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22" authorId="39" shapeId="0" xr:uid="{8B62B999-6F55-4025-ACDF-C34B3A564935}">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22" authorId="40" shapeId="0" xr:uid="{F02656E8-EC47-4E7F-A00B-6819FB4CA105}">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23" authorId="41" shapeId="0" xr:uid="{F9097FBD-C533-4501-AFA8-600CC98D6B2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124" authorId="42" shapeId="0" xr:uid="{51BC4628-5903-4CED-A596-3EECC1A53FB3}">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125" authorId="43" shapeId="0" xr:uid="{5276144D-1799-46F4-A709-7C4886B3961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25" authorId="44" shapeId="0" xr:uid="{F9353A68-E110-4AE4-AAF1-B84CB0B26452}">
      <text>
        <t xml:space="preserve">[Threaded comment]
Your version of Excel allows you to read this threaded comment; however, any edits to it will get removed if the file is opened in a newer version of Excel. Learn more: https://go.microsoft.com/fwlink/?linkid=870924
Comment:
    Added % from quicklime and Natural Pozzolan SDS, to assume worse case, other 2 additives are not listed on the DEQ pollutant list, therefore were not added
</t>
      </text>
    </comment>
    <comment ref="E126" authorId="45" shapeId="0" xr:uid="{DFABB42F-E529-439F-BA08-378C0A5DC35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26" authorId="46" shapeId="0" xr:uid="{CA911546-3220-4385-9C1A-2B5608C7B337}">
      <text>
        <t>[Threaded comment]
Your version of Excel allows you to read this threaded comment; however, any edits to it will get removed if the file is opened in a newer version of Excel. Learn more: https://go.microsoft.com/fwlink/?linkid=870924
Comment:
    Used max percent from Natural Pozzolan SDS, since the main constituent in the final product is the natural SCM Pozzolan, other two chemicals don’t have constituents list on the DEQ pollutant list</t>
      </text>
    </comment>
    <comment ref="E127" authorId="47" shapeId="0" xr:uid="{79F92C86-0B43-4B3F-B18A-056B7440DFB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27" authorId="48" shapeId="0" xr:uid="{F6226B85-8912-4223-A250-80513DE7735F}">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28" authorId="49" shapeId="0" xr:uid="{A55DFCDE-4ACC-4B4A-8265-1F95D76E05E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28" authorId="50" shapeId="0" xr:uid="{6C462933-9CAE-412F-9AE6-899EF9AF31B0}">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29" authorId="51" shapeId="0" xr:uid="{416C48D2-B2C4-4FFF-B487-C34719C8E54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29" authorId="52" shapeId="0" xr:uid="{16C145CB-D399-470B-BE78-350EDF13E3E8}">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30" authorId="53" shapeId="0" xr:uid="{DCC4D1EA-FD90-478A-94E3-D2D69B5D1EF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0" authorId="54" shapeId="0" xr:uid="{DF91A944-1778-47C5-9D31-23D3D154FA70}">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31" authorId="55" shapeId="0" xr:uid="{C0AA5FC5-DAEE-48CC-8592-EEAB065410D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1" authorId="56" shapeId="0" xr:uid="{F58C04E6-87BA-4E38-9BFB-40D7E91F83E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32" authorId="57" shapeId="0" xr:uid="{F04070BA-994B-4B50-A11E-1A2B4670AC75}">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2" authorId="58" shapeId="0" xr:uid="{8B1EED6B-B8EF-4684-9BBF-AB34784496D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33" authorId="59" shapeId="0" xr:uid="{19B4E14E-D8E9-472C-92C2-78260ADDDBD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3" authorId="60" shapeId="0" xr:uid="{1A15F678-73C0-4E94-8BEE-1BABAB71AB5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34" authorId="61" shapeId="0" xr:uid="{FFD4FD21-2148-4CC7-B64A-E2CC711C595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4" authorId="62" shapeId="0" xr:uid="{1A13DF4D-EDC9-493A-9F88-405D7F6F78B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35" authorId="63" shapeId="0" xr:uid="{0DF9B2CE-F40C-4E5F-8B9A-3459FF06404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5" authorId="64" shapeId="0" xr:uid="{2A6FB080-BF24-4987-ACD4-0934DE10277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36" authorId="65" shapeId="0" xr:uid="{3C8D690B-3946-4826-91F6-8E04346D47D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6" authorId="66" shapeId="0" xr:uid="{BC58C202-243A-4981-AA02-8869AC45FD3D}">
      <text>
        <t xml:space="preserve">[Threaded comment]
Your version of Excel allows you to read this threaded comment; however, any edits to it will get removed if the file is opened in a newer version of Excel. Learn more: https://go.microsoft.com/fwlink/?linkid=870924
Comment:
    Added % from quicklime and Natural Pozzolan SDS, to assume worse case, other 2 additives are not listed on the DEQ pollutant list, therefore were not added
</t>
      </text>
    </comment>
    <comment ref="E137" authorId="67" shapeId="0" xr:uid="{C19A7F7E-F1D5-483D-9A56-D1FA950B730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7" authorId="68" shapeId="0" xr:uid="{99853E2D-7C58-46F4-BD8E-2FD91041E2E1}">
      <text>
        <t>[Threaded comment]
Your version of Excel allows you to read this threaded comment; however, any edits to it will get removed if the file is opened in a newer version of Excel. Learn more: https://go.microsoft.com/fwlink/?linkid=870924
Comment:
    Used max percent from Natural Pozzolan SDS, since the main constituent in the final product is the natural SCM Pozzolan, other two chemicals don’t have constituents list on the DEQ pollutant list</t>
      </text>
    </comment>
    <comment ref="E138" authorId="69" shapeId="0" xr:uid="{EFE6EAA7-FCC2-4039-BD7D-676E6F7EDC24}">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8" authorId="70" shapeId="0" xr:uid="{5AEB3099-72E8-4958-88F6-9A130D291E8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39" authorId="71" shapeId="0" xr:uid="{F1C5010D-ABCE-49CB-9F02-0D54F6D2805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39" authorId="72" shapeId="0" xr:uid="{13F03ADE-1148-4F49-BD1C-32C6B132A28A}">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40" authorId="73" shapeId="0" xr:uid="{90569A72-242B-422B-9A11-BB337EA8E17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0" authorId="74" shapeId="0" xr:uid="{953DD4F4-C147-456C-83AB-DE1E208C7ED1}">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41" authorId="75" shapeId="0" xr:uid="{C1F9BE88-575A-4625-9C1D-63625761876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1" authorId="76" shapeId="0" xr:uid="{011D5E8A-53EA-48A1-8FEF-73244EFD790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42" authorId="77" shapeId="0" xr:uid="{5D97BADC-FF07-4949-B95A-C9DCBDF3D9C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2" authorId="78" shapeId="0" xr:uid="{F6354329-C063-4D60-87E9-AE5D8BA2CF80}">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43" authorId="79" shapeId="0" xr:uid="{F2C1946D-42DD-4903-900A-1096515293D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3" authorId="80" shapeId="0" xr:uid="{D3241D0D-028D-4B67-B03E-7AD60B797B74}">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44" authorId="81" shapeId="0" xr:uid="{1366A428-5E76-4513-8FF6-FF5E0FA773D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4" authorId="82" shapeId="0" xr:uid="{2925A8EC-A4FF-48F9-9E3F-979B5D2D34A0}">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45" authorId="83" shapeId="0" xr:uid="{4078B68D-C885-4CD4-B731-DE1870C6D90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5" authorId="84" shapeId="0" xr:uid="{1EBFE777-7853-4E85-BC3E-C74EDB0BDBA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46" authorId="85" shapeId="0" xr:uid="{A21BD35B-F704-4FD7-BC3A-69ECE3B9563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6" authorId="86" shapeId="0" xr:uid="{43731327-3915-46C8-8345-0EEAF28EEA01}">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47" authorId="87" shapeId="0" xr:uid="{396F7214-9ED2-4B81-BC78-4B0E75025FC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7" authorId="88" shapeId="0" xr:uid="{3D1E06C8-5DC8-42DE-A963-DE0A45981F31}">
      <text>
        <t xml:space="preserve">[Threaded comment]
Your version of Excel allows you to read this threaded comment; however, any edits to it will get removed if the file is opened in a newer version of Excel. Learn more: https://go.microsoft.com/fwlink/?linkid=870924
Comment:
    Added % from quicklime and Natural Pozzolan SDS, to assume worse case, other 2 additives are not listed on the DEQ pollutant list, therefore were not added
</t>
      </text>
    </comment>
    <comment ref="E148" authorId="89" shapeId="0" xr:uid="{3DEF810B-A844-467C-B272-0EBD5688F81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8" authorId="90" shapeId="0" xr:uid="{C1B24851-9884-4ECB-AB01-14C6AE87284F}">
      <text>
        <t>[Threaded comment]
Your version of Excel allows you to read this threaded comment; however, any edits to it will get removed if the file is opened in a newer version of Excel. Learn more: https://go.microsoft.com/fwlink/?linkid=870924
Comment:
    Used max percent from Natural Pozzolan SDS, since the main constituent in the final product is the natural SCM Pozzolan, other two chemicals don’t have constituents list on the DEQ pollutant list</t>
      </text>
    </comment>
    <comment ref="E149" authorId="91" shapeId="0" xr:uid="{5F29174C-1CDD-4703-98E7-B3DBA5EAB78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49" authorId="92" shapeId="0" xr:uid="{3154CFDC-7F0D-49AE-91CF-5472E211FBD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50" authorId="93" shapeId="0" xr:uid="{CED55074-FF40-4592-B496-7ED3C0A7561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0" authorId="94" shapeId="0" xr:uid="{B293BAD2-761A-490E-883F-3240AFDCC061}">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51" authorId="95" shapeId="0" xr:uid="{EA109E1B-A584-4774-8115-333678A86F2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1" authorId="96" shapeId="0" xr:uid="{8F8A9EF0-0226-4F96-98FC-76C3FE5A0AA0}">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52" authorId="97" shapeId="0" xr:uid="{017E1A90-482C-47AB-B6B6-085E2D7F29A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2" authorId="98" shapeId="0" xr:uid="{4A3B8AAF-534E-4745-9D5E-9313D05C6541}">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53" authorId="99" shapeId="0" xr:uid="{798B6C24-FE53-431B-A8A3-B1343B7AD4D4}">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3" authorId="100" shapeId="0" xr:uid="{1A2070EB-1581-4D93-9ABC-CEFE6B5A2642}">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54" authorId="101" shapeId="0" xr:uid="{7EEB2E68-3DA4-4921-84C5-B695FB86EA44}">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4" authorId="102" shapeId="0" xr:uid="{DB42FCB2-F88D-40CD-B06F-A267C0027CC4}">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55" authorId="103" shapeId="0" xr:uid="{FDE9CAB2-7FC8-44E6-94B1-04C2FB6A2A7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5" authorId="104" shapeId="0" xr:uid="{A2F419DC-CEC3-44A6-8718-5963277F53FA}">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56" authorId="105" shapeId="0" xr:uid="{AC0CF636-C7F7-4E91-9C70-C6DA1A4E9214}">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6" authorId="106" shapeId="0" xr:uid="{1B88F00E-89ED-4A66-8C60-380A83BB4094}">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57" authorId="107" shapeId="0" xr:uid="{0CA45DC1-1A06-471C-B620-B49A835AB884}">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7" authorId="108" shapeId="0" xr:uid="{B2DB2917-09C7-4516-B3B1-7D6AD739F18A}">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58" authorId="109" shapeId="0" xr:uid="{D53009E7-E8D9-4C0F-89B0-9EF1B28A04E4}">
      <text>
        <t xml:space="preserve">[Threaded comment]
Your version of Excel allows you to read this threaded comment; however, any edits to it will get removed if the file is opened in a newer version of Excel. Learn more: https://go.microsoft.com/fwlink/?linkid=870924
Comment:
    To be ultra conservative, use the total % of the chemical in natural pozz and quicklime, to determine emissions, even though only a percentage of the chemical will actually go into each reactor for batching. 
</t>
      </text>
    </comment>
    <comment ref="E159" authorId="110" shapeId="0" xr:uid="{2CB687F4-45AD-464C-8419-A104842AE505}">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59" authorId="111" shapeId="0" xr:uid="{86977377-01C4-40D7-938C-EF699CC3F21F}">
      <text>
        <t>[Threaded comment]
Your version of Excel allows you to read this threaded comment; however, any edits to it will get removed if the file is opened in a newer version of Excel. Learn more: https://go.microsoft.com/fwlink/?linkid=870924
Comment:
    To be ultra conservative we used the total percent from Natural Pozzolan SDS, since the main constituent in the final product is the natural SCM Pozzolan, TEA99 and polycarboxylate chemicals don’t have constituents listed on the DEQ pollutant list</t>
      </text>
    </comment>
    <comment ref="I160" authorId="112" shapeId="0" xr:uid="{CF26782A-70C1-4F22-8D03-AA50724B676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61" authorId="113" shapeId="0" xr:uid="{DBBF2764-64EA-465F-BE9D-9BC4DAB2864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62" authorId="114" shapeId="0" xr:uid="{FA7B562A-7554-478D-8806-F00E54AEC0E1}">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63" authorId="115" shapeId="0" xr:uid="{E5B87782-BFA3-47DF-9BED-94FB15FEDA04}">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64" authorId="116" shapeId="0" xr:uid="{4EF45771-E919-49BD-90F6-2F85DC6665E8}">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65" authorId="117" shapeId="0" xr:uid="{BA4CED4F-3E52-4135-995C-FB4F43D1DB6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66" authorId="118" shapeId="0" xr:uid="{A38CC7CC-09D9-4CA4-BA6C-5721DBD7A935}">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67" authorId="119" shapeId="0" xr:uid="{AFE6A8C7-2454-49BD-B29B-D8587A9B9EB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68" authorId="120" shapeId="0" xr:uid="{16D955BC-A353-451A-9371-0D0953E19A12}">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69" authorId="121" shapeId="0" xr:uid="{4B4AA224-7834-44A0-B425-04454EB7E30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69" authorId="122" shapeId="0" xr:uid="{A842F3B5-4E43-4657-AFA6-0BD69DE0BD7A}">
      <text>
        <t xml:space="preserve">[Threaded comment]
Your version of Excel allows you to read this threaded comment; however, any edits to it will get removed if the file is opened in a newer version of Excel. Learn more: https://go.microsoft.com/fwlink/?linkid=870924
Comment:
    To be ultra conservative, use the total % of the chemical in natural pozz and quicklime, to determine emissions, even though only a percentage of the chemical will actually go into each reactor for batching. 
</t>
      </text>
    </comment>
    <comment ref="E170" authorId="123" shapeId="0" xr:uid="{D39C2D5D-AF4A-438B-8CFB-962A48C15A5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70" authorId="124" shapeId="0" xr:uid="{18267BF5-FC6E-4CB1-B0F3-754BD7CB5AEF}">
      <text>
        <t>[Threaded comment]
Your version of Excel allows you to read this threaded comment; however, any edits to it will get removed if the file is opened in a newer version of Excel. Learn more: https://go.microsoft.com/fwlink/?linkid=870924
Comment:
    To be ultra conservative we used the total percent from Natural Pozzolan SDS, since the main constituent in the final product is the natural SCM Pozzolan, TEA99 and polycarboxylate chemicals don’t have constituents listed on the DEQ pollutant list</t>
      </text>
    </comment>
    <comment ref="I171" authorId="125" shapeId="0" xr:uid="{EAE1A359-8E38-4F8A-824E-B8CB717DF64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72" authorId="126" shapeId="0" xr:uid="{4C255604-8203-4A56-928C-AA41BDBC9FD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73" authorId="127" shapeId="0" xr:uid="{1ADF1501-C998-4B3B-ABFC-F23574F3633F}">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74" authorId="128" shapeId="0" xr:uid="{16B10238-812A-4D04-95BA-752AA77276AA}">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75" authorId="129" shapeId="0" xr:uid="{4760BEB9-CDE8-4067-8611-D1778EE05B4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76" authorId="130" shapeId="0" xr:uid="{0A8600E5-2BC1-47E2-B405-D9813C00233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77" authorId="131" shapeId="0" xr:uid="{3FD21739-7D39-4530-8C8F-47C04BF887A0}">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78" authorId="132" shapeId="0" xr:uid="{6285236F-733C-4CFD-B719-7B76D281591E}">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I179" authorId="133" shapeId="0" xr:uid="{B5DD7B0C-DDB2-4AD5-9A4B-46C116397812}">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80" authorId="134" shapeId="0" xr:uid="{D313CDC0-66E1-4421-B7A6-812596061B3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0" authorId="135" shapeId="0" xr:uid="{25623011-9B9C-479F-A57E-1B9338E85718}">
      <text>
        <t xml:space="preserve">[Threaded comment]
Your version of Excel allows you to read this threaded comment; however, any edits to it will get removed if the file is opened in a newer version of Excel. Learn more: https://go.microsoft.com/fwlink/?linkid=870924
Comment:
    To be ultra conservative, use the total % of the chemical in natural pozz and quicklime, to determine emissions, even though only a percentage of the chemical will actually go into each reactor for batching. 
</t>
      </text>
    </comment>
    <comment ref="E181" authorId="136" shapeId="0" xr:uid="{94ED4A96-82F1-4D25-866D-160F95D6DF7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1" authorId="137" shapeId="0" xr:uid="{96A62E79-33CD-414C-9D31-61A4C27A3A56}">
      <text>
        <t>[Threaded comment]
Your version of Excel allows you to read this threaded comment; however, any edits to it will get removed if the file is opened in a newer version of Excel. Learn more: https://go.microsoft.com/fwlink/?linkid=870924
Comment:
    To be ultra conservative we used the total percent from Natural Pozzolan SDS, since the main constituent in the final product is the natural SCM Pozzolan, TEA99 and polycarboxylate chemicals don’t have constituents listed on the DEQ pollutant list</t>
      </text>
    </comment>
    <comment ref="E182" authorId="138" shapeId="0" xr:uid="{EFEF0DF0-7379-40C8-BC8B-A021EF23D26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2" authorId="139" shapeId="0" xr:uid="{B1C26D9D-449C-4ED5-A613-E0342FF2805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83" authorId="140" shapeId="0" xr:uid="{4796B40F-2603-47FC-9C4E-17332A0D7A8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3" authorId="141" shapeId="0" xr:uid="{5E5462EC-8F31-44DF-AD43-E2C5B10A7A2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84" authorId="142" shapeId="0" xr:uid="{735DC382-1C31-4391-8A17-F49F202C48C5}">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4" authorId="143" shapeId="0" xr:uid="{2241D514-61FF-4C0B-A617-064F867F477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85" authorId="144" shapeId="0" xr:uid="{82E8B42A-C030-4DA7-A0AF-774A373C3BF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5" authorId="145" shapeId="0" xr:uid="{E5E1C9B5-B71D-4EE1-B027-36A25870B101}">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86" authorId="146" shapeId="0" xr:uid="{6682E82A-0FB8-47CB-B52E-110D351C08B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6" authorId="147" shapeId="0" xr:uid="{3EBAE156-2073-4C0D-B3B2-9C777D3CC4E4}">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87" authorId="148" shapeId="0" xr:uid="{2A4927C6-AA46-45CB-A8FD-C85FC84C5F3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7" authorId="149" shapeId="0" xr:uid="{BA94C6B7-3896-4D70-8A46-4C8C98008DA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88" authorId="150" shapeId="0" xr:uid="{3EDF20CE-B1C9-4887-8454-B85054FA990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8" authorId="151" shapeId="0" xr:uid="{22437970-CDBF-4F49-95BD-EA5FBD7FE91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89" authorId="152" shapeId="0" xr:uid="{28D85BC2-C9D5-4985-A68F-A98BB745639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89" authorId="153" shapeId="0" xr:uid="{F439AE55-0269-4BF8-9D89-8E58F37F3B2E}">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90" authorId="154" shapeId="0" xr:uid="{FAA7866F-327B-48B0-AC8F-A7B4435EB29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0" authorId="155" shapeId="0" xr:uid="{9AD87684-A1EA-4A71-AB41-9E192E91CD6E}">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91" authorId="156" shapeId="0" xr:uid="{C645D08E-2FC9-40B0-9D0B-2B7FE5BF4E1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1" authorId="157" shapeId="0" xr:uid="{78090E97-6A59-4F12-BD46-B7CB53FC69DF}">
      <text>
        <t xml:space="preserve">[Threaded comment]
Your version of Excel allows you to read this threaded comment; however, any edits to it will get removed if the file is opened in a newer version of Excel. Learn more: https://go.microsoft.com/fwlink/?linkid=870924
Comment:
    To be ultra conservative, use the total % of the chemical in natural pozz and quicklime, to determine emissions, even though only a percentage of the chemical will actually go into each reactor for batching. 
</t>
      </text>
    </comment>
    <comment ref="E192" authorId="158" shapeId="0" xr:uid="{336FC0FE-22FE-4F7F-9FAE-F2400EF3B76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2" authorId="159" shapeId="0" xr:uid="{2012B1B8-8D21-416D-9960-AD8F51AC33E1}">
      <text>
        <t>[Threaded comment]
Your version of Excel allows you to read this threaded comment; however, any edits to it will get removed if the file is opened in a newer version of Excel. Learn more: https://go.microsoft.com/fwlink/?linkid=870924
Comment:
    To be ultra conservative we used the total percent from Natural Pozzolan SDS, since the main constituent in the final product is the natural SCM Pozzolan, TEA99 and polycarboxylate chemicals don’t have constituents listed on the DEQ pollutant list</t>
      </text>
    </comment>
    <comment ref="E193" authorId="160" shapeId="0" xr:uid="{9FD61255-9BE1-436F-8DE2-918945AF521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3" authorId="161" shapeId="0" xr:uid="{A7032C21-A60B-4312-9ACA-AC15FDC3201B}">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94" authorId="162" shapeId="0" xr:uid="{646FCDBE-077B-4704-93D8-F608C6436F1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4" authorId="163" shapeId="0" xr:uid="{2489C46D-673E-41E8-AB17-CA9AE3246BAB}">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95" authorId="164" shapeId="0" xr:uid="{A998D224-8961-4565-8EF5-D58A0CC1C0B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5" authorId="165" shapeId="0" xr:uid="{37030CCB-9080-402C-9611-8C8A7FB5170F}">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96" authorId="166" shapeId="0" xr:uid="{CD727731-1070-4EEE-AD3F-1EDE9DB960A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6" authorId="167" shapeId="0" xr:uid="{117166F3-2EB9-43B3-8E16-F4385DC20F8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97" authorId="168" shapeId="0" xr:uid="{784E5D76-2B9B-4152-99A1-C113AFB86BA1}">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7" authorId="169" shapeId="0" xr:uid="{B912D6D8-DB97-41AC-9065-A0E803E276E8}">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98" authorId="170" shapeId="0" xr:uid="{FECD63CA-8E0E-4A10-9C55-223B5EF675D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8" authorId="171" shapeId="0" xr:uid="{BC548444-4C6E-472D-BD8A-5F0934BCED0A}">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199" authorId="172" shapeId="0" xr:uid="{455EF656-9181-426D-AB37-C24E83707C41}">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199" authorId="173" shapeId="0" xr:uid="{41A411FC-4BA2-4D5C-92C8-0AA3F09BD99F}">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00" authorId="174" shapeId="0" xr:uid="{E2471F81-D53C-473C-8D73-D19012EC82A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00" authorId="175" shapeId="0" xr:uid="{9F63CA2D-7A7A-495E-888B-5A9FAB4F7BA6}">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01" authorId="176" shapeId="0" xr:uid="{FA6E6CB9-BE97-4962-B6AF-F4E64A5D3C1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01" authorId="177" shapeId="0" xr:uid="{F65DA47D-0471-413F-96A4-B48563E0F7AB}">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24" authorId="178" shapeId="0" xr:uid="{9AEC991A-2B8C-4B30-9D3F-BAD57A573237}">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24" authorId="179" shapeId="0" xr:uid="{5E2E72AC-9103-438D-9DD5-7ACD1EF91C92}">
      <text>
        <t xml:space="preserve">[Threaded comment]
Your version of Excel allows you to read this threaded comment; however, any edits to it will get removed if the file is opened in a newer version of Excel. Learn more: https://go.microsoft.com/fwlink/?linkid=870924
Comment:
    To be ultra conservative, use the total % of the chemical in natural pozz and quicklime, to determine emissions, even though only a percentage of the chemical will actually go into each reactor for batching. 
</t>
      </text>
    </comment>
    <comment ref="E225" authorId="180" shapeId="0" xr:uid="{92AD2C01-027C-4193-8AAA-8CEDC5E2661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25" authorId="181" shapeId="0" xr:uid="{E5AF2804-85E8-407E-B5D6-1875B120866E}">
      <text>
        <t>[Threaded comment]
Your version of Excel allows you to read this threaded comment; however, any edits to it will get removed if the file is opened in a newer version of Excel. Learn more: https://go.microsoft.com/fwlink/?linkid=870924
Comment:
    To be ultra conservative we used the total percent from Natural Pozzolan SDS, since the main constituent in the final product is the natural SCM Pozzolan, TEA99 and polycarboxylate chemicals don’t have constituents listed on the DEQ pollutant list</t>
      </text>
    </comment>
    <comment ref="E226" authorId="182" shapeId="0" xr:uid="{7C1FF349-7968-4447-81C0-07FBA4C3FF9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26" authorId="183" shapeId="0" xr:uid="{6687F326-44CB-4A98-9A3D-A384B8C7474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27" authorId="184" shapeId="0" xr:uid="{F7FC4897-47A6-42D4-B26A-3EC17533BF44}">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27" authorId="185" shapeId="0" xr:uid="{1BC67BE1-E27D-4CC1-BF87-45F87C499F9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28" authorId="186" shapeId="0" xr:uid="{6303BF14-EFB2-4817-8612-3E9B35AA74F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28" authorId="187" shapeId="0" xr:uid="{98749F30-2948-48FE-8325-E58E0B1C60B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29" authorId="188" shapeId="0" xr:uid="{FE353516-A325-48DB-98AA-55C677F0C84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29" authorId="189" shapeId="0" xr:uid="{5D73D471-FD61-4272-AFA3-364A260E30E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30" authorId="190" shapeId="0" xr:uid="{7E3E87C1-FDB8-4A0D-9D8C-42373D001995}">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0" authorId="191" shapeId="0" xr:uid="{74BA3D22-6739-49EF-B4A8-27E8E1D27E2B}">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31" authorId="192" shapeId="0" xr:uid="{5F4E062B-4ECA-49D5-91C1-BBDD0E1EA54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1" authorId="193" shapeId="0" xr:uid="{DF814ECB-4E7B-4022-9C2E-16F239BE9238}">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32" authorId="194" shapeId="0" xr:uid="{A8E3B4AE-7E68-4F85-BA57-F0CD262DC46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2" authorId="195" shapeId="0" xr:uid="{911CE5F9-1B27-4EC3-AE97-9DDB1D86D413}">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33" authorId="196" shapeId="0" xr:uid="{2EC92CD6-BA2C-4BF6-B947-B1807EAA0EE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3" authorId="197" shapeId="0" xr:uid="{E26B8A5E-AE65-420B-8E60-12F640289142}">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34" authorId="198" shapeId="0" xr:uid="{9809CBCF-CFB4-40B8-BE7B-DAA054ABF6A4}">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4" authorId="199" shapeId="0" xr:uid="{321B6AA5-0E41-42A4-B1FA-DFA22A61C1B8}">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35" authorId="200" shapeId="0" xr:uid="{F5DF0665-353C-45D6-8550-A4B91A6EB10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5" authorId="201" shapeId="0" xr:uid="{224182CE-8656-4E7B-89CD-3A4D0A3031FB}">
      <text>
        <t xml:space="preserve">[Threaded comment]
Your version of Excel allows you to read this threaded comment; however, any edits to it will get removed if the file is opened in a newer version of Excel. Learn more: https://go.microsoft.com/fwlink/?linkid=870924
Comment:
    To be ultra conservative, use the total % of the chemical in natural pozz and quicklime, to determine emissions, even though only a percentage of the chemical will actually go into each reactor for batching. 
</t>
      </text>
    </comment>
    <comment ref="E236" authorId="202" shapeId="0" xr:uid="{53400A5F-2D52-4A7F-A0B3-795574E8D913}">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6" authorId="203" shapeId="0" xr:uid="{67B778A5-DED5-465E-A369-D1D14C127329}">
      <text>
        <t>[Threaded comment]
Your version of Excel allows you to read this threaded comment; however, any edits to it will get removed if the file is opened in a newer version of Excel. Learn more: https://go.microsoft.com/fwlink/?linkid=870924
Comment:
    To be ultra conservative we used the total percent from Natural Pozzolan SDS, since the main constituent in the final product is the natural SCM Pozzolan, TEA99 and polycarboxylate chemicals don’t have constituents listed on the DEQ pollutant list</t>
      </text>
    </comment>
    <comment ref="E237" authorId="204" shapeId="0" xr:uid="{736B1C4E-00B1-4D65-A6C3-60D1CAF2D22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7" authorId="205" shapeId="0" xr:uid="{034857FE-45E4-4961-8F7C-221BC0245F5A}">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38" authorId="206" shapeId="0" xr:uid="{37F0380E-F0AE-4A44-B56A-28B51737E9A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8" authorId="207" shapeId="0" xr:uid="{D3A37C67-FA3C-465F-B6B1-8DE6D3D3D7F6}">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39" authorId="208" shapeId="0" xr:uid="{99B6EE43-2660-407C-BF15-117C826D772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39" authorId="209" shapeId="0" xr:uid="{35D87009-DB4B-4264-AC90-3DD7881F014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40" authorId="210" shapeId="0" xr:uid="{651390CE-7660-4DC9-A9B3-56307A1E9A43}">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0" authorId="211" shapeId="0" xr:uid="{C1A9FDEF-A566-45F7-B77A-84B40E977ED2}">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41" authorId="212" shapeId="0" xr:uid="{EB76786F-7A47-4D71-B422-944C55CCBF3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1" authorId="213" shapeId="0" xr:uid="{695FC566-0CA1-4103-86CC-87332E1EBC02}">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42" authorId="214" shapeId="0" xr:uid="{69219591-F7A4-483A-9F13-CFBDED590FD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2" authorId="215" shapeId="0" xr:uid="{5F9C8EC8-6A54-4149-8EA1-A01AB954EC2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43" authorId="216" shapeId="0" xr:uid="{AEB89A2F-3350-4679-BCB8-B5CF5E4F6AE3}">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3" authorId="217" shapeId="0" xr:uid="{68AF665C-9775-4FEF-8B69-B4D236CF380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44" authorId="218" shapeId="0" xr:uid="{0936237A-965F-4AE2-AAAE-A1413A56D28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4" authorId="219" shapeId="0" xr:uid="{E2816145-490E-4B7E-8133-9CA1DD9165C4}">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45" authorId="220" shapeId="0" xr:uid="{D185F1E0-CD42-4123-A7DF-05421492863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5" authorId="221" shapeId="0" xr:uid="{FAB12C70-DBBE-4A17-9F2A-AD9118EEF065}">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46" authorId="222" shapeId="0" xr:uid="{3037DF8B-F0F9-41D3-93B9-51CBC0FEEEB5}">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6" authorId="223" shapeId="0" xr:uid="{C8338CE1-9C8D-41D0-BE1D-892CC30C77D2}">
      <text>
        <t xml:space="preserve">[Threaded comment]
Your version of Excel allows you to read this threaded comment; however, any edits to it will get removed if the file is opened in a newer version of Excel. Learn more: https://go.microsoft.com/fwlink/?linkid=870924
Comment:
    To be ultra conservative, use the total % of the chemical in natural pozz and quicklime, to determine emissions, even though only a percentage of the chemical will actually go into each reactor for batching. 
</t>
      </text>
    </comment>
    <comment ref="E247" authorId="224" shapeId="0" xr:uid="{6119C122-CA11-4BB1-8FF9-8581D043AF4C}">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7" authorId="225" shapeId="0" xr:uid="{9E7C2D07-A6D3-47DB-838A-45555ADA633E}">
      <text>
        <t>[Threaded comment]
Your version of Excel allows you to read this threaded comment; however, any edits to it will get removed if the file is opened in a newer version of Excel. Learn more: https://go.microsoft.com/fwlink/?linkid=870924
Comment:
    To be ultra conservative we used the total percent from Natural Pozzolan SDS, since the main constituent in the final product is the natural SCM Pozzolan, TEA99 and polycarboxylate chemicals don’t have constituents listed on the DEQ pollutant list</t>
      </text>
    </comment>
    <comment ref="E248" authorId="226" shapeId="0" xr:uid="{4FBC6104-7C8F-4615-870F-0F9B4B9168F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8" authorId="227" shapeId="0" xr:uid="{6FBEE781-AF41-419F-9CF3-93F5CA98878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49" authorId="228" shapeId="0" xr:uid="{D1571952-DB7D-40CC-8328-FA24EDD621A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49" authorId="229" shapeId="0" xr:uid="{8E51E0FF-769C-4A0B-B0E0-64F338B06171}">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50" authorId="230" shapeId="0" xr:uid="{C37DC923-6160-4E32-A5D7-059CDA6F316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50" authorId="231" shapeId="0" xr:uid="{DB41E8C3-C675-41CC-AB2B-7E87C79F1D16}">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51" authorId="232" shapeId="0" xr:uid="{CDF984EC-2077-41F3-B701-03D946DF420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51" authorId="233" shapeId="0" xr:uid="{F4FCBD15-A9C2-4170-AEDD-F625270457CB}">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52" authorId="234" shapeId="0" xr:uid="{9AF9FFB8-F07B-4D04-9B77-5FB6A2991F8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52" authorId="235" shapeId="0" xr:uid="{D4A605B3-D6B5-4F3C-9A2C-A3EAE9F0A50C}">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53" authorId="236" shapeId="0" xr:uid="{20111554-BB59-445A-8DC9-30861F926E3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53" authorId="237" shapeId="0" xr:uid="{77441C44-D1F3-4391-86D1-697C8C52702D}">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54" authorId="238" shapeId="0" xr:uid="{777456A7-5C5B-4BEB-AC02-38B0F366E24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54" authorId="239" shapeId="0" xr:uid="{33FB8909-9812-43CB-807F-E5528583D848}">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55" authorId="240" shapeId="0" xr:uid="{AF0630B7-B1A0-4E18-8EEA-DF6748A407F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55" authorId="241" shapeId="0" xr:uid="{DB10C9E8-7682-45A3-BDA7-92EEF3D0ECC4}">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56" authorId="242" shapeId="0" xr:uid="{B3500E28-BD6A-46B4-9158-D2379E580E6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56" authorId="243" shapeId="0" xr:uid="{F0483D94-08FA-4E28-8D28-B2E3D2BD5E5E}">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57" authorId="244" shapeId="0" xr:uid="{93268A4B-6C12-4BEE-84C4-8869843F8A5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58" authorId="245" shapeId="0" xr:uid="{7826E8F4-93F2-463B-8727-2D09D3E727F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59" authorId="246" shapeId="0" xr:uid="{9160F563-649D-4746-BB55-71A486761895}">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59" authorId="247" shapeId="0" xr:uid="{2B5133F5-3A0B-4D17-9699-D9D981CB6829}">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60" authorId="248" shapeId="0" xr:uid="{EDC50B90-CB5F-4B75-9C90-0D4BEC1A0D4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1" authorId="249" shapeId="0" xr:uid="{A75DA654-8F4F-497E-B603-05B08B0107C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2" authorId="250" shapeId="0" xr:uid="{EDA0B6CE-CCA2-4A15-BF31-D9EB043E0F1C}">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3" authorId="251" shapeId="0" xr:uid="{8833FAD4-DE9D-4BF6-987F-DDE0D444399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4" authorId="252" shapeId="0" xr:uid="{CD2A289E-1A4C-4DA2-9498-D38578643BBF}">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5" authorId="253" shapeId="0" xr:uid="{9A8C9CE5-2252-40FB-98EF-DE0986AD4B6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6" authorId="254" shapeId="0" xr:uid="{29768BC6-4601-4455-9214-1D95E1BB6453}">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7" authorId="255" shapeId="0" xr:uid="{72C9962E-A8BF-4510-9295-787F7C24B46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8" authorId="256" shapeId="0" xr:uid="{177E37ED-1D8F-43CF-A94F-8766001F377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69" authorId="257" shapeId="0" xr:uid="{CE3A461F-00AE-4553-B2AF-728DAD889CF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0" authorId="258" shapeId="0" xr:uid="{3A23E550-244F-46C2-9E42-FFFEDD861CCB}">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70" authorId="259" shapeId="0" xr:uid="{AFEE39D9-E6A7-4EF4-9697-E2F685534B47}">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71" authorId="260" shapeId="0" xr:uid="{9E6DC240-46EA-44E3-9EBF-D0AD8433E7A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2" authorId="261" shapeId="0" xr:uid="{788367A1-620D-4DA2-9102-A67EF62A095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3" authorId="262" shapeId="0" xr:uid="{62EEA552-406D-4277-8116-FBDBF9F8732C}">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4" authorId="263" shapeId="0" xr:uid="{F7D0F802-D566-49F7-9925-025DE56CDDAD}">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5" authorId="264" shapeId="0" xr:uid="{938A1C73-33A1-443A-9238-9DA99A5573E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6" authorId="265" shapeId="0" xr:uid="{D44837CA-0E38-4DBF-BEE8-E36092AC5283}">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7" authorId="266" shapeId="0" xr:uid="{A49394CB-1169-45A3-AA7B-581EB7EBF9A3}">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8" authorId="267" shapeId="0" xr:uid="{9E5A7DD7-DA72-46AF-B34E-EB7C51835DD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79" authorId="268" shapeId="0" xr:uid="{E57DDFC7-5332-4D02-BB85-F43A936A626E}">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0" authorId="269" shapeId="0" xr:uid="{643CD5CC-3484-4889-8078-7D1D72610F3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1" authorId="270" shapeId="0" xr:uid="{EFF5961E-CDB7-4FD3-BC11-8EF97D097C50}">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I281" authorId="271" shapeId="0" xr:uid="{7AD86C36-9F74-46E4-B319-A48794894105}">
      <text>
        <t xml:space="preserve">[Threaded comment]
Your version of Excel allows you to read this threaded comment; however, any edits to it will get removed if the file is opened in a newer version of Excel. Learn more: https://go.microsoft.com/fwlink/?linkid=870924
Comment:
    Refer to speciated particulate * HAPs Metal tabs in LV PTE Calculation Spreadsheet </t>
      </text>
    </comment>
    <comment ref="E282" authorId="272" shapeId="0" xr:uid="{1559C0CC-8E17-4764-94EA-AE06DD46CD92}">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3" authorId="273" shapeId="0" xr:uid="{C9B9AA46-F5EE-4067-AE4E-9689ECCFAC5C}">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4" authorId="274" shapeId="0" xr:uid="{C7037CAA-B404-476D-89E7-051726C81069}">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5" authorId="275" shapeId="0" xr:uid="{9DB647CD-A984-4D72-B825-76823FD14836}">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6" authorId="276" shapeId="0" xr:uid="{D0D26886-BE1F-4111-860B-2BE40696F66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7" authorId="277" shapeId="0" xr:uid="{D58648C4-E363-4210-97FF-C7028367A261}">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8" authorId="278" shapeId="0" xr:uid="{B8F146C0-A3CB-4B4C-B3CF-7388C9001FA8}">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 ref="E289" authorId="279" shapeId="0" xr:uid="{0587B129-842D-4B8D-8564-844282D6F2BA}">
      <text>
        <t xml:space="preserve">[Threaded comment]
Your version of Excel allows you to read this threaded comment; however, any edits to it will get removed if the file is opened in a newer version of Excel. Learn more: https://go.microsoft.com/fwlink/?linkid=870924
Comment:
    Control efficiency is already included in the PM10 emission lb/hr, and the PM10 lb/hr is used in the calculation for all speciated particulate emissions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<sst xmlns="http://schemas.openxmlformats.org/spreadsheetml/2006/main" count="3334" uniqueCount="1491">
  <si>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</si>
  <si>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</si>
  <si>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</si>
  <si>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</si>
  <si>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</si>
  <si>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</si>
  <si>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</si>
  <si>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</si>
  <si>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</si>
  <si>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</si>
  <si>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</si>
  <si>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</si>
  <si>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</si>
  <si>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</si>
  <si>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</si>
  <si>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</si>
  <si>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</si>
  <si>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</si>
  <si>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</si>
  <si>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</si>
  <si>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</si>
  <si>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</si>
  <si>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</si>
  <si>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</si>
  <si>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</si>
  <si>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</si>
  <si>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</si>
  <si>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</si>
  <si>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</si>
  <si>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</si>
  <si>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</si>
  <si>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</si>
  <si>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</si>
  <si>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</si>
  <si>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</si>
  <si>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</si>
  <si>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</si>
  <si>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</si>
  <si>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</si>
  <si>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</si>
  <si>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</si>
  <si>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</si>
  <si>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</si>
  <si>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</si>
  <si>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</si>
  <si>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</si>
  <si>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</si>
  <si>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</si>
  <si>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</si>
  <si>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</si>
  <si>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</si>
  <si>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</si>
  <si>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</si>
  <si>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</si>
  <si>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</si>
  <si>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</si>
  <si>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</si>
  <si>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</si>
  <si>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</si>
  <si>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</si>
  <si>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</si>
  <si>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</si>
  <si>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</si>
  <si>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</si>
  <si>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</si>
  <si>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</si>
  <si>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</si>
  <si>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</si>
  <si>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</si>
  <si>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</si>
  <si>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</si>
  <si>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</si>
  <si>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</si>
  <si>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</si>
  <si>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</si>
  <si>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</si>
  <si>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</si>
  <si>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</si>
  <si>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</si>
  <si>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</si>
  <si>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</si>
  <si>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</si>
  <si>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</si>
  <si>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</si>
  <si>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</si>
  <si>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</si>
  <si>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</si>
  <si>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</si>
  <si>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</si>
  <si>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</si>
  <si>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</si>
  <si>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</si>
  <si>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</si>
  <si>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</si>
  <si>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</si>
  <si>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</si>
  <si>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</si>
  <si>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</si>
  <si>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</si>
  <si>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</si>
  <si>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</si>
  <si>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</si>
  <si>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</si>
  <si>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</si>
  <si>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</si>
  <si>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</si>
  <si>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</si>
  <si>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</si>
  <si>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</si>
  <si>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</si>
  <si>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</si>
  <si>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</si>
  <si>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</si>
  <si>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</si>
  <si>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</si>
  <si>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</si>
  <si>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</si>
  <si>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</si>
  <si>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</si>
  <si>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</si>
  <si>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</si>
  <si>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</si>
  <si>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</si>
  <si>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</si>
  <si>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</si>
  <si>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</si>
  <si>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</si>
  <si>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</si>
  <si>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</si>
  <si>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</si>
  <si>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</si>
  <si>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</si>
  <si>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</si>
  <si>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</si>
  <si>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</si>
  <si>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</si>
  <si>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</si>
  <si>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</si>
  <si>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</si>
  <si>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</si>
  <si>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</si>
  <si>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</si>
  <si>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</si>
  <si>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</si>
  <si>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</si>
  <si>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</si>
  <si>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</si>
  <si>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</si>
  <si>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</si>
  <si>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</si>
  <si>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</si>
  <si>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</si>
  <si>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</si>
  <si>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</si>
  <si>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</si>
  <si>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</si>
  <si>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</si>
  <si>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</si>
  <si>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</si>
  <si>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</si>
  <si>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</si>
  <si>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</si>
  <si>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</si>
  <si>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</si>
  <si>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</si>
  <si>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</si>
  <si>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</si>
  <si>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</si>
  <si>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</si>
  <si>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</si>
  <si>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</si>
  <si>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</si>
  <si>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</si>
  <si>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</si>
  <si>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</si>
  <si>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</si>
  <si>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</si>
  <si>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</si>
  <si>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</si>
  <si>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</si>
  <si>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</si>
  <si>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</si>
  <si>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</si>
  <si>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</si>
  <si>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</si>
  <si>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</si>
  <si>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</si>
  <si>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</si>
  <si>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</si>
  <si>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</si>
  <si>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</si>
  <si>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</si>
  <si>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</si>
  <si>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</si>
  <si>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</si>
  <si>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</si>
  <si>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</si>
  <si>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</si>
  <si>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</si>
  <si>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</si>
  <si>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</si>
  <si>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</si>
  <si>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</si>
  <si>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</si>
  <si>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</si>
  <si>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</si>
  <si>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</si>
  <si>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</si>
  <si>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</si>
  <si>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</si>
  <si>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</si>
  <si>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</si>
  <si>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</si>
  <si>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</si>
  <si>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</si>
  <si>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</si>
  <si>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</si>
  <si>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</si>
  <si>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</si>
  <si>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</si>
  <si>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</si>
  <si>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</si>
  <si>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</si>
  <si>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</si>
  <si>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</si>
  <si>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</si>
  <si>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</si>
  <si>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</si>
  <si>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</si>
  <si>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</si>
  <si>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</si>
  <si>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</si>
  <si>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</si>
  <si>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</si>
  <si>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</si>
  <si>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</si>
  <si>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</si>
  <si>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</si>
  <si>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</si>
  <si>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</si>
  <si>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</si>
  <si>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</si>
  <si>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</si>
  <si>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</si>
  <si>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</si>
  <si>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</si>
  <si>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</si>
  <si>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</si>
  <si>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</si>
  <si>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</si>
  <si>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</si>
  <si>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</si>
  <si>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</si>
  <si>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</si>
  <si>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</si>
  <si>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</si>
  <si>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</si>
  <si>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</si>
  <si>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</si>
  <si>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</si>
  <si>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</si>
  <si>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</si>
  <si>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</si>
  <si>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</si>
  <si>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</si>
  <si>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</si>
  <si>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</si>
  <si>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</si>
  <si>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</si>
  <si>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</si>
  <si>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</si>
  <si>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</si>
  <si>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</si>
  <si>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</si>
  <si>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</si>
  <si>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</si>
  <si>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</si>
  <si>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</si>
  <si>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</si>
  <si>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</si>
  <si>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</si>
  <si>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</si>
  <si>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</si>
  <si>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</si>
  <si>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</si>
  <si>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</si>
  <si>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</si>
  <si>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</si>
  <si>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</si>
  <si>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</si>
  <si>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</si>
  <si>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</si>
  <si>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</si>
  <si>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</si>
  <si>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</si>
  <si>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</si>
  <si>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</si>
  <si>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</si>
  <si>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</si>
  <si>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</si>
  <si>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</si>
  <si>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</si>
  <si>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</si>
  <si>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</si>
  <si>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</si>
  <si>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</si>
  <si>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</si>
  <si>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</si>
  <si>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</si>
  <si>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</si>
  <si>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</si>
  <si>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</si>
  <si>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</si>
  <si>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</si>
  <si>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</si>
  <si>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</si>
  <si>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</si>
  <si>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</si>
  <si>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</si>
  <si>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</si>
  <si>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</si>
  <si>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</si>
  <si>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</si>
  <si>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</si>
  <si>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</si>
  <si>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</si>
  <si>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</si>
  <si>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</si>
  <si>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</si>
  <si>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</si>
  <si>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</si>
  <si>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</si>
  <si>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</si>
  <si>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</si>
  <si>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</si>
  <si>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</si>
  <si>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</si>
  <si>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</si>
  <si>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</si>
  <si>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</si>
  <si>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</si>
  <si>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</si>
  <si>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</si>
  <si>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</si>
  <si>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</si>
  <si>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</si>
  <si>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</si>
  <si>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</si>
  <si>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</si>
  <si>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</si>
  <si>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</si>
  <si>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</si>
  <si>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</si>
  <si>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</si>
  <si>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</si>
  <si>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</si>
  <si>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</si>
  <si>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</si>
  <si>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</si>
  <si>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</si>
  <si>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</si>
  <si>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</si>
  <si>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</si>
  <si>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</si>
  <si>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</si>
  <si>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</si>
  <si>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</si>
  <si>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</si>
  <si>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</si>
  <si>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</si>
  <si>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</si>
  <si>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</si>
  <si>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</si>
  <si>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</si>
  <si>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</si>
  <si>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</si>
  <si>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</si>
  <si>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</si>
  <si>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</si>
  <si>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</si>
  <si>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</si>
  <si>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</si>
  <si>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</si>
  <si>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</si>
  <si>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</si>
  <si>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</si>
  <si>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</si>
  <si>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</si>
  <si>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</si>
  <si>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</si>
  <si>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</si>
  <si>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</si>
  <si>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</si>
  <si>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</si>
  <si>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</si>
  <si>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</si>
  <si>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</si>
  <si>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</si>
  <si>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</si>
  <si>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</si>
  <si>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</si>
  <si>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</si>
  <si>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</si>
  <si>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</si>
  <si>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</si>
  <si>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</si>
  <si>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</si>
  <si>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</si>
  <si>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</si>
  <si>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</si>
  <si>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</si>
  <si>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</si>
  <si>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</si>
  <si>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</si>
  <si>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</si>
  <si>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</si>
  <si>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</si>
  <si>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</si>
  <si>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</si>
  <si>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</si>
  <si>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</si>
  <si>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</si>
  <si>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</si>
  <si>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</si>
  <si>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</si>
  <si>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</si>
  <si>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</si>
  <si>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</si>
  <si>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</si>
  <si>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</si>
  <si>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</si>
  <si>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</si>
  <si>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</si>
  <si>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</si>
  <si>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</si>
  <si>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</si>
  <si>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</si>
  <si>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</si>
  <si>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</si>
  <si>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</si>
  <si>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</si>
  <si>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</si>
  <si>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</si>
  <si>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</si>
  <si>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</si>
  <si>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</si>
  <si>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</si>
  <si>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</si>
  <si>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</si>
  <si>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</si>
  <si>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</si>
  <si>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</si>
  <si>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</si>
  <si>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</si>
  <si>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</si>
  <si>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</si>
  <si>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</si>
  <si>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</si>
  <si>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</si>
  <si>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</si>
  <si>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</si>
  <si>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</si>
  <si>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</si>
  <si>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</si>
  <si>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</si>
  <si>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</si>
  <si>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</si>
  <si>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</si>
  <si>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</si>
  <si>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</si>
  <si>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</si>
  <si>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</si>
  <si>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</si>
  <si>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</si>
  <si>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</si>
  <si>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</si>
  <si>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</si>
  <si>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</si>
  <si>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</si>
  <si>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</si>
  <si>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</si>
  <si>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</si>
  <si>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</si>
  <si>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</si>
  <si>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</si>
  <si>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</si>
  <si>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</si>
  <si>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</si>
  <si>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</si>
  <si>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</si>
  <si>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</si>
  <si>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</si>
  <si>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</si>
  <si>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</si>
  <si>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</si>
  <si>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</si>
  <si>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</si>
  <si>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</si>
  <si>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</si>
  <si>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</si>
  <si>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</si>
  <si>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</si>
  <si>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</si>
  <si>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</si>
  <si>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</si>
  <si>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</si>
  <si>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</si>
  <si>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</si>
  <si>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</si>
  <si>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</si>
  <si>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</si>
  <si>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</si>
  <si>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</si>
  <si>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</si>
  <si>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</si>
  <si>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</si>
  <si>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</si>
  <si>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</si>
  <si>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</si>
  <si>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</si>
  <si>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</si>
  <si>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</si>
  <si>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</si>
  <si>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</si>
  <si>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</si>
  <si>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</si>
  <si>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</si>
  <si>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</si>
  <si>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</si>
  <si>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</si>
  <si>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</si>
  <si>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</si>
  <si>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</si>
  <si>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</si>
  <si>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</si>
  <si>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</si>
  <si>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</si>
  <si>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</si>
  <si>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</si>
  <si>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</si>
  <si>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</si>
  <si>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</si>
  <si>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</si>
  <si>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</si>
  <si>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</si>
  <si>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</si>
  <si>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</si>
  <si>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</si>
  <si>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</si>
  <si>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</si>
  <si>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</si>
  <si>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</si>
  <si>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</si>
  <si>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</si>
  <si>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</si>
  <si>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</si>
  <si>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</si>
  <si>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</si>
  <si>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</si>
  <si>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</si>
  <si>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</si>
  <si>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</si>
  <si>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</si>
  <si>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</si>
  <si>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</si>
  <si>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</si>
  <si>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</si>
  <si>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</si>
  <si>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</si>
  <si>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</si>
  <si>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</si>
  <si>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</si>
  <si>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</si>
  <si>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</si>
  <si>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</si>
  <si>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</si>
  <si>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</si>
  <si>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</si>
  <si>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</si>
  <si>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</si>
  <si>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</si>
  <si>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</si>
  <si>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</si>
  <si>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</si>
  <si>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</si>
  <si>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</si>
  <si>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</si>
  <si>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</si>
  <si>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</si>
  <si>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</si>
  <si>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</si>
  <si>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</si>
  <si>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</si>
  <si>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</si>
  <si>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</si>
  <si>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</si>
  <si>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</si>
  <si>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</si>
  <si>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</si>
  <si>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</si>
  <si>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</si>
  <si>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</si>
  <si>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</si>
  <si>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</si>
  <si>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</si>
  <si>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</si>
  <si>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</si>
  <si>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</si>
  <si>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</si>
  <si>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</si>
  <si>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</si>
  <si>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</si>
  <si>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</si>
  <si>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</si>
  <si>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</si>
  <si>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</si>
  <si>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</si>
  <si>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</si>
  <si>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</si>
  <si>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</si>
  <si>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</si>
  <si>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</si>
  <si>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</si>
  <si>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</si>
  <si>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</si>
  <si>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</si>
  <si>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</si>
  <si>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</si>
  <si>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</si>
  <si>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</si>
  <si>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</si>
  <si>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</si>
  <si>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</si>
  <si>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</si>
  <si>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</si>
  <si>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</si>
  <si>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</si>
  <si>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</si>
  <si>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</si>
  <si>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</si>
  <si>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</si>
  <si>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</si>
  <si>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</si>
  <si>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</si>
  <si>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</si>
  <si>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</si>
  <si>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</si>
  <si>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</si>
  <si>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</si>
  <si>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</si>
  <si>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</si>
  <si>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</si>
  <si>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</si>
  <si>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</si>
  <si>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</si>
  <si>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</si>
  <si>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</si>
  <si>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</si>
  <si>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</si>
  <si>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</si>
  <si>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</si>
  <si>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</si>
  <si>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</si>
  <si>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</si>
  <si>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</si>
  <si>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</si>
  <si>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</si>
  <si>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</si>
  <si>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</si>
  <si>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</si>
  <si>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</si>
  <si>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</si>
  <si>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</si>
  <si>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</si>
  <si>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</si>
  <si>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</si>
  <si>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</si>
  <si>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</si>
  <si>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</si>
  <si>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</si>
  <si>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</si>
  <si>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</si>
  <si>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</si>
  <si>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</si>
  <si>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</si>
  <si>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</si>
  <si>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</si>
  <si>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</si>
  <si>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</si>
  <si>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</si>
  <si>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</si>
  <si>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</si>
  <si>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</si>
  <si>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</si>
  <si>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</si>
  <si>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</si>
  <si>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</si>
  <si>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</si>
  <si>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</si>
  <si>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</si>
  <si>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</si>
  <si>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</si>
  <si>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</si>
  <si>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</si>
  <si>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</si>
  <si>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</si>
  <si>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</si>
  <si>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</si>
  <si>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</si>
  <si>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</si>
  <si>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</si>
  <si>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</si>
  <si>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</si>
  <si>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</si>
  <si>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</si>
  <si>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</si>
  <si>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</si>
  <si>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</si>
  <si>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</si>
  <si>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</si>
  <si>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</si>
  <si>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</si>
  <si>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</si>
  <si>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</si>
  <si>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</si>
  <si>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</si>
  <si>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</si>
  <si>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</si>
  <si>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</si>
  <si>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</si>
  <si>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</si>
  <si>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</si>
  <si>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</si>
  <si>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</si>
  <si>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</si>
  <si>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</si>
  <si>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</si>
  <si>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</si>
  <si>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</si>
  <si>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</si>
  <si>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</si>
  <si>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</si>
  <si>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</si>
  <si>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</si>
  <si>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</si>
  <si>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</si>
  <si>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</si>
  <si>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</si>
  <si>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</si>
  <si>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</si>
  <si>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</si>
  <si>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</si>
  <si>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</si>
  <si>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</si>
  <si>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</si>
  <si>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</si>
  <si>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</si>
  <si>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</si>
  <si>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</si>
  <si>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</si>
  <si>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</si>
  <si>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</si>
  <si>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</si>
  <si>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</si>
  <si>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</si>
  <si>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</si>
  <si>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</si>
  <si>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</si>
  <si>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</si>
  <si>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</si>
  <si>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</si>
  <si>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</si>
  <si>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</si>
  <si>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</si>
  <si>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</si>
  <si>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</si>
  <si>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</si>
  <si>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</si>
  <si>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</si>
  <si>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</si>
  <si>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</si>
  <si>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</si>
  <si>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</si>
  <si>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</si>
  <si>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</si>
  <si>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</si>
  <si>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</si>
  <si>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</si>
  <si>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</si>
  <si>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</si>
  <si>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</si>
  <si>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</si>
  <si>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</si>
  <si>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</si>
  <si>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</si>
  <si>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</si>
  <si>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</si>
  <si>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</si>
  <si>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</si>
  <si>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</si>
  <si>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</si>
  <si>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</si>
  <si>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</si>
  <si>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</si>
  <si>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</si>
  <si>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</si>
  <si>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</si>
  <si>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</si>
  <si>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</si>
  <si>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</si>
  <si>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</si>
  <si>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</si>
  <si>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</si>
  <si>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</si>
  <si>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</si>
  <si>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</si>
  <si>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</si>
  <si>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</si>
  <si>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</si>
  <si>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</si>
  <si>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</si>
  <si>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</si>
  <si>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</si>
  <si>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</si>
  <si>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</si>
  <si>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</si>
  <si>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</si>
  <si>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</si>
  <si>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</si>
  <si>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</si>
  <si>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</si>
  <si>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</si>
  <si>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</si>
  <si>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</si>
  <si>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</si>
  <si>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</si>
  <si>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</si>
  <si>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</si>
  <si>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</si>
  <si>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</si>
  <si>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</si>
  <si>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</si>
  <si>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</si>
  <si>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</si>
  <si>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</si>
  <si>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</si>
  <si>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</si>
  <si>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</si>
  <si>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</si>
  <si>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</si>
  <si>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</si>
  <si>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</si>
  <si>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</si>
  <si>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</si>
  <si>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</si>
  <si>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</si>
  <si>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</si>
  <si>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</si>
  <si>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</si>
  <si>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</si>
  <si>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</si>
  <si>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</si>
  <si>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</si>
  <si>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</si>
  <si>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</si>
  <si>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</si>
  <si>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</si>
  <si>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</si>
  <si>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</si>
  <si>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</si>
  <si>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</si>
  <si>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</si>
  <si>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</si>
  <si>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</si>
  <si>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</si>
  <si>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</si>
  <si>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</si>
  <si>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</si>
  <si>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</si>
  <si>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</si>
  <si>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</si>
  <si>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</si>
  <si>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</si>
  <si>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</si>
  <si>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</si>
  <si>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</si>
  <si>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</si>
  <si>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</si>
  <si>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</si>
  <si>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</si>
  <si>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</si>
  <si>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</si>
  <si>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</si>
  <si>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</si>
  <si>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</si>
  <si>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</si>
  <si>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</si>
  <si>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</si>
  <si>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</si>
  <si>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</si>
  <si>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</si>
  <si>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</si>
  <si>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</si>
  <si>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</si>
  <si>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</si>
  <si>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</si>
  <si>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</si>
  <si>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</si>
  <si>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</si>
  <si>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</si>
  <si>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</si>
  <si>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</si>
  <si>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</si>
  <si>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</si>
  <si>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</si>
  <si>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</si>
  <si>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</si>
  <si>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</si>
  <si>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</si>
  <si>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</si>
  <si>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</si>
  <si>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</si>
  <si>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</si>
  <si>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</si>
  <si>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</si>
  <si>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</si>
  <si>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</si>
  <si>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</si>
  <si>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</si>
  <si>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</si>
  <si>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</si>
  <si>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</si>
  <si>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</si>
  <si>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</si>
  <si>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</si>
  <si>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</si>
  <si>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</si>
  <si>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</si>
  <si>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</si>
  <si>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</si>
  <si>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</si>
  <si>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</si>
  <si>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</si>
  <si>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</si>
  <si>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</si>
  <si>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</si>
  <si>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</si>
  <si>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</si>
  <si>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</si>
  <si>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</si>
  <si>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</si>
  <si>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</si>
  <si>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</si>
  <si>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</si>
  <si>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</si>
  <si>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</si>
  <si>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</si>
  <si>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</si>
  <si>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</si>
  <si>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</si>
  <si>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</si>
  <si>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</si>
  <si>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</si>
  <si>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</si>
  <si>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</si>
  <si>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</si>
  <si>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</si>
  <si>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</si>
  <si>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</si>
  <si>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</si>
  <si>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</si>
  <si>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</si>
  <si>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</si>
  <si>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</si>
  <si>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</si>
  <si>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</si>
  <si>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</si>
  <si>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</si>
  <si>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</si>
  <si>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</si>
  <si>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</si>
  <si>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</si>
  <si>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</si>
  <si>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</si>
  <si>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</si>
  <si>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</si>
  <si>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</si>
  <si>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</si>
  <si>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</si>
  <si>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</si>
  <si>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</si>
  <si>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</si>
  <si>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</si>
  <si>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</si>
  <si>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</si>
  <si>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</si>
  <si>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</si>
  <si>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</si>
  <si>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</si>
  <si>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</si>
  <si>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</si>
  <si>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</si>
  <si>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</si>
  <si>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</si>
  <si>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</si>
  <si>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</si>
  <si>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</si>
  <si>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</si>
  <si>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</si>
  <si>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</si>
  <si>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</si>
  <si>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</si>
  <si>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</si>
  <si>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</si>
  <si>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</si>
  <si>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</si>
  <si>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</si>
  <si>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</si>
  <si>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</si>
  <si>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</si>
  <si>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</si>
  <si>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</si>
  <si>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</si>
  <si>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</si>
  <si>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</si>
  <si>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</si>
  <si>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</si>
  <si>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</si>
  <si>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</si>
  <si>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</si>
  <si>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</si>
  <si>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</si>
  <si>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</si>
  <si>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</si>
  <si>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</si>
  <si>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</si>
  <si>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</si>
  <si>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</si>
  <si>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</si>
  <si>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</si>
  <si>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</si>
  <si>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</si>
  <si>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</si>
  <si>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</si>
  <si>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</si>
  <si>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</si>
  <si>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</si>
  <si>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</si>
  <si>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</si>
  <si>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</si>
  <si>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</si>
  <si>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</si>
  <si>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</si>
  <si>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</si>
  <si>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</si>
  <si>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</si>
  <si>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</si>
  <si>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</si>
  <si>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</si>
  <si>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</si>
  <si>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</si>
  <si>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</si>
  <si>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</si>
  <si>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</si>
  <si>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</si>
  <si>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</si>
  <si>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</si>
  <si>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</si>
  <si>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</si>
  <si>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</si>
  <si>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</si>
  <si>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</si>
  <si>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</si>
  <si>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</si>
  <si>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</si>
  <si>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</si>
  <si>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</si>
  <si>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</si>
  <si>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</si>
  <si>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</si>
  <si>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</si>
  <si>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</si>
  <si>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</si>
  <si>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</si>
  <si>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</si>
  <si>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</si>
  <si>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</si>
  <si>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</si>
  <si>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</si>
  <si>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</si>
  <si>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</si>
  <si>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</si>
  <si>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</si>
  <si>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</si>
  <si>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</si>
  <si>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</si>
  <si>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</si>
  <si>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</si>
  <si>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</si>
  <si>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</si>
  <si>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</si>
  <si>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</si>
  <si>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</si>
  <si>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</si>
  <si>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</si>
  <si>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</si>
  <si>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</si>
  <si>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</si>
  <si>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</si>
  <si>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</si>
  <si>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</si>
  <si>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</si>
  <si>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</si>
  <si>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</si>
  <si>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</si>
  <si>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</si>
  <si>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</si>
  <si>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</si>
  <si>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</si>
  <si>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</si>
  <si>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</si>
  <si>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</si>
  <si>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</si>
  <si>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</si>
  <si>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</si>
  <si>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</si>
  <si>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</si>
  <si>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</si>
  <si>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</si>
  <si>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</si>
  <si>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</si>
  <si>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</si>
  <si>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</si>
  <si>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</si>
  <si>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</si>
  <si>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</si>
  <si>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</si>
  <si>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</si>
  <si>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</si>
  <si>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</si>
  <si>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</si>
  <si>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</si>
  <si>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</si>
  <si>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</si>
  <si>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</si>
  <si>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</si>
  <si>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</si>
  <si>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</si>
  <si>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</si>
  <si>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</si>
  <si>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</si>
  <si>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</si>
  <si>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</si>
  <si>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</si>
  <si>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</si>
  <si>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</si>
  <si>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</si>
  <si>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</si>
  <si>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</si>
  <si>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</si>
  <si>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</si>
  <si>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</si>
  <si>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</si>
  <si>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</si>
  <si>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</si>
  <si>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</si>
  <si>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</si>
  <si>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</si>
  <si>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</si>
  <si>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</si>
  <si>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</si>
  <si>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</si>
  <si>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</si>
  <si>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</si>
  <si>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</si>
  <si>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</si>
  <si>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</si>
  <si>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</si>
  <si>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</si>
  <si>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</si>
  <si>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</si>
  <si>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</si>
  <si>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</si>
  <si>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</si>
  <si>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</si>
  <si>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</si>
  <si>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</si>
  <si>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</si>
  <si>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</si>
  <si>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</si>
  <si>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</si>
  <si>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</si>
  <si>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</si>
  <si>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</si>
  <si>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</si>
  <si>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</si>
  <si>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</si>
  <si>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</si>
  <si>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</si>
  <si>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</si>
  <si>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</si>
  <si>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</si>
  <si>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</si>
  <si>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</si>
  <si>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</si>
  <si>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</si>
  <si>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</si>
  <si>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</si>
  <si>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</si>
  <si>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</si>
  <si>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</si>
  <si>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</si>
  <si>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</si>
  <si>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</si>
  <si>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</si>
  <si>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</si>
  <si>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</si>
  <si>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</si>
  <si>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</si>
  <si>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</si>
  <si>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</si>
  <si>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</si>
  <si>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</si>
  <si>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</si>
  <si>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</si>
  <si>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</si>
  <si>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</si>
  <si>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</si>
  <si>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</si>
  <si>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</si>
  <si>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</si>
  <si>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</si>
  <si>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</si>
  <si>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</si>
  <si>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</si>
  <si>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</si>
  <si>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</si>
  <si>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</si>
  <si>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</si>
  <si>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</si>
  <si>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</si>
  <si>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</si>
  <si>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</si>
  <si>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</si>
  <si>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</si>
  <si>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</si>
  <si>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</si>
  <si>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</si>
  <si>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</si>
  <si>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</si>
  <si>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</si>
  <si>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</si>
  <si>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</si>
  <si>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</si>
  <si>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</si>
  <si>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</si>
  <si>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</si>
  <si>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</si>
  <si>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</si>
  <si>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</si>
  <si>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</si>
  <si>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</si>
  <si>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</si>
  <si>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</si>
  <si>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</si>
  <si>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</si>
  <si>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</si>
  <si>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</si>
  <si>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</si>
  <si>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</si>
  <si>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</si>
  <si>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</si>
  <si>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</si>
  <si>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</si>
  <si>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</si>
  <si>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</si>
  <si>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</si>
  <si>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</si>
  <si>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</si>
  <si>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</si>
  <si>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</si>
  <si>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</si>
  <si>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</si>
  <si>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</si>
  <si>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</si>
  <si>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</si>
  <si>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</si>
  <si>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</si>
  <si>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</si>
  <si>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</si>
  <si>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</si>
  <si>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</si>
  <si>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</si>
  <si>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</si>
  <si>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</si>
  <si>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</si>
  <si>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</si>
  <si>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</si>
  <si>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</si>
  <si>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</si>
  <si>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</si>
  <si>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</si>
  <si>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</si>
  <si>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</si>
  <si>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</si>
  <si>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</si>
  <si>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</si>
  <si>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</si>
  <si>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</si>
  <si>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</si>
  <si>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</si>
  <si>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</si>
  <si>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</si>
  <si>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</si>
  <si>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</si>
  <si>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</si>
  <si>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</si>
  <si>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</si>
  <si>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</si>
  <si>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</si>
  <si>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</si>
  <si>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</si>
  <si>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</si>
  <si>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</si>
  <si>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</si>
  <si>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</si>
  <si>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</si>
  <si>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</si>
  <si>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</si>
  <si>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</si>
  <si>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</si>
  <si>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</si>
  <si>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</si>
  <si>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</si>
  <si>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</si>
  <si>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</si>
  <si>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</si>
  <si>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</si>
  <si>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</si>
  <si>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</si>
  <si>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</si>
  <si>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</si>
  <si>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</si>
  <si>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</si>
  <si>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</si>
  <si>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</si>
  <si>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</si>
  <si>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</si>
  <si>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</si>
  <si>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</si>
  <si>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</si>
  <si>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</si>
  <si>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</si>
  <si>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</si>
  <si>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</si>
  <si>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</si>
  <si>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</si>
  <si>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</si>
  <si>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</si>
  <si>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</si>
  <si>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</si>
  <si>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Lakeview</t>
  </si>
  <si>
    <t>Teri Bowman</t>
  </si>
  <si>
    <t>Fugitive</t>
  </si>
  <si>
    <t>Gallons</t>
  </si>
  <si>
    <t>GCI Lakeview Natural Mineral SCM Facility</t>
  </si>
  <si>
    <t>1800 Texas Ave</t>
  </si>
  <si>
    <t>(208) 844-0742</t>
  </si>
  <si>
    <t>RFO</t>
  </si>
  <si>
    <t>Recycled/Repurposed Fuel Oil Storage Tanks (includes both tanks)</t>
  </si>
  <si>
    <t>RFO-1/RFO-2</t>
  </si>
  <si>
    <t>DU01</t>
  </si>
  <si>
    <t>Dryer/Burner (23.5 MMBtu/hr)</t>
  </si>
  <si>
    <t>Low NOx Burner &amp; Flue Gas Recirculation</t>
  </si>
  <si>
    <t>DU01BH1</t>
  </si>
  <si>
    <t>Fuel Oil Combusted</t>
  </si>
  <si>
    <t>lb/1000 gals</t>
  </si>
  <si>
    <t>AP-42 Table 1.3-9</t>
  </si>
  <si>
    <t>Benzo[b,k]fluoranthene</t>
  </si>
  <si>
    <t>Butyl Benzyl Phthalate</t>
  </si>
  <si>
    <t>AP-42 Table 1.3-9; 100% Benzo[b,k]fluoranthene assumed as benzo(b)fluoranthene</t>
  </si>
  <si>
    <t>AP-42 Table 1.3-11</t>
  </si>
  <si>
    <t>AP-42 Table 1.11-5</t>
  </si>
  <si>
    <t xml:space="preserve">AP-42 Table 1.11-5 </t>
  </si>
  <si>
    <t>AP-42 Table 1.11-5 - Dichlorobenzene</t>
  </si>
  <si>
    <t>239</t>
  </si>
  <si>
    <t>Hydrochloric Acid</t>
  </si>
  <si>
    <t>molybdenum Trioxide</t>
  </si>
  <si>
    <t>AP-42 Table 1.11-5 based on type of burner Atomizing</t>
  </si>
  <si>
    <t>S1</t>
  </si>
  <si>
    <t>Raw Material Silo A1 (Natural Pozzolan)</t>
  </si>
  <si>
    <t>Dust Collector/Bin Vent Filter</t>
  </si>
  <si>
    <t>S1BH2</t>
  </si>
  <si>
    <t>S2BH3</t>
  </si>
  <si>
    <t>AP-42 Table 1.3-11; Molybdenum to Moly trioxide Mol Wt raio</t>
  </si>
  <si>
    <t>hr/year</t>
  </si>
  <si>
    <t>hours operation per yr</t>
  </si>
  <si>
    <t>lb/hr</t>
  </si>
  <si>
    <t>PM10 emissions* Max % of Material/Chemical per SDS</t>
  </si>
  <si>
    <t>PM10 emissions* Max% of chemical per SDS*Ratio of molWt aluminum/aluminum Oxide</t>
  </si>
  <si>
    <t>S2</t>
  </si>
  <si>
    <t>S3</t>
  </si>
  <si>
    <t>S4</t>
  </si>
  <si>
    <t>Raw Material Silo B (Lime)</t>
  </si>
  <si>
    <t>Raw Material Silo C (Lime)</t>
  </si>
  <si>
    <t>S3BH4</t>
  </si>
  <si>
    <t>S4BH5</t>
  </si>
  <si>
    <t>PM10 emission * Max % of Silicon Oxide + Quartz per SDS</t>
  </si>
  <si>
    <t>S6</t>
  </si>
  <si>
    <t>Product Pozzoslag 2.0 Silo 1</t>
  </si>
  <si>
    <t>Product Pozzoslag 2.0 Silo 2</t>
  </si>
  <si>
    <t>Product Pozzoslag 3.0 Silo 1</t>
  </si>
  <si>
    <t>S7</t>
  </si>
  <si>
    <t>S8</t>
  </si>
  <si>
    <t>S6BH7</t>
  </si>
  <si>
    <t>S7BH8</t>
  </si>
  <si>
    <t>S8BH9</t>
  </si>
  <si>
    <t>PM10 emissions* Max % of chemical in quicklime and Natural SCM</t>
  </si>
  <si>
    <t>PM10 emissions* Max% of chemical in Natural SCM*Ratio of molWt aluminum/aluminum Oxide</t>
  </si>
  <si>
    <t>R1</t>
  </si>
  <si>
    <t>R2</t>
  </si>
  <si>
    <t>R3</t>
  </si>
  <si>
    <t>R4</t>
  </si>
  <si>
    <t>R5</t>
  </si>
  <si>
    <t>Reactor 1 Surge Hopper (Inside Reactor Bldg.)</t>
  </si>
  <si>
    <t>Reactor 2 Surge Hopper (Inside Reactor Bldg.)</t>
  </si>
  <si>
    <t>Reactor 3 Surge Hopper (Inside Reactor Bldg.)</t>
  </si>
  <si>
    <t>Reactor 4 Surge Hopper (Inside Reactor Bldg.)</t>
  </si>
  <si>
    <t>Reactor Receiver (Inside Reactor Bldg.)</t>
  </si>
  <si>
    <t>R1BH10</t>
  </si>
  <si>
    <t>R2BH11</t>
  </si>
  <si>
    <t>R3BH12</t>
  </si>
  <si>
    <t>R4BH13</t>
  </si>
  <si>
    <t>R5BH14</t>
  </si>
  <si>
    <t>RL1</t>
  </si>
  <si>
    <t>TL1</t>
  </si>
  <si>
    <t>SP1</t>
  </si>
  <si>
    <t>P2/P3 Rail loadout chute</t>
  </si>
  <si>
    <t>P2/P3 Truck loadout chute</t>
  </si>
  <si>
    <t>RL1CF1</t>
  </si>
  <si>
    <t>TL1CF2</t>
  </si>
  <si>
    <t>PM10 emissions* Max % of Material/Chemical per natural Pozz SDS</t>
  </si>
  <si>
    <t>AP-42 Table 1.11-3</t>
  </si>
  <si>
    <t>AP-42 Table 1.11-4</t>
  </si>
  <si>
    <t>Ap-42 Table 1.3-9</t>
  </si>
  <si>
    <t>1. - Chemical percentage from SDSs were used in calculations of pollutant emissions</t>
  </si>
  <si>
    <t>4. - Polycarboxylate (poly) can range from 0-6 lb/ton in the final product. Poly is a commonly used water reducer in ready-mix concrete</t>
  </si>
  <si>
    <t>3. - TEA99 chemical can range from 0-5 lb/ton in the final product. TEA is a common grinding aide used in the mineral industry</t>
  </si>
  <si>
    <t>5. - Lime will be less than 1% of the final product</t>
  </si>
  <si>
    <t>8. - Natural Pozzolan has 4 - 8% aluminum oxide, 6.5% was used to calculate pollutant emissions.  Per DEQ we converted Aluminum Oxide EF to</t>
  </si>
  <si>
    <t>NOTE:</t>
  </si>
  <si>
    <t>10.  Per DEQ Molybdenum (Mo) was converted to Molybdenum Trioxide (MoO3) using the ratio of molecular weight.</t>
  </si>
  <si>
    <t>tpy</t>
  </si>
  <si>
    <t xml:space="preserve">9. To be consistent for dryer/burner emissions AP-42: Chapters 1.3 or 1.11 factors were mainly used, analytical data was used to calculate emission where required per AP-42. </t>
  </si>
  <si>
    <t>12. The calculation for SP1 the % of time unobstructed wind speed was 12 mph or greater was used, to be consistent with the EPA recommended calculations for storage piles.</t>
  </si>
  <si>
    <t>the wind speed data used was provided by DEQ</t>
  </si>
  <si>
    <t>received material is 20-22% moisture, dust abatement as needed.</t>
  </si>
  <si>
    <t>11. Moisture was completely removed from the calculations for the outside raw material storage pile (SP1), even though the material will roughly range in moisture content of 20-22% as received</t>
  </si>
  <si>
    <t>2. -  TEA99 and Polycarboxylate chemicals were not included because they did not included any chemical listed on the DEQ Pollutant list</t>
  </si>
  <si>
    <t xml:space="preserve">6. - To be ultra conservative and eliminate confusion with the calculations and mass balances, we used the exact percentage of chemicals in each SDS </t>
  </si>
  <si>
    <t>throughout the  processes for all emission sources, which means emissions are over-estimated.</t>
  </si>
  <si>
    <t>2% respirable crystalline silica and the quicklime SDS silicon oxide 1%  &amp; quartz 0.05%</t>
  </si>
  <si>
    <t>Aluminum &amp; Compounds using the ratio of molecular weights (aluminum 26.982/aluminum oxide 101.96)</t>
  </si>
  <si>
    <t xml:space="preserve">7. - For reactors, final product storage silos, and loadout operations 3.5% was used for respirable crystalline silica, which includes the Natural Pozz SDS </t>
  </si>
  <si>
    <t>PM10 emissions * analytical analysis in weight percent</t>
  </si>
  <si>
    <t>AP-42 Tabl3 1.3-11</t>
  </si>
  <si>
    <t>CU01</t>
  </si>
  <si>
    <t>Product Recovery Baghouse associated with the dryer</t>
  </si>
  <si>
    <t>Baghouse</t>
  </si>
  <si>
    <t>CU01BH1</t>
  </si>
  <si>
    <t>AP-42 Table 1.3-9 Combustion fuel based</t>
  </si>
  <si>
    <t>Calculated in GCI LV Tank Calcs (AP-43 2023) (12-15-2023).xlsx</t>
  </si>
  <si>
    <t>RWMFH</t>
  </si>
  <si>
    <t>SP2 (RWMSB-TUL)</t>
  </si>
  <si>
    <t>Raw wet material feed hopper</t>
  </si>
  <si>
    <t>Enclosed Raw wet material storage bldg/truck unloading bldg.</t>
  </si>
  <si>
    <t>Outside Storage Pile for wind erosion</t>
  </si>
  <si>
    <t>SP1-Storage</t>
  </si>
  <si>
    <t>SP1-OTUL</t>
  </si>
  <si>
    <t>Outside Storage Pile Material Handling, (Unloading/Loading)</t>
  </si>
  <si>
    <t>SP2-RWMSB</t>
  </si>
  <si>
    <t>O-TUL</t>
  </si>
  <si>
    <t>Raw SCM analytical data weight % * PM10 of CU01 (3.16E-05*0.50799)</t>
  </si>
  <si>
    <t>Raw SCM analytical data weight % * PM10 of CU01 (2.710E-05*0.50799)</t>
  </si>
  <si>
    <t>Raw SCM analytical data weight % * PM10 of CU01 (7.0E-08*0.50799)</t>
  </si>
  <si>
    <t>Raw SCM analytical data weight % * PM10 of CU01 (1.0E-06*0.50799)</t>
  </si>
  <si>
    <t>Raw SCM analytical data weight % * PM10 of CU01 (8.51E-05*0.50799)</t>
  </si>
  <si>
    <t>Raw SCM analytical data weight % * PM10 of CU01 (5.70E-09*0.50799)</t>
  </si>
  <si>
    <t>Raw SCM analytical data weight % * PM10 of CU01 (2.0E-07*0.50799)</t>
  </si>
  <si>
    <t>Raw SCM analytical data weight % * PM10 of CU01 (7.0E-06*0.50799)</t>
  </si>
  <si>
    <t>Raw SCM analytical data weight % * PM10 of CU01 (3.0E-07*0.50799)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</si>
</sst>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3" fontId="19" fillId="0" borderId="15" xfId="0" applyNumberFormat="1" applyFont="1" applyBorder="1" applyAlignment="1" applyProtection="1">
      <alignment horizontal="center"/>
      <protection locked="0"/>
    </xf>
    <xf numFmtId="3" fontId="19" fillId="0" borderId="18" xfId="0" applyNumberFormat="1" applyFont="1" applyBorder="1" applyAlignment="1" applyProtection="1">
      <alignment horizontal="center"/>
      <protection locked="0"/>
    </xf>
    <xf numFmtId="3" fontId="19" fillId="0" borderId="13" xfId="0" applyNumberFormat="1" applyFont="1" applyBorder="1" applyAlignment="1" applyProtection="1">
      <alignment horizontal="center"/>
      <protection locked="0"/>
    </xf>
    <xf numFmtId="11" fontId="19" fillId="0" borderId="31" xfId="0" applyNumberFormat="1" applyFont="1" applyBorder="1" applyAlignment="1" applyProtection="1">
      <alignment horizontal="center"/>
      <protection locked="0"/>
    </xf>
    <xf numFmtId="11" fontId="19" fillId="0" borderId="49" xfId="0" applyNumberFormat="1" applyFont="1" applyBorder="1" applyAlignment="1" applyProtection="1">
      <alignment horizontal="center"/>
      <protection locked="0"/>
    </xf>
    <xf numFmtId="11" fontId="19" fillId="0" borderId="13" xfId="0" applyNumberFormat="1" applyFont="1" applyBorder="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11" fontId="19" fillId="0" borderId="34" xfId="0" applyNumberFormat="1" applyFont="1" applyBorder="1" applyAlignment="1" applyProtection="1">
      <alignment horizontal="center"/>
      <protection locked="0"/>
    </xf>
    <xf numFmtId="49" fontId="0" fillId="0" borderId="0" xfId="0" applyNumberFormat="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Teri Bowman" id="{78F471E7-1970-4235-AE1E-4247586B0CAF}" userId="S::Teri.Bowman@ecomaterial.com::f9538345-8b14-4401-b827-d47cd44eea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5" dT="2023-10-19T12:54:08.44" personId="{78F471E7-1970-4235-AE1E-4247586B0CAF}" id="{59EA6250-FD4D-4475-9D9E-14D5F54AEBAE}">
    <text>Includes both tanks and total plant throughput.</text>
  </threadedComment>
  <threadedComment ref="F18" dT="2023-07-31T19:30:03.80" personId="{78F471E7-1970-4235-AE1E-4247586B0CAF}" id="{D9CADCB3-7C5E-4722-B102-AE602A4002B4}">
    <text>Designed to load/unload 1 silo at a time, hours of operation split between silo 1 &amp; 2; total operation for both silos can never exceed 8760 hours/year</text>
  </threadedComment>
  <threadedComment ref="F19" dT="2023-07-31T19:30:03.80" personId="{78F471E7-1970-4235-AE1E-4247586B0CAF}" id="{490C1208-512C-49C8-B6A6-28118264017F}">
    <text>Designed to load/unload 1 silo at a time, hours of operation split between silo 1 &amp; 2; total operation for both silos can never exceed 8760 hours/year</text>
  </threadedComment>
  <threadedComment ref="F20" dT="2023-07-31T19:30:03.80" personId="{78F471E7-1970-4235-AE1E-4247586B0CAF}" id="{239101A9-8F52-4ADC-A6D2-0D45523D5BA8}">
    <text>Designed to load/unload 1 silo at a time, hours of operation split between silo 3 &amp; 4; total operation for both silos can never exceed 8760 hours/year</text>
  </threadedComment>
  <threadedComment ref="F21" dT="2023-07-31T19:30:03.80" personId="{78F471E7-1970-4235-AE1E-4247586B0CAF}" id="{9A900EFF-E9AE-42DD-9BC1-DEA38EF0730B}">
    <text>Designed to load/unload 1 silo at a time, hours of operation split between silo 3 &amp; 4; total operation for both silos can never exceed 8760 hours/year</text>
  </threadedComment>
  <threadedComment ref="F22" dT="2023-08-01T17:29:56.84" personId="{78F471E7-1970-4235-AE1E-4247586B0CAF}" id="{82144DBB-E276-4AE0-871A-2C704280AC5F}">
    <text>Design will only allow 1 silo at a time to operate.  Particulate emissions is calculated assuming each silo will be on line 2920 hours/year; The total for all 3 silos can never exceed 8760</text>
  </threadedComment>
  <threadedComment ref="F23" dT="2023-08-01T17:29:56.84" personId="{78F471E7-1970-4235-AE1E-4247586B0CAF}" id="{0D9AECE8-A58D-4C93-A26D-EE3F0E7C8EC6}">
    <text>Design will only allow 1 silo at a time to operate.  Particulate emissions is calculated assuming each silo will be on line 2920 hours/year; The total for all 3 silos can never exceed 8760</text>
  </threadedComment>
  <threadedComment ref="F24" dT="2023-08-01T17:29:56.84" personId="{78F471E7-1970-4235-AE1E-4247586B0CAF}" id="{7B37E02B-A5D5-4937-A446-3C5F402850D9}">
    <text>Design will only allow 1 silo at a time to operate.  Particulate emissions is calculated assuming each silo will be on line 2920 hours/year; The total for all 3 silos can never exceed 8760</text>
  </threadedComment>
</ThreadedComments>
</file>

<file path=xl/threadedComments/threadedComment2.xml><?xml version="1.0" encoding="utf-8"?>
<ThreadedComments xmlns="http://schemas.microsoft.com/office/spreadsheetml/2018/threadedcomments" xmlns:x="http://schemas.openxmlformats.org/spreadsheetml/2006/main">
  <threadedComment ref="I11" dT="2023-10-19T13:43:24.78" personId="{78F471E7-1970-4235-AE1E-4247586B0CAF}" id="{70BE57C8-D907-4923-9AA1-B5D2B7A9D3B1}">
    <text xml:space="preserve">AP42 Chapter 1.3 emission factors for  metal from No. 6 fuel oil combustion for dryer emission were used  first and foremost where emission factors were available; where emission factors were not available and to be ultra conservative  AP42 Chapter 1.11  emission factors for waste oil combustion were used. </text>
  </threadedComment>
  <threadedComment ref="E51" dT="2023-08-01T22:08:36.09" personId="{78F471E7-1970-4235-AE1E-4247586B0CAF}" id="{07CC8CE9-54A8-4A95-9136-66D4A0997C48}">
    <text xml:space="preserve">Control efficiency is already included in the PM10 emission lb/hr, and the PM10 lb/hr is used in the calculation for all speciated particulate emissions
</text>
  </threadedComment>
  <threadedComment ref="E54" dT="2023-08-01T22:08:36.09" personId="{78F471E7-1970-4235-AE1E-4247586B0CAF}" id="{7FD38168-CF29-406A-A4CF-B3349245839E}">
    <text xml:space="preserve">Control efficiency is already included in the PM10 emission lb/hr, and the PM10 lb/hr is used in the calculation for all speciated particulate emissions
</text>
  </threadedComment>
  <threadedComment ref="E64" dT="2023-08-01T22:08:36.09" personId="{78F471E7-1970-4235-AE1E-4247586B0CAF}" id="{ECD15F08-F699-430C-9EB8-061CEABA52DF}">
    <text xml:space="preserve">Control efficiency is already included in the PM10 emission lb/hr, and the PM10 lb/hr is used in the calculation for all speciated particulate emissions
</text>
  </threadedComment>
  <threadedComment ref="E79" dT="2023-08-01T22:08:36.09" personId="{78F471E7-1970-4235-AE1E-4247586B0CAF}" id="{140BD192-7818-4A0E-87E4-2BD8F1B6EBA7}">
    <text xml:space="preserve">Control efficiency is already included in the PM10 emission lb/hr, and the PM10 lb/hr is used in the calculation for all speciated particulate emissions
</text>
  </threadedComment>
  <threadedComment ref="E81" dT="2023-08-01T22:08:36.09" personId="{78F471E7-1970-4235-AE1E-4247586B0CAF}" id="{58555808-10C7-4B45-AFB3-5E1AAB1D7344}">
    <text xml:space="preserve">Control efficiency is already included in the PM10 emission lb/hr, and the PM10 lb/hr is used in the calculation for all speciated particulate emissions
</text>
  </threadedComment>
  <threadedComment ref="E83" dT="2023-08-01T22:08:36.09" personId="{78F471E7-1970-4235-AE1E-4247586B0CAF}" id="{D16D7883-CB49-4EFD-8D90-8AF40C5DDBBF}">
    <text xml:space="preserve">Control efficiency is already included in the PM10 emission lb/hr, and the PM10 lb/hr is used in the calculation for all speciated particulate emissions
</text>
  </threadedComment>
  <threadedComment ref="E86" dT="2023-08-01T22:08:36.09" personId="{78F471E7-1970-4235-AE1E-4247586B0CAF}" id="{ECD6A34F-EAF3-40BA-8FB2-31A27FB2E360}">
    <text xml:space="preserve">Control efficiency is already included in the PM10 emission lb/hr, and the PM10 lb/hr is used in the calculation for all speciated particulate emissions
</text>
  </threadedComment>
  <threadedComment ref="E94" dT="2023-08-01T22:08:36.09" personId="{78F471E7-1970-4235-AE1E-4247586B0CAF}" id="{0E69EDC1-0100-4EFA-8896-6751F0AE70CF}">
    <text xml:space="preserve">Control efficiency is already included in the PM10 emission lb/hr, and the PM10 lb/hr is used in the calculation for all speciated particulate emissions
</text>
  </threadedComment>
  <threadedComment ref="E100" dT="2023-08-01T22:08:36.09" personId="{78F471E7-1970-4235-AE1E-4247586B0CAF}" id="{8975A002-170B-491A-A962-3B4169840C76}">
    <text xml:space="preserve">Control efficiency is already included in the PM10 emission lb/hr, and the PM10 lb/hr is used in the calculation for all speciated particulate emissions
</text>
  </threadedComment>
  <threadedComment ref="E101" dT="2023-08-01T22:08:36.09" personId="{78F471E7-1970-4235-AE1E-4247586B0CAF}" id="{C8743235-8ADE-489D-B8EA-35597B5F0F41}">
    <text xml:space="preserve">Control efficiency is already included in the PM10 emission lb/hr, and the PM10 lb/hr is used in the calculation for all speciated particulate emissions
</text>
  </threadedComment>
  <threadedComment ref="I103" dT="2023-12-08T17:37:00.46" personId="{78F471E7-1970-4235-AE1E-4247586B0CAF}" id="{E344C79B-DCB5-4F01-A8B1-B7C5D58F8C07}">
    <text xml:space="preserve">Refer to speciated particulate * HAPs Metal tabs in LV PTE Calculation Spreadsheet </text>
  </threadedComment>
  <threadedComment ref="I104" dT="2023-12-08T17:37:00.46" personId="{78F471E7-1970-4235-AE1E-4247586B0CAF}" id="{2301D28B-6C97-4301-A4E1-48BB32D209A7}">
    <text xml:space="preserve">Refer to speciated particulate * HAPs Metal tabs in LV PTE Calculation Spreadsheet </text>
  </threadedComment>
  <threadedComment ref="I105" dT="2023-12-08T17:37:00.46" personId="{78F471E7-1970-4235-AE1E-4247586B0CAF}" id="{0CB91F67-BA93-48A7-A50A-AFEA7BF993B7}">
    <text xml:space="preserve">Refer to speciated particulate * HAPs Metal tabs in LV PTE Calculation Spreadsheet </text>
  </threadedComment>
  <threadedComment ref="I106" dT="2023-12-08T17:37:00.46" personId="{78F471E7-1970-4235-AE1E-4247586B0CAF}" id="{8DD3B0CF-765C-4AF4-B218-2ECDF175E62D}">
    <text xml:space="preserve">Refer to speciated particulate * HAPs Metal tabs in LV PTE Calculation Spreadsheet </text>
  </threadedComment>
  <threadedComment ref="I107" dT="2023-12-08T17:37:00.46" personId="{78F471E7-1970-4235-AE1E-4247586B0CAF}" id="{D0AC81AF-07E7-4350-B5E4-AA3CDE4BB4C3}">
    <text xml:space="preserve">Refer to speciated particulate * HAPs Metal tabs in LV PTE Calculation Spreadsheet </text>
  </threadedComment>
  <threadedComment ref="I108" dT="2023-12-08T17:37:00.46" personId="{78F471E7-1970-4235-AE1E-4247586B0CAF}" id="{E6F9D78E-6ABC-41DA-BE8D-1EF3BBE2312C}">
    <text xml:space="preserve">Refer to speciated particulate * HAPs Metal tabs in LV PTE Calculation Spreadsheet </text>
  </threadedComment>
  <threadedComment ref="I109" dT="2023-12-08T17:37:00.46" personId="{78F471E7-1970-4235-AE1E-4247586B0CAF}" id="{838143C3-0C39-469B-A811-B7F45EC55A79}">
    <text xml:space="preserve">Refer to speciated particulate * HAPs Metal tabs in LV PTE Calculation Spreadsheet </text>
  </threadedComment>
  <threadedComment ref="I110" dT="2023-12-08T17:37:00.46" personId="{78F471E7-1970-4235-AE1E-4247586B0CAF}" id="{73FD63EF-C590-4445-BDBE-B178DE2641AD}">
    <text xml:space="preserve">Refer to speciated particulate * HAPs Metal tabs in LV PTE Calculation Spreadsheet </text>
  </threadedComment>
  <threadedComment ref="I111" dT="2023-12-08T17:37:00.46" personId="{78F471E7-1970-4235-AE1E-4247586B0CAF}" id="{E5A9B8B4-9042-4107-B790-DD02C04558E9}">
    <text xml:space="preserve">Refer to speciated particulate * HAPs Metal tabs in LV PTE Calculation Spreadsheet </text>
  </threadedComment>
  <threadedComment ref="E112" dT="2023-08-01T22:08:36.09" personId="{78F471E7-1970-4235-AE1E-4247586B0CAF}" id="{2E3D698C-A96C-473A-B6B3-B4FCD5C7512B}">
    <text xml:space="preserve">Control efficiency is already included in the PM10 emission lb/hr, and the PM10 lb/hr is used in the calculation for all speciated particulate emissions
</text>
  </threadedComment>
  <threadedComment ref="E113" dT="2023-08-01T22:08:36.09" personId="{78F471E7-1970-4235-AE1E-4247586B0CAF}" id="{50A0FD63-B05D-47BB-AB65-03608E74FC7E}">
    <text xml:space="preserve">Control efficiency is already included in the PM10 emission lb/hr, and the PM10 lb/hr is used in the calculation for all speciated particulate emissions
</text>
  </threadedComment>
  <threadedComment ref="E114" dT="2023-08-01T22:08:36.09" personId="{78F471E7-1970-4235-AE1E-4247586B0CAF}" id="{9C456C57-6879-4194-B5D8-6A6D552B339A}">
    <text xml:space="preserve">Control efficiency is already included in the PM10 emission lb/hr, and the PM10 lb/hr is used in the calculation for all speciated particulate emissions
</text>
  </threadedComment>
  <threadedComment ref="I114" dT="2023-12-08T17:37:00.46" personId="{78F471E7-1970-4235-AE1E-4247586B0CAF}" id="{CA72E43D-47B4-482C-84A5-B64B57ED5F7D}">
    <text xml:space="preserve">Refer to speciated particulate * HAPs Metal tabs in LV PTE Calculation Spreadsheet </text>
  </threadedComment>
  <threadedComment ref="E115" dT="2023-08-01T22:08:36.09" personId="{78F471E7-1970-4235-AE1E-4247586B0CAF}" id="{0AED3364-3947-407F-A475-157AAB21ED15}">
    <text xml:space="preserve">Control efficiency is already included in the PM10 emission lb/hr, and the PM10 lb/hr is used in the calculation for all speciated particulate emissions
</text>
  </threadedComment>
  <threadedComment ref="I115" dT="2023-12-08T17:37:00.46" personId="{78F471E7-1970-4235-AE1E-4247586B0CAF}" id="{EF9F43BE-845F-4781-AD48-7E62385C3A7C}">
    <text xml:space="preserve">Refer to speciated particulate * HAPs Metal tabs in LV PTE Calculation Spreadsheet </text>
  </threadedComment>
  <threadedComment ref="E116" dT="2023-08-01T22:08:36.09" personId="{78F471E7-1970-4235-AE1E-4247586B0CAF}" id="{EAF0251A-173D-482B-AFE3-176B7416C9CA}">
    <text xml:space="preserve">Control efficiency is already included in the PM10 emission lb/hr, and the PM10 lb/hr is used in the calculation for all speciated particulate emissions
</text>
  </threadedComment>
  <threadedComment ref="I116" dT="2023-12-08T17:37:00.46" personId="{78F471E7-1970-4235-AE1E-4247586B0CAF}" id="{F606A8AB-7139-4D50-9680-9CE53840C63E}">
    <text xml:space="preserve">Refer to speciated particulate * HAPs Metal tabs in LV PTE Calculation Spreadsheet </text>
  </threadedComment>
  <threadedComment ref="E117" dT="2023-08-01T22:08:36.09" personId="{78F471E7-1970-4235-AE1E-4247586B0CAF}" id="{71E05CE9-95B0-46BE-9CC1-91B09AAC21B9}">
    <text xml:space="preserve">Control efficiency is already included in the PM10 emission lb/hr, and the PM10 lb/hr is used in the calculation for all speciated particulate emissions
</text>
  </threadedComment>
  <threadedComment ref="I117" dT="2023-12-08T17:37:00.46" personId="{78F471E7-1970-4235-AE1E-4247586B0CAF}" id="{DF431558-1D2B-469D-B49A-36F0EEF8509C}">
    <text xml:space="preserve">Refer to speciated particulate * HAPs Metal tabs in LV PTE Calculation Spreadsheet </text>
  </threadedComment>
  <threadedComment ref="E118" dT="2023-08-01T22:08:36.09" personId="{78F471E7-1970-4235-AE1E-4247586B0CAF}" id="{C5094D76-B116-4B34-824E-55B1923F067F}">
    <text xml:space="preserve">Control efficiency is already included in the PM10 emission lb/hr, and the PM10 lb/hr is used in the calculation for all speciated particulate emissions
</text>
  </threadedComment>
  <threadedComment ref="I118" dT="2023-12-08T17:37:00.46" personId="{78F471E7-1970-4235-AE1E-4247586B0CAF}" id="{4678F574-5B86-41D8-9989-994E21B5C52C}">
    <text xml:space="preserve">Refer to speciated particulate * HAPs Metal tabs in LV PTE Calculation Spreadsheet </text>
  </threadedComment>
  <threadedComment ref="E119" dT="2023-08-01T22:08:36.09" personId="{78F471E7-1970-4235-AE1E-4247586B0CAF}" id="{61532A8B-B336-43FB-A664-3143BE43FD4F}">
    <text xml:space="preserve">Control efficiency is already included in the PM10 emission lb/hr, and the PM10 lb/hr is used in the calculation for all speciated particulate emissions
</text>
  </threadedComment>
  <threadedComment ref="I119" dT="2023-12-08T17:37:00.46" personId="{78F471E7-1970-4235-AE1E-4247586B0CAF}" id="{2FB3E7D6-22CF-45C0-983E-7836E06D05B4}">
    <text xml:space="preserve">Refer to speciated particulate * HAPs Metal tabs in LV PTE Calculation Spreadsheet </text>
  </threadedComment>
  <threadedComment ref="E120" dT="2023-08-01T22:08:36.09" personId="{78F471E7-1970-4235-AE1E-4247586B0CAF}" id="{A6EE3C57-1D40-4681-B312-4B3057BE0B26}">
    <text xml:space="preserve">Control efficiency is already included in the PM10 emission lb/hr, and the PM10 lb/hr is used in the calculation for all speciated particulate emissions
</text>
  </threadedComment>
  <threadedComment ref="I120" dT="2023-12-08T17:37:00.46" personId="{78F471E7-1970-4235-AE1E-4247586B0CAF}" id="{102CAC67-63B8-428A-AEF4-46D29B4079B9}">
    <text xml:space="preserve">Refer to speciated particulate * HAPs Metal tabs in LV PTE Calculation Spreadsheet </text>
  </threadedComment>
  <threadedComment ref="E121" dT="2023-08-01T22:08:36.09" personId="{78F471E7-1970-4235-AE1E-4247586B0CAF}" id="{A6A8705B-5855-4DB1-AA4E-CDED6718BD7D}">
    <text xml:space="preserve">Control efficiency is already included in the PM10 emission lb/hr, and the PM10 lb/hr is used in the calculation for all speciated particulate emissions
</text>
  </threadedComment>
  <threadedComment ref="I121" dT="2023-12-08T17:37:00.46" personId="{78F471E7-1970-4235-AE1E-4247586B0CAF}" id="{BD5CDFCE-AEF2-4A88-A239-94B0D4E122A2}">
    <text xml:space="preserve">Refer to speciated particulate * HAPs Metal tabs in LV PTE Calculation Spreadsheet </text>
  </threadedComment>
  <threadedComment ref="E122" dT="2023-08-01T22:08:36.09" personId="{78F471E7-1970-4235-AE1E-4247586B0CAF}" id="{8B62B999-6F55-4025-ACDF-C34B3A564935}">
    <text xml:space="preserve">Control efficiency is already included in the PM10 emission lb/hr, and the PM10 lb/hr is used in the calculation for all speciated particulate emissions
</text>
  </threadedComment>
  <threadedComment ref="I122" dT="2023-12-08T17:37:00.46" personId="{78F471E7-1970-4235-AE1E-4247586B0CAF}" id="{F02656E8-EC47-4E7F-A00B-6819FB4CA105}">
    <text xml:space="preserve">Refer to speciated particulate * HAPs Metal tabs in LV PTE Calculation Spreadsheet </text>
  </threadedComment>
  <threadedComment ref="E123" dT="2023-08-01T22:08:36.09" personId="{78F471E7-1970-4235-AE1E-4247586B0CAF}" id="{F9097FBD-C533-4501-AFA8-600CC98D6B29}">
    <text xml:space="preserve">Control efficiency is already included in the PM10 emission lb/hr, and the PM10 lb/hr is used in the calculation for all speciated particulate emissions
</text>
  </threadedComment>
  <threadedComment ref="E124" dT="2023-08-01T22:08:36.09" personId="{78F471E7-1970-4235-AE1E-4247586B0CAF}" id="{51BC4628-5903-4CED-A596-3EECC1A53FB3}">
    <text xml:space="preserve">Control efficiency is already included in the PM10 emission lb/hr, and the PM10 lb/hr is used in the calculation for all speciated particulate emissions
</text>
  </threadedComment>
  <threadedComment ref="E125" dT="2023-08-01T22:08:36.09" personId="{78F471E7-1970-4235-AE1E-4247586B0CAF}" id="{5276144D-1799-46F4-A709-7C4886B39617}">
    <text xml:space="preserve">Control efficiency is already included in the PM10 emission lb/hr, and the PM10 lb/hr is used in the calculation for all speciated particulate emissions
</text>
  </threadedComment>
  <threadedComment ref="I125" dT="2023-10-20T00:59:16.03" personId="{78F471E7-1970-4235-AE1E-4247586B0CAF}" id="{F9353A68-E110-4AE4-AAF1-B84CB0B26452}">
    <text xml:space="preserve">Added % from quicklime and Natural Pozzolan SDS, to assume worse case, other 2 additives are not listed on the DEQ pollutant list, therefore were not added
</text>
  </threadedComment>
  <threadedComment ref="E126" dT="2023-08-01T22:08:36.09" personId="{78F471E7-1970-4235-AE1E-4247586B0CAF}" id="{DFABB42F-E529-439F-BA08-378C0A5DC356}">
    <text xml:space="preserve">Control efficiency is already included in the PM10 emission lb/hr, and the PM10 lb/hr is used in the calculation for all speciated particulate emissions
</text>
  </threadedComment>
  <threadedComment ref="I126" dT="2023-10-20T01:03:11.49" personId="{78F471E7-1970-4235-AE1E-4247586B0CAF}" id="{CA911546-3220-4385-9C1A-2B5608C7B337}">
    <text>Used max percent from Natural Pozzolan SDS, since the main constituent in the final product is the natural SCM Pozzolan, other two chemicals don’t have constituents list on the DEQ pollutant list</text>
  </threadedComment>
  <threadedComment ref="E127" dT="2023-08-01T22:08:36.09" personId="{78F471E7-1970-4235-AE1E-4247586B0CAF}" id="{79F92C86-0B43-4B3F-B18A-056B7440DFBE}">
    <text xml:space="preserve">Control efficiency is already included in the PM10 emission lb/hr, and the PM10 lb/hr is used in the calculation for all speciated particulate emissions
</text>
  </threadedComment>
  <threadedComment ref="I127" dT="2023-12-08T17:37:00.46" personId="{78F471E7-1970-4235-AE1E-4247586B0CAF}" id="{F6226B85-8912-4223-A250-80513DE7735F}">
    <text xml:space="preserve">Refer to speciated particulate * HAPs Metal tabs in LV PTE Calculation Spreadsheet </text>
  </threadedComment>
  <threadedComment ref="E128" dT="2023-08-01T22:08:36.09" personId="{78F471E7-1970-4235-AE1E-4247586B0CAF}" id="{A55DFCDE-4ACC-4B4A-8265-1F95D76E05EE}">
    <text xml:space="preserve">Control efficiency is already included in the PM10 emission lb/hr, and the PM10 lb/hr is used in the calculation for all speciated particulate emissions
</text>
  </threadedComment>
  <threadedComment ref="I128" dT="2023-12-08T17:37:00.46" personId="{78F471E7-1970-4235-AE1E-4247586B0CAF}" id="{6C462933-9CAE-412F-9AE6-899EF9AF31B0}">
    <text xml:space="preserve">Refer to speciated particulate * HAPs Metal tabs in LV PTE Calculation Spreadsheet </text>
  </threadedComment>
  <threadedComment ref="E129" dT="2023-08-01T22:08:36.09" personId="{78F471E7-1970-4235-AE1E-4247586B0CAF}" id="{416C48D2-B2C4-4FFF-B487-C34719C8E540}">
    <text xml:space="preserve">Control efficiency is already included in the PM10 emission lb/hr, and the PM10 lb/hr is used in the calculation for all speciated particulate emissions
</text>
  </threadedComment>
  <threadedComment ref="I129" dT="2023-12-08T17:37:00.46" personId="{78F471E7-1970-4235-AE1E-4247586B0CAF}" id="{16C145CB-D399-470B-BE78-350EDF13E3E8}">
    <text xml:space="preserve">Refer to speciated particulate * HAPs Metal tabs in LV PTE Calculation Spreadsheet </text>
  </threadedComment>
  <threadedComment ref="E130" dT="2023-08-01T22:08:36.09" personId="{78F471E7-1970-4235-AE1E-4247586B0CAF}" id="{DCC4D1EA-FD90-478A-94E3-D2D69B5D1EF8}">
    <text xml:space="preserve">Control efficiency is already included in the PM10 emission lb/hr, and the PM10 lb/hr is used in the calculation for all speciated particulate emissions
</text>
  </threadedComment>
  <threadedComment ref="I130" dT="2023-12-08T17:37:00.46" personId="{78F471E7-1970-4235-AE1E-4247586B0CAF}" id="{DF91A944-1778-47C5-9D31-23D3D154FA70}">
    <text xml:space="preserve">Refer to speciated particulate * HAPs Metal tabs in LV PTE Calculation Spreadsheet </text>
  </threadedComment>
  <threadedComment ref="E131" dT="2023-08-01T22:08:36.09" personId="{78F471E7-1970-4235-AE1E-4247586B0CAF}" id="{C0AA5FC5-DAEE-48CC-8592-EEAB065410DE}">
    <text xml:space="preserve">Control efficiency is already included in the PM10 emission lb/hr, and the PM10 lb/hr is used in the calculation for all speciated particulate emissions
</text>
  </threadedComment>
  <threadedComment ref="I131" dT="2023-12-08T17:37:00.46" personId="{78F471E7-1970-4235-AE1E-4247586B0CAF}" id="{F58C04E6-87BA-4E38-9BFB-40D7E91F83E9}">
    <text xml:space="preserve">Refer to speciated particulate * HAPs Metal tabs in LV PTE Calculation Spreadsheet </text>
  </threadedComment>
  <threadedComment ref="E132" dT="2023-08-01T22:08:36.09" personId="{78F471E7-1970-4235-AE1E-4247586B0CAF}" id="{F04070BA-994B-4B50-A11E-1A2B4670AC75}">
    <text xml:space="preserve">Control efficiency is already included in the PM10 emission lb/hr, and the PM10 lb/hr is used in the calculation for all speciated particulate emissions
</text>
  </threadedComment>
  <threadedComment ref="I132" dT="2023-12-08T17:37:00.46" personId="{78F471E7-1970-4235-AE1E-4247586B0CAF}" id="{8B1EED6B-B8EF-4684-9BBF-AB34784496D7}">
    <text xml:space="preserve">Refer to speciated particulate * HAPs Metal tabs in LV PTE Calculation Spreadsheet </text>
  </threadedComment>
  <threadedComment ref="E133" dT="2023-08-01T22:08:36.09" personId="{78F471E7-1970-4235-AE1E-4247586B0CAF}" id="{19B4E14E-D8E9-472C-92C2-78260ADDDBD8}">
    <text xml:space="preserve">Control efficiency is already included in the PM10 emission lb/hr, and the PM10 lb/hr is used in the calculation for all speciated particulate emissions
</text>
  </threadedComment>
  <threadedComment ref="I133" dT="2023-12-08T17:37:00.46" personId="{78F471E7-1970-4235-AE1E-4247586B0CAF}" id="{1A15F678-73C0-4E94-8BEE-1BABAB71AB53}">
    <text xml:space="preserve">Refer to speciated particulate * HAPs Metal tabs in LV PTE Calculation Spreadsheet </text>
  </threadedComment>
  <threadedComment ref="E134" dT="2023-08-01T22:08:36.09" personId="{78F471E7-1970-4235-AE1E-4247586B0CAF}" id="{FFD4FD21-2148-4CC7-B64A-E2CC711C5956}">
    <text xml:space="preserve">Control efficiency is already included in the PM10 emission lb/hr, and the PM10 lb/hr is used in the calculation for all speciated particulate emissions
</text>
  </threadedComment>
  <threadedComment ref="I134" dT="2023-12-08T17:37:00.46" personId="{78F471E7-1970-4235-AE1E-4247586B0CAF}" id="{1A13DF4D-EDC9-493A-9F88-405D7F6F78B3}">
    <text xml:space="preserve">Refer to speciated particulate * HAPs Metal tabs in LV PTE Calculation Spreadsheet </text>
  </threadedComment>
  <threadedComment ref="E135" dT="2023-08-01T22:08:36.09" personId="{78F471E7-1970-4235-AE1E-4247586B0CAF}" id="{0DF9B2CE-F40C-4E5F-8B9A-3459FF064040}">
    <text xml:space="preserve">Control efficiency is already included in the PM10 emission lb/hr, and the PM10 lb/hr is used in the calculation for all speciated particulate emissions
</text>
  </threadedComment>
  <threadedComment ref="I135" dT="2023-12-08T17:37:00.46" personId="{78F471E7-1970-4235-AE1E-4247586B0CAF}" id="{2A6FB080-BF24-4987-ACD4-0934DE10277D}">
    <text xml:space="preserve">Refer to speciated particulate * HAPs Metal tabs in LV PTE Calculation Spreadsheet </text>
  </threadedComment>
  <threadedComment ref="E136" dT="2023-08-01T22:08:36.09" personId="{78F471E7-1970-4235-AE1E-4247586B0CAF}" id="{3C8D690B-3946-4826-91F6-8E04346D47D0}">
    <text xml:space="preserve">Control efficiency is already included in the PM10 emission lb/hr, and the PM10 lb/hr is used in the calculation for all speciated particulate emissions
</text>
  </threadedComment>
  <threadedComment ref="I136" dT="2023-10-20T00:59:16.03" personId="{78F471E7-1970-4235-AE1E-4247586B0CAF}" id="{BC58C202-243A-4981-AA02-8869AC45FD3D}">
    <text xml:space="preserve">Added % from quicklime and Natural Pozzolan SDS, to assume worse case, other 2 additives are not listed on the DEQ pollutant list, therefore were not added
</text>
  </threadedComment>
  <threadedComment ref="E137" dT="2023-08-01T22:08:36.09" personId="{78F471E7-1970-4235-AE1E-4247586B0CAF}" id="{C19A7F7E-F1D5-483D-9A56-D1FA950B7307}">
    <text xml:space="preserve">Control efficiency is already included in the PM10 emission lb/hr, and the PM10 lb/hr is used in the calculation for all speciated particulate emissions
</text>
  </threadedComment>
  <threadedComment ref="I137" dT="2023-10-20T01:03:11.49" personId="{78F471E7-1970-4235-AE1E-4247586B0CAF}" id="{99853E2D-7C58-46F4-BD8E-2FD91041E2E1}">
    <text>Used max percent from Natural Pozzolan SDS, since the main constituent in the final product is the natural SCM Pozzolan, other two chemicals don’t have constituents list on the DEQ pollutant list</text>
  </threadedComment>
  <threadedComment ref="E138" dT="2023-08-01T22:08:36.09" personId="{78F471E7-1970-4235-AE1E-4247586B0CAF}" id="{EFE6EAA7-FCC2-4039-BD7D-676E6F7EDC24}">
    <text xml:space="preserve">Control efficiency is already included in the PM10 emission lb/hr, and the PM10 lb/hr is used in the calculation for all speciated particulate emissions
</text>
  </threadedComment>
  <threadedComment ref="I138" dT="2023-12-08T17:37:00.46" personId="{78F471E7-1970-4235-AE1E-4247586B0CAF}" id="{5AEB3099-72E8-4958-88F6-9A130D291E8D}">
    <text xml:space="preserve">Refer to speciated particulate * HAPs Metal tabs in LV PTE Calculation Spreadsheet </text>
  </threadedComment>
  <threadedComment ref="E139" dT="2023-08-01T22:08:36.09" personId="{78F471E7-1970-4235-AE1E-4247586B0CAF}" id="{F1C5010D-ABCE-49CB-9F02-0D54F6D28057}">
    <text xml:space="preserve">Control efficiency is already included in the PM10 emission lb/hr, and the PM10 lb/hr is used in the calculation for all speciated particulate emissions
</text>
  </threadedComment>
  <threadedComment ref="I139" dT="2023-12-08T17:37:00.46" personId="{78F471E7-1970-4235-AE1E-4247586B0CAF}" id="{13F03ADE-1148-4F49-BD1C-32C6B132A28A}">
    <text xml:space="preserve">Refer to speciated particulate * HAPs Metal tabs in LV PTE Calculation Spreadsheet </text>
  </threadedComment>
  <threadedComment ref="E140" dT="2023-08-01T22:08:36.09" personId="{78F471E7-1970-4235-AE1E-4247586B0CAF}" id="{90569A72-242B-422B-9A11-BB337EA8E17B}">
    <text xml:space="preserve">Control efficiency is already included in the PM10 emission lb/hr, and the PM10 lb/hr is used in the calculation for all speciated particulate emissions
</text>
  </threadedComment>
  <threadedComment ref="I140" dT="2023-12-08T17:37:00.46" personId="{78F471E7-1970-4235-AE1E-4247586B0CAF}" id="{953DD4F4-C147-456C-83AB-DE1E208C7ED1}">
    <text xml:space="preserve">Refer to speciated particulate * HAPs Metal tabs in LV PTE Calculation Spreadsheet </text>
  </threadedComment>
  <threadedComment ref="E141" dT="2023-08-01T22:08:36.09" personId="{78F471E7-1970-4235-AE1E-4247586B0CAF}" id="{C1F9BE88-575A-4625-9C1D-636257618762}">
    <text xml:space="preserve">Control efficiency is already included in the PM10 emission lb/hr, and the PM10 lb/hr is used in the calculation for all speciated particulate emissions
</text>
  </threadedComment>
  <threadedComment ref="I141" dT="2023-12-08T17:37:00.46" personId="{78F471E7-1970-4235-AE1E-4247586B0CAF}" id="{011D5E8A-53EA-48A1-8FEF-73244EFD7903}">
    <text xml:space="preserve">Refer to speciated particulate * HAPs Metal tabs in LV PTE Calculation Spreadsheet </text>
  </threadedComment>
  <threadedComment ref="E142" dT="2023-08-01T22:08:36.09" personId="{78F471E7-1970-4235-AE1E-4247586B0CAF}" id="{5D97BADC-FF07-4949-B95A-C9DCBDF3D9CE}">
    <text xml:space="preserve">Control efficiency is already included in the PM10 emission lb/hr, and the PM10 lb/hr is used in the calculation for all speciated particulate emissions
</text>
  </threadedComment>
  <threadedComment ref="I142" dT="2023-12-08T17:37:00.46" personId="{78F471E7-1970-4235-AE1E-4247586B0CAF}" id="{F6354329-C063-4D60-87E9-AE5D8BA2CF80}">
    <text xml:space="preserve">Refer to speciated particulate * HAPs Metal tabs in LV PTE Calculation Spreadsheet </text>
  </threadedComment>
  <threadedComment ref="E143" dT="2023-08-01T22:08:36.09" personId="{78F471E7-1970-4235-AE1E-4247586B0CAF}" id="{F2C1946D-42DD-4903-900A-1096515293D6}">
    <text xml:space="preserve">Control efficiency is already included in the PM10 emission lb/hr, and the PM10 lb/hr is used in the calculation for all speciated particulate emissions
</text>
  </threadedComment>
  <threadedComment ref="I143" dT="2023-12-08T17:37:00.46" personId="{78F471E7-1970-4235-AE1E-4247586B0CAF}" id="{D3241D0D-028D-4B67-B03E-7AD60B797B74}">
    <text xml:space="preserve">Refer to speciated particulate * HAPs Metal tabs in LV PTE Calculation Spreadsheet </text>
  </threadedComment>
  <threadedComment ref="E144" dT="2023-08-01T22:08:36.09" personId="{78F471E7-1970-4235-AE1E-4247586B0CAF}" id="{1366A428-5E76-4513-8FF6-FF5E0FA773DB}">
    <text xml:space="preserve">Control efficiency is already included in the PM10 emission lb/hr, and the PM10 lb/hr is used in the calculation for all speciated particulate emissions
</text>
  </threadedComment>
  <threadedComment ref="I144" dT="2023-12-08T17:37:00.46" personId="{78F471E7-1970-4235-AE1E-4247586B0CAF}" id="{2925A8EC-A4FF-48F9-9E3F-979B5D2D34A0}">
    <text xml:space="preserve">Refer to speciated particulate * HAPs Metal tabs in LV PTE Calculation Spreadsheet </text>
  </threadedComment>
  <threadedComment ref="E145" dT="2023-08-01T22:08:36.09" personId="{78F471E7-1970-4235-AE1E-4247586B0CAF}" id="{4078B68D-C885-4CD4-B731-DE1870C6D90B}">
    <text xml:space="preserve">Control efficiency is already included in the PM10 emission lb/hr, and the PM10 lb/hr is used in the calculation for all speciated particulate emissions
</text>
  </threadedComment>
  <threadedComment ref="I145" dT="2023-12-08T17:37:00.46" personId="{78F471E7-1970-4235-AE1E-4247586B0CAF}" id="{1EBFE777-7853-4E85-BC3E-C74EDB0BDBA9}">
    <text xml:space="preserve">Refer to speciated particulate * HAPs Metal tabs in LV PTE Calculation Spreadsheet </text>
  </threadedComment>
  <threadedComment ref="E146" dT="2023-08-01T22:08:36.09" personId="{78F471E7-1970-4235-AE1E-4247586B0CAF}" id="{A21BD35B-F704-4FD7-BC3A-69ECE3B9563B}">
    <text xml:space="preserve">Control efficiency is already included in the PM10 emission lb/hr, and the PM10 lb/hr is used in the calculation for all speciated particulate emissions
</text>
  </threadedComment>
  <threadedComment ref="I146" dT="2023-12-08T17:37:00.46" personId="{78F471E7-1970-4235-AE1E-4247586B0CAF}" id="{43731327-3915-46C8-8345-0EEAF28EEA01}">
    <text xml:space="preserve">Refer to speciated particulate * HAPs Metal tabs in LV PTE Calculation Spreadsheet </text>
  </threadedComment>
  <threadedComment ref="E147" dT="2023-08-01T22:08:36.09" personId="{78F471E7-1970-4235-AE1E-4247586B0CAF}" id="{396F7214-9ED2-4B81-BC78-4B0E75025FC6}">
    <text xml:space="preserve">Control efficiency is already included in the PM10 emission lb/hr, and the PM10 lb/hr is used in the calculation for all speciated particulate emissions
</text>
  </threadedComment>
  <threadedComment ref="I147" dT="2023-10-20T00:59:16.03" personId="{78F471E7-1970-4235-AE1E-4247586B0CAF}" id="{3D1E06C8-5DC8-42DE-A963-DE0A45981F31}">
    <text xml:space="preserve">Added % from quicklime and Natural Pozzolan SDS, to assume worse case, other 2 additives are not listed on the DEQ pollutant list, therefore were not added
</text>
  </threadedComment>
  <threadedComment ref="E148" dT="2023-08-01T22:08:36.09" personId="{78F471E7-1970-4235-AE1E-4247586B0CAF}" id="{3DEF810B-A844-467C-B272-0EBD5688F812}">
    <text xml:space="preserve">Control efficiency is already included in the PM10 emission lb/hr, and the PM10 lb/hr is used in the calculation for all speciated particulate emissions
</text>
  </threadedComment>
  <threadedComment ref="I148" dT="2023-10-20T01:03:11.49" personId="{78F471E7-1970-4235-AE1E-4247586B0CAF}" id="{C1B24851-9884-4ECB-AB01-14C6AE87284F}">
    <text>Used max percent from Natural Pozzolan SDS, since the main constituent in the final product is the natural SCM Pozzolan, other two chemicals don’t have constituents list on the DEQ pollutant list</text>
  </threadedComment>
  <threadedComment ref="E149" dT="2023-08-01T22:08:36.09" personId="{78F471E7-1970-4235-AE1E-4247586B0CAF}" id="{5F29174C-1CDD-4703-98E7-B3DBA5EAB789}">
    <text xml:space="preserve">Control efficiency is already included in the PM10 emission lb/hr, and the PM10 lb/hr is used in the calculation for all speciated particulate emissions
</text>
  </threadedComment>
  <threadedComment ref="I149" dT="2023-12-08T17:37:00.46" personId="{78F471E7-1970-4235-AE1E-4247586B0CAF}" id="{3154CFDC-7F0D-49AE-91CF-5472E211FBD9}">
    <text xml:space="preserve">Refer to speciated particulate * HAPs Metal tabs in LV PTE Calculation Spreadsheet </text>
  </threadedComment>
  <threadedComment ref="E150" dT="2023-08-01T22:08:36.09" personId="{78F471E7-1970-4235-AE1E-4247586B0CAF}" id="{CED55074-FF40-4592-B496-7ED3C0A75612}">
    <text xml:space="preserve">Control efficiency is already included in the PM10 emission lb/hr, and the PM10 lb/hr is used in the calculation for all speciated particulate emissions
</text>
  </threadedComment>
  <threadedComment ref="I150" dT="2023-12-08T17:37:00.46" personId="{78F471E7-1970-4235-AE1E-4247586B0CAF}" id="{B293BAD2-761A-490E-883F-3240AFDCC061}">
    <text xml:space="preserve">Refer to speciated particulate * HAPs Metal tabs in LV PTE Calculation Spreadsheet </text>
  </threadedComment>
  <threadedComment ref="E151" dT="2023-08-01T22:08:36.09" personId="{78F471E7-1970-4235-AE1E-4247586B0CAF}" id="{EA109E1B-A584-4774-8115-333678A86F2E}">
    <text xml:space="preserve">Control efficiency is already included in the PM10 emission lb/hr, and the PM10 lb/hr is used in the calculation for all speciated particulate emissions
</text>
  </threadedComment>
  <threadedComment ref="I151" dT="2023-12-08T17:37:00.46" personId="{78F471E7-1970-4235-AE1E-4247586B0CAF}" id="{8F8A9EF0-0226-4F96-98FC-76C3FE5A0AA0}">
    <text xml:space="preserve">Refer to speciated particulate * HAPs Metal tabs in LV PTE Calculation Spreadsheet </text>
  </threadedComment>
  <threadedComment ref="E152" dT="2023-08-01T22:08:36.09" personId="{78F471E7-1970-4235-AE1E-4247586B0CAF}" id="{017E1A90-482C-47AB-B6B6-085E2D7F29A0}">
    <text xml:space="preserve">Control efficiency is already included in the PM10 emission lb/hr, and the PM10 lb/hr is used in the calculation for all speciated particulate emissions
</text>
  </threadedComment>
  <threadedComment ref="I152" dT="2023-12-08T17:37:00.46" personId="{78F471E7-1970-4235-AE1E-4247586B0CAF}" id="{4A3B8AAF-534E-4745-9D5E-9313D05C6541}">
    <text xml:space="preserve">Refer to speciated particulate * HAPs Metal tabs in LV PTE Calculation Spreadsheet </text>
  </threadedComment>
  <threadedComment ref="E153" dT="2023-08-01T22:08:36.09" personId="{78F471E7-1970-4235-AE1E-4247586B0CAF}" id="{798B6C24-FE53-431B-A8A3-B1343B7AD4D4}">
    <text xml:space="preserve">Control efficiency is already included in the PM10 emission lb/hr, and the PM10 lb/hr is used in the calculation for all speciated particulate emissions
</text>
  </threadedComment>
  <threadedComment ref="I153" dT="2023-12-08T17:37:00.46" personId="{78F471E7-1970-4235-AE1E-4247586B0CAF}" id="{1A2070EB-1581-4D93-9ABC-CEFE6B5A2642}">
    <text xml:space="preserve">Refer to speciated particulate * HAPs Metal tabs in LV PTE Calculation Spreadsheet </text>
  </threadedComment>
  <threadedComment ref="E154" dT="2023-08-01T22:08:36.09" personId="{78F471E7-1970-4235-AE1E-4247586B0CAF}" id="{7EEB2E68-3DA4-4921-84C5-B695FB86EA44}">
    <text xml:space="preserve">Control efficiency is already included in the PM10 emission lb/hr, and the PM10 lb/hr is used in the calculation for all speciated particulate emissions
</text>
  </threadedComment>
  <threadedComment ref="I154" dT="2023-12-08T17:37:00.46" personId="{78F471E7-1970-4235-AE1E-4247586B0CAF}" id="{DB42FCB2-F88D-40CD-B06F-A267C0027CC4}">
    <text xml:space="preserve">Refer to speciated particulate * HAPs Metal tabs in LV PTE Calculation Spreadsheet </text>
  </threadedComment>
  <threadedComment ref="E155" dT="2023-08-01T22:08:36.09" personId="{78F471E7-1970-4235-AE1E-4247586B0CAF}" id="{FDE9CAB2-7FC8-44E6-94B1-04C2FB6A2A7E}">
    <text xml:space="preserve">Control efficiency is already included in the PM10 emission lb/hr, and the PM10 lb/hr is used in the calculation for all speciated particulate emissions
</text>
  </threadedComment>
  <threadedComment ref="I155" dT="2023-12-08T17:37:00.46" personId="{78F471E7-1970-4235-AE1E-4247586B0CAF}" id="{A2F419DC-CEC3-44A6-8718-5963277F53FA}">
    <text xml:space="preserve">Refer to speciated particulate * HAPs Metal tabs in LV PTE Calculation Spreadsheet </text>
  </threadedComment>
  <threadedComment ref="E156" dT="2023-08-01T22:08:36.09" personId="{78F471E7-1970-4235-AE1E-4247586B0CAF}" id="{AC0CF636-C7F7-4E91-9C70-C6DA1A4E9214}">
    <text xml:space="preserve">Control efficiency is already included in the PM10 emission lb/hr, and the PM10 lb/hr is used in the calculation for all speciated particulate emissions
</text>
  </threadedComment>
  <threadedComment ref="I156" dT="2023-12-08T17:37:00.46" personId="{78F471E7-1970-4235-AE1E-4247586B0CAF}" id="{1B88F00E-89ED-4A66-8C60-380A83BB4094}">
    <text xml:space="preserve">Refer to speciated particulate * HAPs Metal tabs in LV PTE Calculation Spreadsheet </text>
  </threadedComment>
  <threadedComment ref="E157" dT="2023-08-01T22:08:36.09" personId="{78F471E7-1970-4235-AE1E-4247586B0CAF}" id="{0CA45DC1-1A06-471C-B620-B49A835AB884}">
    <text xml:space="preserve">Control efficiency is already included in the PM10 emission lb/hr, and the PM10 lb/hr is used in the calculation for all speciated particulate emissions
</text>
  </threadedComment>
  <threadedComment ref="I157" dT="2023-12-08T17:37:00.46" personId="{78F471E7-1970-4235-AE1E-4247586B0CAF}" id="{B2DB2917-09C7-4516-B3B1-7D6AD739F18A}">
    <text xml:space="preserve">Refer to speciated particulate * HAPs Metal tabs in LV PTE Calculation Spreadsheet </text>
  </threadedComment>
  <threadedComment ref="I158" dT="2023-10-20T00:59:16.03" personId="{78F471E7-1970-4235-AE1E-4247586B0CAF}" id="{D53009E7-E8D9-4C0F-89B0-9EF1B28A04E4}">
    <text xml:space="preserve">To be ultra conservative, use the total % of the chemical in natural pozz and quicklime, to determine emissions, even though only a percentage of the chemical will actually go into each reactor for batching. 
</text>
  </threadedComment>
  <threadedComment ref="E159" dT="2023-08-01T22:08:36.09" personId="{78F471E7-1970-4235-AE1E-4247586B0CAF}" id="{2CB687F4-45AD-464C-8419-A104842AE505}">
    <text xml:space="preserve">Control efficiency is already included in the PM10 emission lb/hr, and the PM10 lb/hr is used in the calculation for all speciated particulate emissions
</text>
  </threadedComment>
  <threadedComment ref="I159" dT="2023-10-20T01:03:11.49" personId="{78F471E7-1970-4235-AE1E-4247586B0CAF}" id="{86977377-01C4-40D7-938C-EF699CC3F21F}">
    <text>To be ultra conservative we used the total percent from Natural Pozzolan SDS, since the main constituent in the final product is the natural SCM Pozzolan, TEA99 and polycarboxylate chemicals don’t have constituents listed on the DEQ pollutant list</text>
  </threadedComment>
  <threadedComment ref="I160" dT="2023-12-08T17:37:00.46" personId="{78F471E7-1970-4235-AE1E-4247586B0CAF}" id="{CF26782A-70C1-4F22-8D03-AA50724B6763}">
    <text xml:space="preserve">Refer to speciated particulate * HAPs Metal tabs in LV PTE Calculation Spreadsheet </text>
  </threadedComment>
  <threadedComment ref="I161" dT="2023-12-08T17:37:00.46" personId="{78F471E7-1970-4235-AE1E-4247586B0CAF}" id="{DBBF2764-64EA-465F-BE9D-9BC4DAB28647}">
    <text xml:space="preserve">Refer to speciated particulate * HAPs Metal tabs in LV PTE Calculation Spreadsheet </text>
  </threadedComment>
  <threadedComment ref="I162" dT="2023-12-08T17:37:00.46" personId="{78F471E7-1970-4235-AE1E-4247586B0CAF}" id="{FA7B562A-7554-478D-8806-F00E54AEC0E1}">
    <text xml:space="preserve">Refer to speciated particulate * HAPs Metal tabs in LV PTE Calculation Spreadsheet </text>
  </threadedComment>
  <threadedComment ref="I163" dT="2023-12-08T17:37:00.46" personId="{78F471E7-1970-4235-AE1E-4247586B0CAF}" id="{E5B87782-BFA3-47DF-9BED-94FB15FEDA04}">
    <text xml:space="preserve">Refer to speciated particulate * HAPs Metal tabs in LV PTE Calculation Spreadsheet </text>
  </threadedComment>
  <threadedComment ref="I164" dT="2023-12-08T17:37:00.46" personId="{78F471E7-1970-4235-AE1E-4247586B0CAF}" id="{4EF45771-E919-49BD-90F6-2F85DC6665E8}">
    <text xml:space="preserve">Refer to speciated particulate * HAPs Metal tabs in LV PTE Calculation Spreadsheet </text>
  </threadedComment>
  <threadedComment ref="I165" dT="2023-12-08T17:37:00.46" personId="{78F471E7-1970-4235-AE1E-4247586B0CAF}" id="{BA4CED4F-3E52-4135-995C-FB4F43D1DB69}">
    <text xml:space="preserve">Refer to speciated particulate * HAPs Metal tabs in LV PTE Calculation Spreadsheet </text>
  </threadedComment>
  <threadedComment ref="I166" dT="2023-12-08T17:37:00.46" personId="{78F471E7-1970-4235-AE1E-4247586B0CAF}" id="{A38CC7CC-09D9-4CA4-BA6C-5721DBD7A935}">
    <text xml:space="preserve">Refer to speciated particulate * HAPs Metal tabs in LV PTE Calculation Spreadsheet </text>
  </threadedComment>
  <threadedComment ref="I167" dT="2023-12-08T17:37:00.46" personId="{78F471E7-1970-4235-AE1E-4247586B0CAF}" id="{AFE6A8C7-2454-49BD-B29B-D8587A9B9EB3}">
    <text xml:space="preserve">Refer to speciated particulate * HAPs Metal tabs in LV PTE Calculation Spreadsheet </text>
  </threadedComment>
  <threadedComment ref="I168" dT="2023-12-08T17:37:00.46" personId="{78F471E7-1970-4235-AE1E-4247586B0CAF}" id="{16D955BC-A353-451A-9371-0D0953E19A12}">
    <text xml:space="preserve">Refer to speciated particulate * HAPs Metal tabs in LV PTE Calculation Spreadsheet </text>
  </threadedComment>
  <threadedComment ref="E169" dT="2023-08-01T22:08:36.09" personId="{78F471E7-1970-4235-AE1E-4247586B0CAF}" id="{4B4AA224-7834-44A0-B425-04454EB7E307}">
    <text xml:space="preserve">Control efficiency is already included in the PM10 emission lb/hr, and the PM10 lb/hr is used in the calculation for all speciated particulate emissions
</text>
  </threadedComment>
  <threadedComment ref="I169" dT="2023-10-20T00:59:16.03" personId="{78F471E7-1970-4235-AE1E-4247586B0CAF}" id="{A842F3B5-4E43-4657-AFA6-0BD69DE0BD7A}">
    <text xml:space="preserve">To be ultra conservative, use the total % of the chemical in natural pozz and quicklime, to determine emissions, even though only a percentage of the chemical will actually go into each reactor for batching. 
</text>
  </threadedComment>
  <threadedComment ref="E170" dT="2023-08-01T22:08:36.09" personId="{78F471E7-1970-4235-AE1E-4247586B0CAF}" id="{D39C2D5D-AF4A-438B-8CFB-962A48C15A5D}">
    <text xml:space="preserve">Control efficiency is already included in the PM10 emission lb/hr, and the PM10 lb/hr is used in the calculation for all speciated particulate emissions
</text>
  </threadedComment>
  <threadedComment ref="I170" dT="2023-10-20T01:03:11.49" personId="{78F471E7-1970-4235-AE1E-4247586B0CAF}" id="{18267BF5-FC6E-4CB1-B0F3-754BD7CB5AEF}">
    <text>To be ultra conservative we used the total percent from Natural Pozzolan SDS, since the main constituent in the final product is the natural SCM Pozzolan, TEA99 and polycarboxylate chemicals don’t have constituents listed on the DEQ pollutant list</text>
  </threadedComment>
  <threadedComment ref="I171" dT="2023-12-08T17:37:00.46" personId="{78F471E7-1970-4235-AE1E-4247586B0CAF}" id="{EAE1A359-8E38-4F8A-824E-B8CB717DF64D}">
    <text xml:space="preserve">Refer to speciated particulate * HAPs Metal tabs in LV PTE Calculation Spreadsheet </text>
  </threadedComment>
  <threadedComment ref="I172" dT="2023-12-08T17:37:00.46" personId="{78F471E7-1970-4235-AE1E-4247586B0CAF}" id="{4C255604-8203-4A56-928C-AA41BDBC9FDD}">
    <text xml:space="preserve">Refer to speciated particulate * HAPs Metal tabs in LV PTE Calculation Spreadsheet </text>
  </threadedComment>
  <threadedComment ref="I173" dT="2023-12-08T17:37:00.46" personId="{78F471E7-1970-4235-AE1E-4247586B0CAF}" id="{1ADF1501-C998-4B3B-ABFC-F23574F3633F}">
    <text xml:space="preserve">Refer to speciated particulate * HAPs Metal tabs in LV PTE Calculation Spreadsheet </text>
  </threadedComment>
  <threadedComment ref="I174" dT="2023-12-08T17:37:00.46" personId="{78F471E7-1970-4235-AE1E-4247586B0CAF}" id="{16B10238-812A-4D04-95BA-752AA77276AA}">
    <text xml:space="preserve">Refer to speciated particulate * HAPs Metal tabs in LV PTE Calculation Spreadsheet </text>
  </threadedComment>
  <threadedComment ref="I175" dT="2023-12-08T17:37:00.46" personId="{78F471E7-1970-4235-AE1E-4247586B0CAF}" id="{4760BEB9-CDE8-4067-8611-D1778EE05B4D}">
    <text xml:space="preserve">Refer to speciated particulate * HAPs Metal tabs in LV PTE Calculation Spreadsheet </text>
  </threadedComment>
  <threadedComment ref="I176" dT="2023-12-08T17:37:00.46" personId="{78F471E7-1970-4235-AE1E-4247586B0CAF}" id="{0A8600E5-2BC1-47E2-B405-D9813C002337}">
    <text xml:space="preserve">Refer to speciated particulate * HAPs Metal tabs in LV PTE Calculation Spreadsheet </text>
  </threadedComment>
  <threadedComment ref="I177" dT="2023-12-08T17:37:00.46" personId="{78F471E7-1970-4235-AE1E-4247586B0CAF}" id="{3FD21739-7D39-4530-8C8F-47C04BF887A0}">
    <text xml:space="preserve">Refer to speciated particulate * HAPs Metal tabs in LV PTE Calculation Spreadsheet </text>
  </threadedComment>
  <threadedComment ref="I178" dT="2023-12-08T17:37:00.46" personId="{78F471E7-1970-4235-AE1E-4247586B0CAF}" id="{6285236F-733C-4CFD-B719-7B76D281591E}">
    <text xml:space="preserve">Refer to speciated particulate * HAPs Metal tabs in LV PTE Calculation Spreadsheet </text>
  </threadedComment>
  <threadedComment ref="I179" dT="2023-12-08T17:37:00.46" personId="{78F471E7-1970-4235-AE1E-4247586B0CAF}" id="{B5DD7B0C-DDB2-4AD5-9A4B-46C116397812}">
    <text xml:space="preserve">Refer to speciated particulate * HAPs Metal tabs in LV PTE Calculation Spreadsheet </text>
  </threadedComment>
  <threadedComment ref="E180" dT="2023-08-01T22:08:36.09" personId="{78F471E7-1970-4235-AE1E-4247586B0CAF}" id="{D313CDC0-66E1-4421-B7A6-812596061B32}">
    <text xml:space="preserve">Control efficiency is already included in the PM10 emission lb/hr, and the PM10 lb/hr is used in the calculation for all speciated particulate emissions
</text>
  </threadedComment>
  <threadedComment ref="I180" dT="2023-10-20T00:59:16.03" personId="{78F471E7-1970-4235-AE1E-4247586B0CAF}" id="{25623011-9B9C-479F-A57E-1B9338E85718}">
    <text xml:space="preserve">To be ultra conservative, use the total % of the chemical in natural pozz and quicklime, to determine emissions, even though only a percentage of the chemical will actually go into each reactor for batching. 
</text>
  </threadedComment>
  <threadedComment ref="E181" dT="2023-08-01T22:08:36.09" personId="{78F471E7-1970-4235-AE1E-4247586B0CAF}" id="{94ED4A96-82F1-4D25-866D-160F95D6DF7A}">
    <text xml:space="preserve">Control efficiency is already included in the PM10 emission lb/hr, and the PM10 lb/hr is used in the calculation for all speciated particulate emissions
</text>
  </threadedComment>
  <threadedComment ref="I181" dT="2023-10-20T01:03:11.49" personId="{78F471E7-1970-4235-AE1E-4247586B0CAF}" id="{96A62E79-33CD-414C-9D31-61A4C27A3A56}">
    <text>To be ultra conservative we used the total percent from Natural Pozzolan SDS, since the main constituent in the final product is the natural SCM Pozzolan, TEA99 and polycarboxylate chemicals don’t have constituents listed on the DEQ pollutant list</text>
  </threadedComment>
  <threadedComment ref="E182" dT="2023-08-01T22:08:36.09" personId="{78F471E7-1970-4235-AE1E-4247586B0CAF}" id="{EFEF0DF0-7379-40C8-BC8B-A021EF23D267}">
    <text xml:space="preserve">Control efficiency is already included in the PM10 emission lb/hr, and the PM10 lb/hr is used in the calculation for all speciated particulate emissions
</text>
  </threadedComment>
  <threadedComment ref="I182" dT="2023-12-08T17:37:00.46" personId="{78F471E7-1970-4235-AE1E-4247586B0CAF}" id="{B1C26D9D-449C-4ED5-A613-E0342FF2805C}">
    <text xml:space="preserve">Refer to speciated particulate * HAPs Metal tabs in LV PTE Calculation Spreadsheet </text>
  </threadedComment>
  <threadedComment ref="E183" dT="2023-08-01T22:08:36.09" personId="{78F471E7-1970-4235-AE1E-4247586B0CAF}" id="{4796B40F-2603-47FC-9C4E-17332A0D7A82}">
    <text xml:space="preserve">Control efficiency is already included in the PM10 emission lb/hr, and the PM10 lb/hr is used in the calculation for all speciated particulate emissions
</text>
  </threadedComment>
  <threadedComment ref="I183" dT="2023-12-08T17:37:00.46" personId="{78F471E7-1970-4235-AE1E-4247586B0CAF}" id="{5E5462EC-8F31-44DF-AD43-E2C5B10A7A2D}">
    <text xml:space="preserve">Refer to speciated particulate * HAPs Metal tabs in LV PTE Calculation Spreadsheet </text>
  </threadedComment>
  <threadedComment ref="E184" dT="2023-08-01T22:08:36.09" personId="{78F471E7-1970-4235-AE1E-4247586B0CAF}" id="{735DC382-1C31-4391-8A17-F49F202C48C5}">
    <text xml:space="preserve">Control efficiency is already included in the PM10 emission lb/hr, and the PM10 lb/hr is used in the calculation for all speciated particulate emissions
</text>
  </threadedComment>
  <threadedComment ref="I184" dT="2023-12-08T17:37:00.46" personId="{78F471E7-1970-4235-AE1E-4247586B0CAF}" id="{2241D514-61FF-4C0B-A617-064F867F477C}">
    <text xml:space="preserve">Refer to speciated particulate * HAPs Metal tabs in LV PTE Calculation Spreadsheet </text>
  </threadedComment>
  <threadedComment ref="E185" dT="2023-08-01T22:08:36.09" personId="{78F471E7-1970-4235-AE1E-4247586B0CAF}" id="{82E8B42A-C030-4DA7-A0AF-774A373C3BF7}">
    <text xml:space="preserve">Control efficiency is already included in the PM10 emission lb/hr, and the PM10 lb/hr is used in the calculation for all speciated particulate emissions
</text>
  </threadedComment>
  <threadedComment ref="I185" dT="2023-12-08T17:37:00.46" personId="{78F471E7-1970-4235-AE1E-4247586B0CAF}" id="{E5E1C9B5-B71D-4EE1-B027-36A25870B101}">
    <text xml:space="preserve">Refer to speciated particulate * HAPs Metal tabs in LV PTE Calculation Spreadsheet </text>
  </threadedComment>
  <threadedComment ref="E186" dT="2023-08-01T22:08:36.09" personId="{78F471E7-1970-4235-AE1E-4247586B0CAF}" id="{6682E82A-0FB8-47CB-B52E-110D351C08B7}">
    <text xml:space="preserve">Control efficiency is already included in the PM10 emission lb/hr, and the PM10 lb/hr is used in the calculation for all speciated particulate emissions
</text>
  </threadedComment>
  <threadedComment ref="I186" dT="2023-12-08T17:37:00.46" personId="{78F471E7-1970-4235-AE1E-4247586B0CAF}" id="{3EBAE156-2073-4C0D-B3B2-9C777D3CC4E4}">
    <text xml:space="preserve">Refer to speciated particulate * HAPs Metal tabs in LV PTE Calculation Spreadsheet </text>
  </threadedComment>
  <threadedComment ref="E187" dT="2023-08-01T22:08:36.09" personId="{78F471E7-1970-4235-AE1E-4247586B0CAF}" id="{2A4927C6-AA46-45CB-A8FD-C85FC84C5F3F}">
    <text xml:space="preserve">Control efficiency is already included in the PM10 emission lb/hr, and the PM10 lb/hr is used in the calculation for all speciated particulate emissions
</text>
  </threadedComment>
  <threadedComment ref="I187" dT="2023-12-08T17:37:00.46" personId="{78F471E7-1970-4235-AE1E-4247586B0CAF}" id="{BA94C6B7-3896-4D70-8A46-4C8C98008DAD}">
    <text xml:space="preserve">Refer to speciated particulate * HAPs Metal tabs in LV PTE Calculation Spreadsheet </text>
  </threadedComment>
  <threadedComment ref="E188" dT="2023-08-01T22:08:36.09" personId="{78F471E7-1970-4235-AE1E-4247586B0CAF}" id="{3EDF20CE-B1C9-4887-8454-B85054FA990F}">
    <text xml:space="preserve">Control efficiency is already included in the PM10 emission lb/hr, and the PM10 lb/hr is used in the calculation for all speciated particulate emissions
</text>
  </threadedComment>
  <threadedComment ref="I188" dT="2023-12-08T17:37:00.46" personId="{78F471E7-1970-4235-AE1E-4247586B0CAF}" id="{22437970-CDBF-4F49-95BD-EA5FBD7FE919}">
    <text xml:space="preserve">Refer to speciated particulate * HAPs Metal tabs in LV PTE Calculation Spreadsheet </text>
  </threadedComment>
  <threadedComment ref="E189" dT="2023-08-01T22:08:36.09" personId="{78F471E7-1970-4235-AE1E-4247586B0CAF}" id="{28D85BC2-C9D5-4985-A68F-A98BB7456397}">
    <text xml:space="preserve">Control efficiency is already included in the PM10 emission lb/hr, and the PM10 lb/hr is used in the calculation for all speciated particulate emissions
</text>
  </threadedComment>
  <threadedComment ref="I189" dT="2023-12-08T17:37:00.46" personId="{78F471E7-1970-4235-AE1E-4247586B0CAF}" id="{F439AE55-0269-4BF8-9D89-8E58F37F3B2E}">
    <text xml:space="preserve">Refer to speciated particulate * HAPs Metal tabs in LV PTE Calculation Spreadsheet </text>
  </threadedComment>
  <threadedComment ref="E190" dT="2023-08-01T22:08:36.09" personId="{78F471E7-1970-4235-AE1E-4247586B0CAF}" id="{FAA7866F-327B-48B0-AC8F-A7B4435EB290}">
    <text xml:space="preserve">Control efficiency is already included in the PM10 emission lb/hr, and the PM10 lb/hr is used in the calculation for all speciated particulate emissions
</text>
  </threadedComment>
  <threadedComment ref="I190" dT="2023-12-08T17:37:00.46" personId="{78F471E7-1970-4235-AE1E-4247586B0CAF}" id="{9AD87684-A1EA-4A71-AB41-9E192E91CD6E}">
    <text xml:space="preserve">Refer to speciated particulate * HAPs Metal tabs in LV PTE Calculation Spreadsheet </text>
  </threadedComment>
  <threadedComment ref="E191" dT="2023-08-01T22:08:36.09" personId="{78F471E7-1970-4235-AE1E-4247586B0CAF}" id="{C645D08E-2FC9-40B0-9D0B-2B7FE5BF4E10}">
    <text xml:space="preserve">Control efficiency is already included in the PM10 emission lb/hr, and the PM10 lb/hr is used in the calculation for all speciated particulate emissions
</text>
  </threadedComment>
  <threadedComment ref="I191" dT="2023-10-20T00:59:16.03" personId="{78F471E7-1970-4235-AE1E-4247586B0CAF}" id="{78090E97-6A59-4F12-BD46-B7CB53FC69DF}">
    <text xml:space="preserve">To be ultra conservative, use the total % of the chemical in natural pozz and quicklime, to determine emissions, even though only a percentage of the chemical will actually go into each reactor for batching. 
</text>
  </threadedComment>
  <threadedComment ref="E192" dT="2023-08-01T22:08:36.09" personId="{78F471E7-1970-4235-AE1E-4247586B0CAF}" id="{336FC0FE-22FE-4F7F-9FAE-F2400EF3B76D}">
    <text xml:space="preserve">Control efficiency is already included in the PM10 emission lb/hr, and the PM10 lb/hr is used in the calculation for all speciated particulate emissions
</text>
  </threadedComment>
  <threadedComment ref="I192" dT="2023-10-20T01:03:11.49" personId="{78F471E7-1970-4235-AE1E-4247586B0CAF}" id="{2012B1B8-8D21-416D-9960-AD8F51AC33E1}">
    <text>To be ultra conservative we used the total percent from Natural Pozzolan SDS, since the main constituent in the final product is the natural SCM Pozzolan, TEA99 and polycarboxylate chemicals don’t have constituents listed on the DEQ pollutant list</text>
  </threadedComment>
  <threadedComment ref="E193" dT="2023-08-01T22:08:36.09" personId="{78F471E7-1970-4235-AE1E-4247586B0CAF}" id="{9FD61255-9BE1-436F-8DE2-918945AF521B}">
    <text xml:space="preserve">Control efficiency is already included in the PM10 emission lb/hr, and the PM10 lb/hr is used in the calculation for all speciated particulate emissions
</text>
  </threadedComment>
  <threadedComment ref="I193" dT="2023-12-08T17:37:00.46" personId="{78F471E7-1970-4235-AE1E-4247586B0CAF}" id="{A7032C21-A60B-4312-9ACA-AC15FDC3201B}">
    <text xml:space="preserve">Refer to speciated particulate * HAPs Metal tabs in LV PTE Calculation Spreadsheet </text>
  </threadedComment>
  <threadedComment ref="E194" dT="2023-08-01T22:08:36.09" personId="{78F471E7-1970-4235-AE1E-4247586B0CAF}" id="{646FCDBE-077B-4704-93D8-F608C6436F18}">
    <text xml:space="preserve">Control efficiency is already included in the PM10 emission lb/hr, and the PM10 lb/hr is used in the calculation for all speciated particulate emissions
</text>
  </threadedComment>
  <threadedComment ref="I194" dT="2023-12-08T17:37:00.46" personId="{78F471E7-1970-4235-AE1E-4247586B0CAF}" id="{2489C46D-673E-41E8-AB17-CA9AE3246BAB}">
    <text xml:space="preserve">Refer to speciated particulate * HAPs Metal tabs in LV PTE Calculation Spreadsheet </text>
  </threadedComment>
  <threadedComment ref="E195" dT="2023-08-01T22:08:36.09" personId="{78F471E7-1970-4235-AE1E-4247586B0CAF}" id="{A998D224-8961-4565-8EF5-D58A0CC1C0BD}">
    <text xml:space="preserve">Control efficiency is already included in the PM10 emission lb/hr, and the PM10 lb/hr is used in the calculation for all speciated particulate emissions
</text>
  </threadedComment>
  <threadedComment ref="I195" dT="2023-12-08T17:37:00.46" personId="{78F471E7-1970-4235-AE1E-4247586B0CAF}" id="{37030CCB-9080-402C-9611-8C8A7FB5170F}">
    <text xml:space="preserve">Refer to speciated particulate * HAPs Metal tabs in LV PTE Calculation Spreadsheet </text>
  </threadedComment>
  <threadedComment ref="E196" dT="2023-08-01T22:08:36.09" personId="{78F471E7-1970-4235-AE1E-4247586B0CAF}" id="{CD727731-1070-4EEE-AD3F-1EDE9DB960A2}">
    <text xml:space="preserve">Control efficiency is already included in the PM10 emission lb/hr, and the PM10 lb/hr is used in the calculation for all speciated particulate emissions
</text>
  </threadedComment>
  <threadedComment ref="I196" dT="2023-12-08T17:37:00.46" personId="{78F471E7-1970-4235-AE1E-4247586B0CAF}" id="{117166F3-2EB9-43B3-8E16-F4385DC20F87}">
    <text xml:space="preserve">Refer to speciated particulate * HAPs Metal tabs in LV PTE Calculation Spreadsheet </text>
  </threadedComment>
  <threadedComment ref="E197" dT="2023-08-01T22:08:36.09" personId="{78F471E7-1970-4235-AE1E-4247586B0CAF}" id="{784E5D76-2B9B-4152-99A1-C113AFB86BA1}">
    <text xml:space="preserve">Control efficiency is already included in the PM10 emission lb/hr, and the PM10 lb/hr is used in the calculation for all speciated particulate emissions
</text>
  </threadedComment>
  <threadedComment ref="I197" dT="2023-12-08T17:37:00.46" personId="{78F471E7-1970-4235-AE1E-4247586B0CAF}" id="{B912D6D8-DB97-41AC-9065-A0E803E276E8}">
    <text xml:space="preserve">Refer to speciated particulate * HAPs Metal tabs in LV PTE Calculation Spreadsheet </text>
  </threadedComment>
  <threadedComment ref="E198" dT="2023-08-01T22:08:36.09" personId="{78F471E7-1970-4235-AE1E-4247586B0CAF}" id="{FECD63CA-8E0E-4A10-9C55-223B5EF675DE}">
    <text xml:space="preserve">Control efficiency is already included in the PM10 emission lb/hr, and the PM10 lb/hr is used in the calculation for all speciated particulate emissions
</text>
  </threadedComment>
  <threadedComment ref="I198" dT="2023-12-08T17:37:00.46" personId="{78F471E7-1970-4235-AE1E-4247586B0CAF}" id="{BC548444-4C6E-472D-BD8A-5F0934BCED0A}">
    <text xml:space="preserve">Refer to speciated particulate * HAPs Metal tabs in LV PTE Calculation Spreadsheet </text>
  </threadedComment>
  <threadedComment ref="E199" dT="2023-08-01T22:08:36.09" personId="{78F471E7-1970-4235-AE1E-4247586B0CAF}" id="{455EF656-9181-426D-AB37-C24E83707C41}">
    <text xml:space="preserve">Control efficiency is already included in the PM10 emission lb/hr, and the PM10 lb/hr is used in the calculation for all speciated particulate emissions
</text>
  </threadedComment>
  <threadedComment ref="I199" dT="2023-12-08T17:37:00.46" personId="{78F471E7-1970-4235-AE1E-4247586B0CAF}" id="{41A411FC-4BA2-4D5C-92C8-0AA3F09BD99F}">
    <text xml:space="preserve">Refer to speciated particulate * HAPs Metal tabs in LV PTE Calculation Spreadsheet </text>
  </threadedComment>
  <threadedComment ref="E200" dT="2023-08-01T22:08:36.09" personId="{78F471E7-1970-4235-AE1E-4247586B0CAF}" id="{E2471F81-D53C-473C-8D73-D19012EC82A6}">
    <text xml:space="preserve">Control efficiency is already included in the PM10 emission lb/hr, and the PM10 lb/hr is used in the calculation for all speciated particulate emissions
</text>
  </threadedComment>
  <threadedComment ref="I200" dT="2023-12-08T17:37:00.46" personId="{78F471E7-1970-4235-AE1E-4247586B0CAF}" id="{9F63CA2D-7A7A-495E-888B-5A9FAB4F7BA6}">
    <text xml:space="preserve">Refer to speciated particulate * HAPs Metal tabs in LV PTE Calculation Spreadsheet </text>
  </threadedComment>
  <threadedComment ref="E201" dT="2023-08-01T22:08:36.09" personId="{78F471E7-1970-4235-AE1E-4247586B0CAF}" id="{FA6E6CB9-BE97-4962-B6AF-F4E64A5D3C1B}">
    <text xml:space="preserve">Control efficiency is already included in the PM10 emission lb/hr, and the PM10 lb/hr is used in the calculation for all speciated particulate emissions
</text>
  </threadedComment>
  <threadedComment ref="I201" dT="2023-12-08T17:37:00.46" personId="{78F471E7-1970-4235-AE1E-4247586B0CAF}" id="{F65DA47D-0471-413F-96A4-B48563E0F7AB}">
    <text xml:space="preserve">Refer to speciated particulate * HAPs Metal tabs in LV PTE Calculation Spreadsheet </text>
  </threadedComment>
  <threadedComment ref="E224" dT="2023-08-01T22:08:36.09" personId="{78F471E7-1970-4235-AE1E-4247586B0CAF}" id="{9AEC991A-2B8C-4B30-9D3F-BAD57A573237}">
    <text xml:space="preserve">Control efficiency is already included in the PM10 emission lb/hr, and the PM10 lb/hr is used in the calculation for all speciated particulate emissions
</text>
  </threadedComment>
  <threadedComment ref="I224" dT="2023-10-20T00:59:16.03" personId="{78F471E7-1970-4235-AE1E-4247586B0CAF}" id="{5E2E72AC-9103-438D-9DD5-7ACD1EF91C92}">
    <text xml:space="preserve">To be ultra conservative, use the total % of the chemical in natural pozz and quicklime, to determine emissions, even though only a percentage of the chemical will actually go into each reactor for batching. 
</text>
  </threadedComment>
  <threadedComment ref="E225" dT="2023-08-01T22:08:36.09" personId="{78F471E7-1970-4235-AE1E-4247586B0CAF}" id="{92AD2C01-027C-4193-8AAA-8CEDC5E2661E}">
    <text xml:space="preserve">Control efficiency is already included in the PM10 emission lb/hr, and the PM10 lb/hr is used in the calculation for all speciated particulate emissions
</text>
  </threadedComment>
  <threadedComment ref="I225" dT="2023-10-20T01:03:11.49" personId="{78F471E7-1970-4235-AE1E-4247586B0CAF}" id="{E5AF2804-85E8-407E-B5D6-1875B120866E}">
    <text>To be ultra conservative we used the total percent from Natural Pozzolan SDS, since the main constituent in the final product is the natural SCM Pozzolan, TEA99 and polycarboxylate chemicals don’t have constituents listed on the DEQ pollutant list</text>
  </threadedComment>
  <threadedComment ref="E226" dT="2023-08-01T22:08:36.09" personId="{78F471E7-1970-4235-AE1E-4247586B0CAF}" id="{7C1FF349-7968-4447-81C0-07FBA4C3FF99}">
    <text xml:space="preserve">Control efficiency is already included in the PM10 emission lb/hr, and the PM10 lb/hr is used in the calculation for all speciated particulate emissions
</text>
  </threadedComment>
  <threadedComment ref="I226" dT="2023-12-08T17:37:00.46" personId="{78F471E7-1970-4235-AE1E-4247586B0CAF}" id="{6687F326-44CB-4A98-9A3D-A384B8C74743}">
    <text xml:space="preserve">Refer to speciated particulate * HAPs Metal tabs in LV PTE Calculation Spreadsheet </text>
  </threadedComment>
  <threadedComment ref="E227" dT="2023-08-01T22:08:36.09" personId="{78F471E7-1970-4235-AE1E-4247586B0CAF}" id="{F7FC4897-47A6-42D4-B26A-3EC17533BF44}">
    <text xml:space="preserve">Control efficiency is already included in the PM10 emission lb/hr, and the PM10 lb/hr is used in the calculation for all speciated particulate emissions
</text>
  </threadedComment>
  <threadedComment ref="I227" dT="2023-12-08T17:37:00.46" personId="{78F471E7-1970-4235-AE1E-4247586B0CAF}" id="{1BC67BE1-E27D-4CC1-BF87-45F87C499F99}">
    <text xml:space="preserve">Refer to speciated particulate * HAPs Metal tabs in LV PTE Calculation Spreadsheet </text>
  </threadedComment>
  <threadedComment ref="E228" dT="2023-08-01T22:08:36.09" personId="{78F471E7-1970-4235-AE1E-4247586B0CAF}" id="{6303BF14-EFB2-4817-8612-3E9B35AA74FB}">
    <text xml:space="preserve">Control efficiency is already included in the PM10 emission lb/hr, and the PM10 lb/hr is used in the calculation for all speciated particulate emissions
</text>
  </threadedComment>
  <threadedComment ref="I228" dT="2023-12-08T17:37:00.46" personId="{78F471E7-1970-4235-AE1E-4247586B0CAF}" id="{98749F30-2948-48FE-8325-E58E0B1C60BC}">
    <text xml:space="preserve">Refer to speciated particulate * HAPs Metal tabs in LV PTE Calculation Spreadsheet </text>
  </threadedComment>
  <threadedComment ref="E229" dT="2023-08-01T22:08:36.09" personId="{78F471E7-1970-4235-AE1E-4247586B0CAF}" id="{FE353516-A325-48DB-98AA-55C677F0C84F}">
    <text xml:space="preserve">Control efficiency is already included in the PM10 emission lb/hr, and the PM10 lb/hr is used in the calculation for all speciated particulate emissions
</text>
  </threadedComment>
  <threadedComment ref="I229" dT="2023-12-08T17:37:00.46" personId="{78F471E7-1970-4235-AE1E-4247586B0CAF}" id="{5D73D471-FD61-4272-AFA3-364A260E30E3}">
    <text xml:space="preserve">Refer to speciated particulate * HAPs Metal tabs in LV PTE Calculation Spreadsheet </text>
  </threadedComment>
  <threadedComment ref="E230" dT="2023-08-01T22:08:36.09" personId="{78F471E7-1970-4235-AE1E-4247586B0CAF}" id="{7E3E87C1-FDB8-4A0D-9D8C-42373D001995}">
    <text xml:space="preserve">Control efficiency is already included in the PM10 emission lb/hr, and the PM10 lb/hr is used in the calculation for all speciated particulate emissions
</text>
  </threadedComment>
  <threadedComment ref="I230" dT="2023-12-08T17:37:00.46" personId="{78F471E7-1970-4235-AE1E-4247586B0CAF}" id="{74BA3D22-6739-49EF-B4A8-27E8E1D27E2B}">
    <text xml:space="preserve">Refer to speciated particulate * HAPs Metal tabs in LV PTE Calculation Spreadsheet </text>
  </threadedComment>
  <threadedComment ref="E231" dT="2023-08-01T22:08:36.09" personId="{78F471E7-1970-4235-AE1E-4247586B0CAF}" id="{5F4E062B-4ECA-49D5-91C1-BBDD0E1EA542}">
    <text xml:space="preserve">Control efficiency is already included in the PM10 emission lb/hr, and the PM10 lb/hr is used in the calculation for all speciated particulate emissions
</text>
  </threadedComment>
  <threadedComment ref="I231" dT="2023-12-08T17:37:00.46" personId="{78F471E7-1970-4235-AE1E-4247586B0CAF}" id="{DF814ECB-4E7B-4022-9C2E-16F239BE9238}">
    <text xml:space="preserve">Refer to speciated particulate * HAPs Metal tabs in LV PTE Calculation Spreadsheet </text>
  </threadedComment>
  <threadedComment ref="E232" dT="2023-08-01T22:08:36.09" personId="{78F471E7-1970-4235-AE1E-4247586B0CAF}" id="{A8E3B4AE-7E68-4F85-BA57-F0CD262DC462}">
    <text xml:space="preserve">Control efficiency is already included in the PM10 emission lb/hr, and the PM10 lb/hr is used in the calculation for all speciated particulate emissions
</text>
  </threadedComment>
  <threadedComment ref="I232" dT="2023-12-08T17:37:00.46" personId="{78F471E7-1970-4235-AE1E-4247586B0CAF}" id="{911CE5F9-1B27-4EC3-AE97-9DDB1D86D413}">
    <text xml:space="preserve">Refer to speciated particulate * HAPs Metal tabs in LV PTE Calculation Spreadsheet </text>
  </threadedComment>
  <threadedComment ref="E233" dT="2023-08-01T22:08:36.09" personId="{78F471E7-1970-4235-AE1E-4247586B0CAF}" id="{2EC92CD6-BA2C-4BF6-B947-B1807EAA0EE6}">
    <text xml:space="preserve">Control efficiency is already included in the PM10 emission lb/hr, and the PM10 lb/hr is used in the calculation for all speciated particulate emissions
</text>
  </threadedComment>
  <threadedComment ref="I233" dT="2023-12-08T17:37:00.46" personId="{78F471E7-1970-4235-AE1E-4247586B0CAF}" id="{E26B8A5E-AE65-420B-8E60-12F640289142}">
    <text xml:space="preserve">Refer to speciated particulate * HAPs Metal tabs in LV PTE Calculation Spreadsheet </text>
  </threadedComment>
  <threadedComment ref="E234" dT="2023-08-01T22:08:36.09" personId="{78F471E7-1970-4235-AE1E-4247586B0CAF}" id="{9809CBCF-CFB4-40B8-BE7B-DAA054ABF6A4}">
    <text xml:space="preserve">Control efficiency is already included in the PM10 emission lb/hr, and the PM10 lb/hr is used in the calculation for all speciated particulate emissions
</text>
  </threadedComment>
  <threadedComment ref="I234" dT="2023-12-08T17:37:00.46" personId="{78F471E7-1970-4235-AE1E-4247586B0CAF}" id="{321B6AA5-0E41-42A4-B1FA-DFA22A61C1B8}">
    <text xml:space="preserve">Refer to speciated particulate * HAPs Metal tabs in LV PTE Calculation Spreadsheet </text>
  </threadedComment>
  <threadedComment ref="E235" dT="2023-08-01T22:08:36.09" personId="{78F471E7-1970-4235-AE1E-4247586B0CAF}" id="{F5DF0665-353C-45D6-8550-A4B91A6EB10A}">
    <text xml:space="preserve">Control efficiency is already included in the PM10 emission lb/hr, and the PM10 lb/hr is used in the calculation for all speciated particulate emissions
</text>
  </threadedComment>
  <threadedComment ref="I235" dT="2023-10-20T00:59:16.03" personId="{78F471E7-1970-4235-AE1E-4247586B0CAF}" id="{224182CE-8656-4E7B-89CD-3A4D0A3031FB}">
    <text xml:space="preserve">To be ultra conservative, use the total % of the chemical in natural pozz and quicklime, to determine emissions, even though only a percentage of the chemical will actually go into each reactor for batching. 
</text>
  </threadedComment>
  <threadedComment ref="E236" dT="2023-08-01T22:08:36.09" personId="{78F471E7-1970-4235-AE1E-4247586B0CAF}" id="{53400A5F-2D52-4A7F-A0B3-795574E8D913}">
    <text xml:space="preserve">Control efficiency is already included in the PM10 emission lb/hr, and the PM10 lb/hr is used in the calculation for all speciated particulate emissions
</text>
  </threadedComment>
  <threadedComment ref="I236" dT="2023-10-20T01:03:11.49" personId="{78F471E7-1970-4235-AE1E-4247586B0CAF}" id="{67B778A5-DED5-465E-A369-D1D14C127329}">
    <text>To be ultra conservative we used the total percent from Natural Pozzolan SDS, since the main constituent in the final product is the natural SCM Pozzolan, TEA99 and polycarboxylate chemicals don’t have constituents listed on the DEQ pollutant list</text>
  </threadedComment>
  <threadedComment ref="E237" dT="2023-08-01T22:08:36.09" personId="{78F471E7-1970-4235-AE1E-4247586B0CAF}" id="{736B1C4E-00B1-4D65-A6C3-60D1CAF2D228}">
    <text xml:space="preserve">Control efficiency is already included in the PM10 emission lb/hr, and the PM10 lb/hr is used in the calculation for all speciated particulate emissions
</text>
  </threadedComment>
  <threadedComment ref="I237" dT="2023-12-08T17:37:00.46" personId="{78F471E7-1970-4235-AE1E-4247586B0CAF}" id="{034857FE-45E4-4961-8F7C-221BC0245F5A}">
    <text xml:space="preserve">Refer to speciated particulate * HAPs Metal tabs in LV PTE Calculation Spreadsheet </text>
  </threadedComment>
  <threadedComment ref="E238" dT="2023-08-01T22:08:36.09" personId="{78F471E7-1970-4235-AE1E-4247586B0CAF}" id="{37F0380E-F0AE-4A44-B56A-28B51737E9A9}">
    <text xml:space="preserve">Control efficiency is already included in the PM10 emission lb/hr, and the PM10 lb/hr is used in the calculation for all speciated particulate emissions
</text>
  </threadedComment>
  <threadedComment ref="I238" dT="2023-12-08T17:37:00.46" personId="{78F471E7-1970-4235-AE1E-4247586B0CAF}" id="{D3A37C67-FA3C-465F-B6B1-8DE6D3D3D7F6}">
    <text xml:space="preserve">Refer to speciated particulate * HAPs Metal tabs in LV PTE Calculation Spreadsheet </text>
  </threadedComment>
  <threadedComment ref="E239" dT="2023-08-01T22:08:36.09" personId="{78F471E7-1970-4235-AE1E-4247586B0CAF}" id="{99B6EE43-2660-407C-BF15-117C826D7729}">
    <text xml:space="preserve">Control efficiency is already included in the PM10 emission lb/hr, and the PM10 lb/hr is used in the calculation for all speciated particulate emissions
</text>
  </threadedComment>
  <threadedComment ref="I239" dT="2023-12-08T17:37:00.46" personId="{78F471E7-1970-4235-AE1E-4247586B0CAF}" id="{35D87009-DB4B-4264-AC90-3DD7881F014D}">
    <text xml:space="preserve">Refer to speciated particulate * HAPs Metal tabs in LV PTE Calculation Spreadsheet </text>
  </threadedComment>
  <threadedComment ref="E240" dT="2023-08-01T22:08:36.09" personId="{78F471E7-1970-4235-AE1E-4247586B0CAF}" id="{651390CE-7660-4DC9-A9B3-56307A1E9A43}">
    <text xml:space="preserve">Control efficiency is already included in the PM10 emission lb/hr, and the PM10 lb/hr is used in the calculation for all speciated particulate emissions
</text>
  </threadedComment>
  <threadedComment ref="I240" dT="2023-12-08T17:37:00.46" personId="{78F471E7-1970-4235-AE1E-4247586B0CAF}" id="{C1A9FDEF-A566-45F7-B77A-84B40E977ED2}">
    <text xml:space="preserve">Refer to speciated particulate * HAPs Metal tabs in LV PTE Calculation Spreadsheet </text>
  </threadedComment>
  <threadedComment ref="E241" dT="2023-08-01T22:08:36.09" personId="{78F471E7-1970-4235-AE1E-4247586B0CAF}" id="{EB76786F-7A47-4D71-B422-944C55CCBF3D}">
    <text xml:space="preserve">Control efficiency is already included in the PM10 emission lb/hr, and the PM10 lb/hr is used in the calculation for all speciated particulate emissions
</text>
  </threadedComment>
  <threadedComment ref="I241" dT="2023-12-08T17:37:00.46" personId="{78F471E7-1970-4235-AE1E-4247586B0CAF}" id="{695FC566-0CA1-4103-86CC-87332E1EBC02}">
    <text xml:space="preserve">Refer to speciated particulate * HAPs Metal tabs in LV PTE Calculation Spreadsheet </text>
  </threadedComment>
  <threadedComment ref="E242" dT="2023-08-01T22:08:36.09" personId="{78F471E7-1970-4235-AE1E-4247586B0CAF}" id="{69219591-F7A4-483A-9F13-CFBDED590FD9}">
    <text xml:space="preserve">Control efficiency is already included in the PM10 emission lb/hr, and the PM10 lb/hr is used in the calculation for all speciated particulate emissions
</text>
  </threadedComment>
  <threadedComment ref="I242" dT="2023-12-08T17:37:00.46" personId="{78F471E7-1970-4235-AE1E-4247586B0CAF}" id="{5F9C8EC8-6A54-4149-8EA1-A01AB954EC27}">
    <text xml:space="preserve">Refer to speciated particulate * HAPs Metal tabs in LV PTE Calculation Spreadsheet </text>
  </threadedComment>
  <threadedComment ref="E243" dT="2023-08-01T22:08:36.09" personId="{78F471E7-1970-4235-AE1E-4247586B0CAF}" id="{AEB89A2F-3350-4679-BCB8-B5CF5E4F6AE3}">
    <text xml:space="preserve">Control efficiency is already included in the PM10 emission lb/hr, and the PM10 lb/hr is used in the calculation for all speciated particulate emissions
</text>
  </threadedComment>
  <threadedComment ref="I243" dT="2023-12-08T17:37:00.46" personId="{78F471E7-1970-4235-AE1E-4247586B0CAF}" id="{68AF665C-9775-4FEF-8B69-B4D236CF380C}">
    <text xml:space="preserve">Refer to speciated particulate * HAPs Metal tabs in LV PTE Calculation Spreadsheet </text>
  </threadedComment>
  <threadedComment ref="E244" dT="2023-08-01T22:08:36.09" personId="{78F471E7-1970-4235-AE1E-4247586B0CAF}" id="{0936237A-965F-4AE2-AAAE-A1413A56D282}">
    <text xml:space="preserve">Control efficiency is already included in the PM10 emission lb/hr, and the PM10 lb/hr is used in the calculation for all speciated particulate emissions
</text>
  </threadedComment>
  <threadedComment ref="I244" dT="2023-12-08T17:37:00.46" personId="{78F471E7-1970-4235-AE1E-4247586B0CAF}" id="{E2816145-490E-4B7E-8133-9CA1DD9165C4}">
    <text xml:space="preserve">Refer to speciated particulate * HAPs Metal tabs in LV PTE Calculation Spreadsheet </text>
  </threadedComment>
  <threadedComment ref="E245" dT="2023-08-01T22:08:36.09" personId="{78F471E7-1970-4235-AE1E-4247586B0CAF}" id="{D185F1E0-CD42-4123-A7DF-054214928632}">
    <text xml:space="preserve">Control efficiency is already included in the PM10 emission lb/hr, and the PM10 lb/hr is used in the calculation for all speciated particulate emissions
</text>
  </threadedComment>
  <threadedComment ref="I245" dT="2023-12-08T17:37:00.46" personId="{78F471E7-1970-4235-AE1E-4247586B0CAF}" id="{FAB12C70-DBBE-4A17-9F2A-AD9118EEF065}">
    <text xml:space="preserve">Refer to speciated particulate * HAPs Metal tabs in LV PTE Calculation Spreadsheet </text>
  </threadedComment>
  <threadedComment ref="E246" dT="2023-08-01T22:08:36.09" personId="{78F471E7-1970-4235-AE1E-4247586B0CAF}" id="{3037DF8B-F0F9-41D3-93B9-51CBC0FEEEB5}">
    <text xml:space="preserve">Control efficiency is already included in the PM10 emission lb/hr, and the PM10 lb/hr is used in the calculation for all speciated particulate emissions
</text>
  </threadedComment>
  <threadedComment ref="I246" dT="2023-10-20T00:59:16.03" personId="{78F471E7-1970-4235-AE1E-4247586B0CAF}" id="{C8338CE1-9C8D-41D0-BE1D-892CC30C77D2}">
    <text xml:space="preserve">To be ultra conservative, use the total % of the chemical in natural pozz and quicklime, to determine emissions, even though only a percentage of the chemical will actually go into each reactor for batching. 
</text>
  </threadedComment>
  <threadedComment ref="E247" dT="2023-08-01T22:08:36.09" personId="{78F471E7-1970-4235-AE1E-4247586B0CAF}" id="{6119C122-CA11-4BB1-8FF9-8581D043AF4C}">
    <text xml:space="preserve">Control efficiency is already included in the PM10 emission lb/hr, and the PM10 lb/hr is used in the calculation for all speciated particulate emissions
</text>
  </threadedComment>
  <threadedComment ref="I247" dT="2023-10-20T01:03:11.49" personId="{78F471E7-1970-4235-AE1E-4247586B0CAF}" id="{9E7C2D07-A6D3-47DB-838A-45555ADA633E}">
    <text>To be ultra conservative we used the total percent from Natural Pozzolan SDS, since the main constituent in the final product is the natural SCM Pozzolan, TEA99 and polycarboxylate chemicals don’t have constituents listed on the DEQ pollutant list</text>
  </threadedComment>
  <threadedComment ref="E248" dT="2023-08-01T22:08:36.09" personId="{78F471E7-1970-4235-AE1E-4247586B0CAF}" id="{4FBC6104-7C8F-4615-870F-0F9B4B9168FE}">
    <text xml:space="preserve">Control efficiency is already included in the PM10 emission lb/hr, and the PM10 lb/hr is used in the calculation for all speciated particulate emissions
</text>
  </threadedComment>
  <threadedComment ref="I248" dT="2023-12-08T17:37:00.46" personId="{78F471E7-1970-4235-AE1E-4247586B0CAF}" id="{6FBEE781-AF41-419F-9CF3-93F5CA988789}">
    <text xml:space="preserve">Refer to speciated particulate * HAPs Metal tabs in LV PTE Calculation Spreadsheet </text>
  </threadedComment>
  <threadedComment ref="E249" dT="2023-08-01T22:08:36.09" personId="{78F471E7-1970-4235-AE1E-4247586B0CAF}" id="{D1571952-DB7D-40CC-8328-FA24EDD621AA}">
    <text xml:space="preserve">Control efficiency is already included in the PM10 emission lb/hr, and the PM10 lb/hr is used in the calculation for all speciated particulate emissions
</text>
  </threadedComment>
  <threadedComment ref="I249" dT="2023-12-08T17:37:00.46" personId="{78F471E7-1970-4235-AE1E-4247586B0CAF}" id="{8E51E0FF-769C-4A0B-B0E0-64F338B06171}">
    <text xml:space="preserve">Refer to speciated particulate * HAPs Metal tabs in LV PTE Calculation Spreadsheet </text>
  </threadedComment>
  <threadedComment ref="E250" dT="2023-08-01T22:08:36.09" personId="{78F471E7-1970-4235-AE1E-4247586B0CAF}" id="{C37DC923-6160-4E32-A5D7-059CDA6F316D}">
    <text xml:space="preserve">Control efficiency is already included in the PM10 emission lb/hr, and the PM10 lb/hr is used in the calculation for all speciated particulate emissions
</text>
  </threadedComment>
  <threadedComment ref="I250" dT="2023-12-08T17:37:00.46" personId="{78F471E7-1970-4235-AE1E-4247586B0CAF}" id="{DB41E8C3-C675-41CC-AB2B-7E87C79F1D16}">
    <text xml:space="preserve">Refer to speciated particulate * HAPs Metal tabs in LV PTE Calculation Spreadsheet </text>
  </threadedComment>
  <threadedComment ref="E251" dT="2023-08-01T22:08:36.09" personId="{78F471E7-1970-4235-AE1E-4247586B0CAF}" id="{CDF984EC-2077-41F3-B701-03D946DF420B}">
    <text xml:space="preserve">Control efficiency is already included in the PM10 emission lb/hr, and the PM10 lb/hr is used in the calculation for all speciated particulate emissions
</text>
  </threadedComment>
  <threadedComment ref="I251" dT="2023-12-08T17:37:00.46" personId="{78F471E7-1970-4235-AE1E-4247586B0CAF}" id="{F4FCBD15-A9C2-4170-AEDD-F625270457CB}">
    <text xml:space="preserve">Refer to speciated particulate * HAPs Metal tabs in LV PTE Calculation Spreadsheet </text>
  </threadedComment>
  <threadedComment ref="E252" dT="2023-08-01T22:08:36.09" personId="{78F471E7-1970-4235-AE1E-4247586B0CAF}" id="{9AF9FFB8-F07B-4D04-9B77-5FB6A2991F8D}">
    <text xml:space="preserve">Control efficiency is already included in the PM10 emission lb/hr, and the PM10 lb/hr is used in the calculation for all speciated particulate emissions
</text>
  </threadedComment>
  <threadedComment ref="I252" dT="2023-12-08T17:37:00.46" personId="{78F471E7-1970-4235-AE1E-4247586B0CAF}" id="{D4A605B3-D6B5-4F3C-9A2C-A3EAE9F0A50C}">
    <text xml:space="preserve">Refer to speciated particulate * HAPs Metal tabs in LV PTE Calculation Spreadsheet </text>
  </threadedComment>
  <threadedComment ref="E253" dT="2023-08-01T22:08:36.09" personId="{78F471E7-1970-4235-AE1E-4247586B0CAF}" id="{20111554-BB59-445A-8DC9-30861F926E39}">
    <text xml:space="preserve">Control efficiency is already included in the PM10 emission lb/hr, and the PM10 lb/hr is used in the calculation for all speciated particulate emissions
</text>
  </threadedComment>
  <threadedComment ref="I253" dT="2023-12-08T17:37:00.46" personId="{78F471E7-1970-4235-AE1E-4247586B0CAF}" id="{77441C44-D1F3-4391-86D1-697C8C52702D}">
    <text xml:space="preserve">Refer to speciated particulate * HAPs Metal tabs in LV PTE Calculation Spreadsheet </text>
  </threadedComment>
  <threadedComment ref="E254" dT="2023-08-01T22:08:36.09" personId="{78F471E7-1970-4235-AE1E-4247586B0CAF}" id="{777456A7-5C5B-4BEB-AC02-38B0F366E24D}">
    <text xml:space="preserve">Control efficiency is already included in the PM10 emission lb/hr, and the PM10 lb/hr is used in the calculation for all speciated particulate emissions
</text>
  </threadedComment>
  <threadedComment ref="I254" dT="2023-12-08T17:37:00.46" personId="{78F471E7-1970-4235-AE1E-4247586B0CAF}" id="{33FB8909-9812-43CB-807F-E5528583D848}">
    <text xml:space="preserve">Refer to speciated particulate * HAPs Metal tabs in LV PTE Calculation Spreadsheet </text>
  </threadedComment>
  <threadedComment ref="E255" dT="2023-08-01T22:08:36.09" personId="{78F471E7-1970-4235-AE1E-4247586B0CAF}" id="{AF0630B7-B1A0-4E18-8EEA-DF6748A407FD}">
    <text xml:space="preserve">Control efficiency is already included in the PM10 emission lb/hr, and the PM10 lb/hr is used in the calculation for all speciated particulate emissions
</text>
  </threadedComment>
  <threadedComment ref="I255" dT="2023-12-08T17:37:00.46" personId="{78F471E7-1970-4235-AE1E-4247586B0CAF}" id="{DB10C9E8-7682-45A3-BDA7-92EEF3D0ECC4}">
    <text xml:space="preserve">Refer to speciated particulate * HAPs Metal tabs in LV PTE Calculation Spreadsheet </text>
  </threadedComment>
  <threadedComment ref="E256" dT="2023-08-01T22:08:36.09" personId="{78F471E7-1970-4235-AE1E-4247586B0CAF}" id="{B3500E28-BD6A-46B4-9158-D2379E580E68}">
    <text xml:space="preserve">Control efficiency is already included in the PM10 emission lb/hr, and the PM10 lb/hr is used in the calculation for all speciated particulate emissions
</text>
  </threadedComment>
  <threadedComment ref="I256" dT="2023-12-08T17:37:00.46" personId="{78F471E7-1970-4235-AE1E-4247586B0CAF}" id="{F0483D94-08FA-4E28-8D28-B2E3D2BD5E5E}">
    <text xml:space="preserve">Refer to speciated particulate * HAPs Metal tabs in LV PTE Calculation Spreadsheet </text>
  </threadedComment>
  <threadedComment ref="E257" dT="2023-08-01T22:08:36.09" personId="{78F471E7-1970-4235-AE1E-4247586B0CAF}" id="{93268A4B-6C12-4BEE-84C4-8869843F8A5E}">
    <text xml:space="preserve">Control efficiency is already included in the PM10 emission lb/hr, and the PM10 lb/hr is used in the calculation for all speciated particulate emissions
</text>
  </threadedComment>
  <threadedComment ref="E258" dT="2023-08-01T22:08:36.09" personId="{78F471E7-1970-4235-AE1E-4247586B0CAF}" id="{7826E8F4-93F2-463B-8727-2D09D3E727F8}">
    <text xml:space="preserve">Control efficiency is already included in the PM10 emission lb/hr, and the PM10 lb/hr is used in the calculation for all speciated particulate emissions
</text>
  </threadedComment>
  <threadedComment ref="E259" dT="2023-08-01T22:08:36.09" personId="{78F471E7-1970-4235-AE1E-4247586B0CAF}" id="{9160F563-649D-4746-BB55-71A486761895}">
    <text xml:space="preserve">Control efficiency is already included in the PM10 emission lb/hr, and the PM10 lb/hr is used in the calculation for all speciated particulate emissions
</text>
  </threadedComment>
  <threadedComment ref="I259" dT="2023-12-08T17:37:00.46" personId="{78F471E7-1970-4235-AE1E-4247586B0CAF}" id="{2B5133F5-3A0B-4D17-9699-D9D981CB6829}">
    <text xml:space="preserve">Refer to speciated particulate * HAPs Metal tabs in LV PTE Calculation Spreadsheet </text>
  </threadedComment>
  <threadedComment ref="E260" dT="2023-08-01T22:08:36.09" personId="{78F471E7-1970-4235-AE1E-4247586B0CAF}" id="{EDC50B90-CB5F-4B75-9C90-0D4BEC1A0D40}">
    <text xml:space="preserve">Control efficiency is already included in the PM10 emission lb/hr, and the PM10 lb/hr is used in the calculation for all speciated particulate emissions
</text>
  </threadedComment>
  <threadedComment ref="E261" dT="2023-08-01T22:08:36.09" personId="{78F471E7-1970-4235-AE1E-4247586B0CAF}" id="{A75DA654-8F4F-497E-B603-05B08B0107C0}">
    <text xml:space="preserve">Control efficiency is already included in the PM10 emission lb/hr, and the PM10 lb/hr is used in the calculation for all speciated particulate emissions
</text>
  </threadedComment>
  <threadedComment ref="E262" dT="2023-08-01T22:08:36.09" personId="{78F471E7-1970-4235-AE1E-4247586B0CAF}" id="{EDA0B6CE-CCA2-4A15-BF31-D9EB043E0F1C}">
    <text xml:space="preserve">Control efficiency is already included in the PM10 emission lb/hr, and the PM10 lb/hr is used in the calculation for all speciated particulate emissions
</text>
  </threadedComment>
  <threadedComment ref="E263" dT="2023-08-01T22:08:36.09" personId="{78F471E7-1970-4235-AE1E-4247586B0CAF}" id="{8833FAD4-DE9D-4BF6-987F-DDE0D4443990}">
    <text xml:space="preserve">Control efficiency is already included in the PM10 emission lb/hr, and the PM10 lb/hr is used in the calculation for all speciated particulate emissions
</text>
  </threadedComment>
  <threadedComment ref="E264" dT="2023-08-01T22:08:36.09" personId="{78F471E7-1970-4235-AE1E-4247586B0CAF}" id="{CD2A289E-1A4C-4DA2-9498-D38578643BBF}">
    <text xml:space="preserve">Control efficiency is already included in the PM10 emission lb/hr, and the PM10 lb/hr is used in the calculation for all speciated particulate emissions
</text>
  </threadedComment>
  <threadedComment ref="E265" dT="2023-08-01T22:08:36.09" personId="{78F471E7-1970-4235-AE1E-4247586B0CAF}" id="{9A8C9CE5-2252-40FB-98EF-DE0986AD4B6A}">
    <text xml:space="preserve">Control efficiency is already included in the PM10 emission lb/hr, and the PM10 lb/hr is used in the calculation for all speciated particulate emissions
</text>
  </threadedComment>
  <threadedComment ref="E266" dT="2023-08-01T22:08:36.09" personId="{78F471E7-1970-4235-AE1E-4247586B0CAF}" id="{29768BC6-4601-4455-9214-1D95E1BB6453}">
    <text xml:space="preserve">Control efficiency is already included in the PM10 emission lb/hr, and the PM10 lb/hr is used in the calculation for all speciated particulate emissions
</text>
  </threadedComment>
  <threadedComment ref="E267" dT="2023-08-01T22:08:36.09" personId="{78F471E7-1970-4235-AE1E-4247586B0CAF}" id="{72C9962E-A8BF-4510-9295-787F7C24B466}">
    <text xml:space="preserve">Control efficiency is already included in the PM10 emission lb/hr, and the PM10 lb/hr is used in the calculation for all speciated particulate emissions
</text>
  </threadedComment>
  <threadedComment ref="E268" dT="2023-08-01T22:08:36.09" personId="{78F471E7-1970-4235-AE1E-4247586B0CAF}" id="{177E37ED-1D8F-43CF-A94F-8766001F3778}">
    <text xml:space="preserve">Control efficiency is already included in the PM10 emission lb/hr, and the PM10 lb/hr is used in the calculation for all speciated particulate emissions
</text>
  </threadedComment>
  <threadedComment ref="E269" dT="2023-08-01T22:08:36.09" personId="{78F471E7-1970-4235-AE1E-4247586B0CAF}" id="{CE3A461F-00AE-4553-B2AF-728DAD889CF9}">
    <text xml:space="preserve">Control efficiency is already included in the PM10 emission lb/hr, and the PM10 lb/hr is used in the calculation for all speciated particulate emissions
</text>
  </threadedComment>
  <threadedComment ref="E270" dT="2023-08-01T22:08:36.09" personId="{78F471E7-1970-4235-AE1E-4247586B0CAF}" id="{3A23E550-244F-46C2-9E42-FFFEDD861CCB}">
    <text xml:space="preserve">Control efficiency is already included in the PM10 emission lb/hr, and the PM10 lb/hr is used in the calculation for all speciated particulate emissions
</text>
  </threadedComment>
  <threadedComment ref="I270" dT="2023-12-08T17:37:00.46" personId="{78F471E7-1970-4235-AE1E-4247586B0CAF}" id="{AFEE39D9-E6A7-4EF4-9697-E2F685534B47}">
    <text xml:space="preserve">Refer to speciated particulate * HAPs Metal tabs in LV PTE Calculation Spreadsheet </text>
  </threadedComment>
  <threadedComment ref="E271" dT="2023-08-01T22:08:36.09" personId="{78F471E7-1970-4235-AE1E-4247586B0CAF}" id="{9E6DC240-46EA-44E3-9EBF-D0AD8433E7AD}">
    <text xml:space="preserve">Control efficiency is already included in the PM10 emission lb/hr, and the PM10 lb/hr is used in the calculation for all speciated particulate emissions
</text>
  </threadedComment>
  <threadedComment ref="E272" dT="2023-08-01T22:08:36.09" personId="{78F471E7-1970-4235-AE1E-4247586B0CAF}" id="{788367A1-620D-4DA2-9102-A67EF62A0959}">
    <text xml:space="preserve">Control efficiency is already included in the PM10 emission lb/hr, and the PM10 lb/hr is used in the calculation for all speciated particulate emissions
</text>
  </threadedComment>
  <threadedComment ref="E273" dT="2023-08-01T22:08:36.09" personId="{78F471E7-1970-4235-AE1E-4247586B0CAF}" id="{62EEA552-406D-4277-8116-FBDBF9F8732C}">
    <text xml:space="preserve">Control efficiency is already included in the PM10 emission lb/hr, and the PM10 lb/hr is used in the calculation for all speciated particulate emissions
</text>
  </threadedComment>
  <threadedComment ref="E274" dT="2023-08-01T22:08:36.09" personId="{78F471E7-1970-4235-AE1E-4247586B0CAF}" id="{F7D0F802-D566-49F7-9925-025DE56CDDAD}">
    <text xml:space="preserve">Control efficiency is already included in the PM10 emission lb/hr, and the PM10 lb/hr is used in the calculation for all speciated particulate emissions
</text>
  </threadedComment>
  <threadedComment ref="E275" dT="2023-08-01T22:08:36.09" personId="{78F471E7-1970-4235-AE1E-4247586B0CAF}" id="{938A1C73-33A1-443A-9238-9DA99A5573EA}">
    <text xml:space="preserve">Control efficiency is already included in the PM10 emission lb/hr, and the PM10 lb/hr is used in the calculation for all speciated particulate emissions
</text>
  </threadedComment>
  <threadedComment ref="E276" dT="2023-08-01T22:08:36.09" personId="{78F471E7-1970-4235-AE1E-4247586B0CAF}" id="{D44837CA-0E38-4DBF-BEE8-E36092AC5283}">
    <text xml:space="preserve">Control efficiency is already included in the PM10 emission lb/hr, and the PM10 lb/hr is used in the calculation for all speciated particulate emissions
</text>
  </threadedComment>
  <threadedComment ref="E277" dT="2023-08-01T22:08:36.09" personId="{78F471E7-1970-4235-AE1E-4247586B0CAF}" id="{A49394CB-1169-45A3-AA7B-581EB7EBF9A3}">
    <text xml:space="preserve">Control efficiency is already included in the PM10 emission lb/hr, and the PM10 lb/hr is used in the calculation for all speciated particulate emissions
</text>
  </threadedComment>
  <threadedComment ref="E278" dT="2023-08-01T22:08:36.09" personId="{78F471E7-1970-4235-AE1E-4247586B0CAF}" id="{9E5A7DD7-DA72-46AF-B34E-EB7C51835DD6}">
    <text xml:space="preserve">Control efficiency is already included in the PM10 emission lb/hr, and the PM10 lb/hr is used in the calculation for all speciated particulate emissions
</text>
  </threadedComment>
  <threadedComment ref="E279" dT="2023-08-01T22:08:36.09" personId="{78F471E7-1970-4235-AE1E-4247586B0CAF}" id="{E57DDFC7-5332-4D02-BB85-F43A936A626E}">
    <text xml:space="preserve">Control efficiency is already included in the PM10 emission lb/hr, and the PM10 lb/hr is used in the calculation for all speciated particulate emissions
</text>
  </threadedComment>
  <threadedComment ref="E280" dT="2023-08-01T22:08:36.09" personId="{78F471E7-1970-4235-AE1E-4247586B0CAF}" id="{643CD5CC-3484-4889-8078-7D1D72610F36}">
    <text xml:space="preserve">Control efficiency is already included in the PM10 emission lb/hr, and the PM10 lb/hr is used in the calculation for all speciated particulate emissions
</text>
  </threadedComment>
  <threadedComment ref="E281" dT="2023-08-01T22:08:36.09" personId="{78F471E7-1970-4235-AE1E-4247586B0CAF}" id="{EFF5961E-CDB7-4FD3-BC11-8EF97D097C50}">
    <text xml:space="preserve">Control efficiency is already included in the PM10 emission lb/hr, and the PM10 lb/hr is used in the calculation for all speciated particulate emissions
</text>
  </threadedComment>
  <threadedComment ref="I281" dT="2023-12-08T17:37:00.46" personId="{78F471E7-1970-4235-AE1E-4247586B0CAF}" id="{7AD86C36-9F74-46E4-B319-A48794894105}">
    <text xml:space="preserve">Refer to speciated particulate * HAPs Metal tabs in LV PTE Calculation Spreadsheet </text>
  </threadedComment>
  <threadedComment ref="E282" dT="2023-08-01T22:08:36.09" personId="{78F471E7-1970-4235-AE1E-4247586B0CAF}" id="{1559C0CC-8E17-4764-94EA-AE06DD46CD92}">
    <text xml:space="preserve">Control efficiency is already included in the PM10 emission lb/hr, and the PM10 lb/hr is used in the calculation for all speciated particulate emissions
</text>
  </threadedComment>
  <threadedComment ref="E283" dT="2023-08-01T22:08:36.09" personId="{78F471E7-1970-4235-AE1E-4247586B0CAF}" id="{C9B9AA46-F5EE-4067-AE4E-9689ECCFAC5C}">
    <text xml:space="preserve">Control efficiency is already included in the PM10 emission lb/hr, and the PM10 lb/hr is used in the calculation for all speciated particulate emissions
</text>
  </threadedComment>
  <threadedComment ref="E284" dT="2023-08-01T22:08:36.09" personId="{78F471E7-1970-4235-AE1E-4247586B0CAF}" id="{C7037CAA-B404-476D-89E7-051726C81069}">
    <text xml:space="preserve">Control efficiency is already included in the PM10 emission lb/hr, and the PM10 lb/hr is used in the calculation for all speciated particulate emissions
</text>
  </threadedComment>
  <threadedComment ref="E285" dT="2023-08-01T22:08:36.09" personId="{78F471E7-1970-4235-AE1E-4247586B0CAF}" id="{9DB647CD-A984-4D72-B825-76823FD14836}">
    <text xml:space="preserve">Control efficiency is already included in the PM10 emission lb/hr, and the PM10 lb/hr is used in the calculation for all speciated particulate emissions
</text>
  </threadedComment>
  <threadedComment ref="E286" dT="2023-08-01T22:08:36.09" personId="{78F471E7-1970-4235-AE1E-4247586B0CAF}" id="{D0D26886-BE1F-4111-860B-2BE40696F66A}">
    <text xml:space="preserve">Control efficiency is already included in the PM10 emission lb/hr, and the PM10 lb/hr is used in the calculation for all speciated particulate emissions
</text>
  </threadedComment>
  <threadedComment ref="E287" dT="2023-08-01T22:08:36.09" personId="{78F471E7-1970-4235-AE1E-4247586B0CAF}" id="{D58648C4-E363-4210-97FF-C7028367A261}">
    <text xml:space="preserve">Control efficiency is already included in the PM10 emission lb/hr, and the PM10 lb/hr is used in the calculation for all speciated particulate emissions
</text>
  </threadedComment>
  <threadedComment ref="E288" dT="2023-08-01T22:08:36.09" personId="{78F471E7-1970-4235-AE1E-4247586B0CAF}" id="{B8F146C0-A3CB-4B4C-B3CF-7388C9001FA8}">
    <text xml:space="preserve">Control efficiency is already included in the PM10 emission lb/hr, and the PM10 lb/hr is used in the calculation for all speciated particulate emissions
</text>
  </threadedComment>
  <threadedComment ref="E289" dT="2023-08-01T22:08:36.09" personId="{78F471E7-1970-4235-AE1E-4247586B0CAF}" id="{0587B129-842D-4B8D-8564-844282D6F2BA}">
    <text xml:space="preserve">Control efficiency is already included in the PM10 emission lb/hr, and the PM10 lb/hr is used in the calculation for all speciated particulate emissions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3" zoomScaleNormal="100" workbookViewId="0">
      <selection activeCell="R17" sqref="R17"/>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8" t="s">
        <v>1160</v>
      </c>
      <c r="B5" s="208"/>
      <c r="C5" s="208"/>
      <c r="D5" s="208"/>
      <c r="E5" s="208"/>
      <c r="F5" s="208"/>
      <c r="G5" s="208"/>
      <c r="H5" s="208"/>
      <c r="I5" s="208"/>
      <c r="J5" s="208"/>
      <c r="K5" s="208"/>
      <c r="L5" s="208"/>
      <c r="M5" s="208"/>
    </row>
    <row r="6" spans="1:21" ht="34.5" customHeight="1" x14ac:dyDescent="0.5">
      <c r="A6" s="32" t="s">
        <v>1231</v>
      </c>
      <c r="B6" s="33"/>
      <c r="C6" s="33"/>
      <c r="D6" s="33"/>
      <c r="E6" s="33"/>
      <c r="F6" s="33"/>
      <c r="G6" s="33"/>
      <c r="H6" s="33"/>
      <c r="I6" s="33"/>
      <c r="J6" s="33"/>
      <c r="K6" s="33"/>
      <c r="L6" s="33"/>
      <c r="M6" s="33"/>
    </row>
    <row r="7" spans="1:21" ht="34.5" customHeight="1" x14ac:dyDescent="0.5">
      <c r="A7" s="213" t="s">
        <v>1224</v>
      </c>
      <c r="B7" s="213"/>
      <c r="C7" s="213"/>
      <c r="D7" s="213"/>
      <c r="E7" s="213"/>
      <c r="F7" s="33"/>
      <c r="G7" s="33"/>
      <c r="H7" s="33"/>
      <c r="I7" s="33"/>
      <c r="J7" s="33"/>
      <c r="K7" s="33"/>
      <c r="L7" s="33"/>
      <c r="M7" s="33"/>
    </row>
    <row r="8" spans="1:21" ht="15" thickBot="1" x14ac:dyDescent="0.4">
      <c r="A8" s="212"/>
      <c r="B8" s="212"/>
      <c r="C8" s="212"/>
      <c r="D8" s="212"/>
      <c r="E8" s="212"/>
      <c r="F8" s="34"/>
      <c r="G8" s="34"/>
      <c r="H8" s="34"/>
      <c r="I8" s="34"/>
      <c r="J8" s="34"/>
      <c r="K8" s="34"/>
      <c r="L8" s="34"/>
      <c r="M8" s="35"/>
    </row>
    <row r="9" spans="1:21" s="13" customFormat="1" ht="15" customHeight="1" x14ac:dyDescent="0.35">
      <c r="A9" s="209" t="s">
        <v>1183</v>
      </c>
      <c r="B9" s="209"/>
      <c r="C9" s="209"/>
      <c r="D9" s="209"/>
      <c r="E9" s="209"/>
      <c r="F9" s="209"/>
      <c r="G9" s="209"/>
      <c r="H9" s="209"/>
      <c r="I9" s="209"/>
      <c r="J9" s="209"/>
      <c r="K9" s="209"/>
      <c r="L9" s="209"/>
      <c r="M9" s="36"/>
      <c r="N9" s="12"/>
      <c r="O9" s="12"/>
      <c r="P9" s="12"/>
      <c r="Q9" s="12"/>
      <c r="R9" s="12"/>
      <c r="S9" s="12"/>
      <c r="T9" s="12"/>
      <c r="U9" s="12"/>
    </row>
    <row r="10" spans="1:21" s="13" customFormat="1" ht="21.75" customHeight="1" x14ac:dyDescent="0.35">
      <c r="A10" s="210"/>
      <c r="B10" s="210"/>
      <c r="C10" s="210"/>
      <c r="D10" s="210"/>
      <c r="E10" s="210"/>
      <c r="F10" s="210"/>
      <c r="G10" s="210"/>
      <c r="H10" s="210"/>
      <c r="I10" s="210"/>
      <c r="J10" s="210"/>
      <c r="K10" s="210"/>
      <c r="L10" s="210"/>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11" t="s">
        <v>1184</v>
      </c>
      <c r="B12" s="211"/>
      <c r="C12" s="211"/>
      <c r="D12" s="211"/>
      <c r="E12" s="211"/>
      <c r="F12" s="211"/>
      <c r="G12" s="211"/>
      <c r="H12" s="211"/>
      <c r="I12" s="211"/>
      <c r="J12" s="211"/>
      <c r="K12" s="211"/>
      <c r="L12" s="211"/>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7" t="s">
        <v>1163</v>
      </c>
      <c r="D14" s="207"/>
      <c r="E14" s="207"/>
      <c r="F14" s="207"/>
      <c r="G14" s="207"/>
      <c r="H14" s="207"/>
      <c r="I14" s="207"/>
      <c r="J14" s="207"/>
      <c r="K14" s="207"/>
      <c r="L14" s="207"/>
      <c r="M14" s="41"/>
      <c r="N14" s="14"/>
      <c r="O14" s="14"/>
      <c r="P14" s="14"/>
    </row>
    <row r="15" spans="1:21" s="13" customFormat="1" ht="69" customHeight="1" x14ac:dyDescent="0.35">
      <c r="A15" s="40" t="s">
        <v>1164</v>
      </c>
      <c r="B15" s="40" t="s">
        <v>1188</v>
      </c>
      <c r="C15" s="207" t="s">
        <v>1229</v>
      </c>
      <c r="D15" s="207"/>
      <c r="E15" s="207"/>
      <c r="F15" s="207"/>
      <c r="G15" s="207"/>
      <c r="H15" s="207"/>
      <c r="I15" s="207"/>
      <c r="J15" s="207"/>
      <c r="K15" s="207"/>
      <c r="L15" s="207"/>
      <c r="M15" s="41"/>
      <c r="N15" s="14"/>
      <c r="O15" s="14"/>
      <c r="P15" s="14"/>
    </row>
    <row r="16" spans="1:21" s="13" customFormat="1" ht="46.5" customHeight="1" x14ac:dyDescent="0.35">
      <c r="A16" s="42" t="s">
        <v>1165</v>
      </c>
      <c r="B16" s="42" t="s">
        <v>1190</v>
      </c>
      <c r="C16" s="207" t="s">
        <v>1241</v>
      </c>
      <c r="D16" s="207"/>
      <c r="E16" s="207"/>
      <c r="F16" s="207"/>
      <c r="G16" s="207"/>
      <c r="H16" s="207"/>
      <c r="I16" s="207"/>
      <c r="J16" s="207"/>
      <c r="K16" s="207"/>
      <c r="L16" s="207"/>
      <c r="M16" s="43"/>
      <c r="N16" s="15"/>
      <c r="O16" s="15"/>
      <c r="P16" s="15"/>
    </row>
    <row r="17" spans="1:16" s="13" customFormat="1" ht="69" customHeight="1" x14ac:dyDescent="0.35">
      <c r="A17" s="42" t="s">
        <v>1166</v>
      </c>
      <c r="B17" s="42" t="s">
        <v>1191</v>
      </c>
      <c r="C17" s="207" t="s">
        <v>1230</v>
      </c>
      <c r="D17" s="207"/>
      <c r="E17" s="207"/>
      <c r="F17" s="207"/>
      <c r="G17" s="207"/>
      <c r="H17" s="207"/>
      <c r="I17" s="207"/>
      <c r="J17" s="207"/>
      <c r="K17" s="207"/>
      <c r="L17" s="207"/>
      <c r="M17" s="41"/>
      <c r="N17" s="14"/>
      <c r="O17" s="14"/>
      <c r="P17" s="14"/>
    </row>
    <row r="18" spans="1:16" s="13" customFormat="1" ht="46.5" customHeight="1" x14ac:dyDescent="0.35">
      <c r="A18" s="42" t="s">
        <v>1189</v>
      </c>
      <c r="B18" s="42" t="s">
        <v>1192</v>
      </c>
      <c r="C18" s="207" t="s">
        <v>1242</v>
      </c>
      <c r="D18" s="207"/>
      <c r="E18" s="207"/>
      <c r="F18" s="207"/>
      <c r="G18" s="207"/>
      <c r="H18" s="207"/>
      <c r="I18" s="207"/>
      <c r="J18" s="207"/>
      <c r="K18" s="207"/>
      <c r="L18" s="207"/>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6" t="s">
        <v>1209</v>
      </c>
      <c r="B32" s="206"/>
      <c r="C32" s="206"/>
      <c r="D32" s="206"/>
      <c r="E32" s="206"/>
      <c r="F32" s="206"/>
      <c r="G32" s="206"/>
      <c r="H32" s="206"/>
      <c r="I32" s="206"/>
      <c r="J32" s="206"/>
      <c r="K32" s="206"/>
      <c r="L32" s="206"/>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6" t="s">
        <v>1334</v>
      </c>
      <c r="B36" s="206"/>
      <c r="C36" s="206"/>
      <c r="D36" s="206"/>
      <c r="E36" s="206"/>
      <c r="F36" s="206"/>
      <c r="G36" s="206"/>
      <c r="H36" s="206"/>
      <c r="I36" s="206"/>
      <c r="J36" s="206"/>
      <c r="K36" s="206"/>
      <c r="L36" s="206"/>
      <c r="M36" s="39"/>
    </row>
    <row r="37" spans="1:13" s="13" customFormat="1" ht="46.5" customHeight="1" x14ac:dyDescent="0.35">
      <c r="A37" s="206" t="s">
        <v>1213</v>
      </c>
      <c r="B37" s="206"/>
      <c r="C37" s="206"/>
      <c r="D37" s="206"/>
      <c r="E37" s="206"/>
      <c r="F37" s="206"/>
      <c r="G37" s="206"/>
      <c r="H37" s="206"/>
      <c r="I37" s="206"/>
      <c r="J37" s="206"/>
      <c r="K37" s="206"/>
      <c r="L37" s="206"/>
      <c r="M37" s="39"/>
    </row>
    <row r="38" spans="1:13" s="13" customFormat="1" ht="37.5" customHeight="1" x14ac:dyDescent="0.35">
      <c r="A38" s="206" t="s">
        <v>1335</v>
      </c>
      <c r="B38" s="206"/>
      <c r="C38" s="206"/>
      <c r="D38" s="206"/>
      <c r="E38" s="206"/>
      <c r="F38" s="206"/>
      <c r="G38" s="206"/>
      <c r="H38" s="206"/>
      <c r="I38" s="206"/>
      <c r="J38" s="206"/>
      <c r="K38" s="206"/>
      <c r="L38" s="206"/>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6" t="s">
        <v>1336</v>
      </c>
      <c r="B40" s="206"/>
      <c r="C40" s="206"/>
      <c r="D40" s="206"/>
      <c r="E40" s="206"/>
      <c r="F40" s="206"/>
      <c r="G40" s="206"/>
      <c r="H40" s="206"/>
      <c r="I40" s="206"/>
      <c r="J40" s="206"/>
      <c r="K40" s="206"/>
      <c r="L40" s="206"/>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6" t="s">
        <v>1244</v>
      </c>
      <c r="B47" s="206"/>
      <c r="C47" s="206"/>
      <c r="D47" s="206"/>
      <c r="E47" s="206"/>
      <c r="F47" s="206"/>
      <c r="G47" s="206"/>
      <c r="H47" s="206"/>
      <c r="I47" s="206"/>
      <c r="J47" s="206"/>
      <c r="K47" s="206"/>
      <c r="L47" s="206"/>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6" t="s">
        <v>1339</v>
      </c>
      <c r="B49" s="206"/>
      <c r="C49" s="206"/>
      <c r="D49" s="206"/>
      <c r="E49" s="206"/>
      <c r="F49" s="206"/>
      <c r="G49" s="206"/>
      <c r="H49" s="206"/>
      <c r="I49" s="206"/>
      <c r="J49" s="206"/>
      <c r="K49" s="206"/>
      <c r="L49" s="206"/>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6" t="s">
        <v>1340</v>
      </c>
      <c r="B51" s="206"/>
      <c r="C51" s="206"/>
      <c r="D51" s="206"/>
      <c r="E51" s="206"/>
      <c r="F51" s="206"/>
      <c r="G51" s="206"/>
      <c r="H51" s="206"/>
      <c r="I51" s="206"/>
      <c r="J51" s="206"/>
      <c r="K51" s="206"/>
      <c r="L51" s="206"/>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6" t="s">
        <v>1356</v>
      </c>
      <c r="B53" s="206"/>
      <c r="C53" s="206"/>
      <c r="D53" s="206"/>
      <c r="E53" s="206"/>
      <c r="F53" s="206"/>
      <c r="G53" s="206"/>
      <c r="H53" s="206"/>
      <c r="I53" s="206"/>
      <c r="J53" s="206"/>
      <c r="K53" s="206"/>
      <c r="L53" s="206"/>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6" t="s">
        <v>1214</v>
      </c>
      <c r="B66" s="206"/>
      <c r="C66" s="206"/>
      <c r="D66" s="206"/>
      <c r="E66" s="206"/>
      <c r="F66" s="206"/>
      <c r="G66" s="206"/>
      <c r="H66" s="206"/>
      <c r="I66" s="206"/>
      <c r="J66" s="206"/>
      <c r="K66" s="206"/>
      <c r="L66" s="206"/>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6" t="s">
        <v>1347</v>
      </c>
      <c r="B68" s="206"/>
      <c r="C68" s="206"/>
      <c r="D68" s="206"/>
      <c r="E68" s="206"/>
      <c r="F68" s="206"/>
      <c r="G68" s="206"/>
      <c r="H68" s="206"/>
      <c r="I68" s="206"/>
      <c r="J68" s="206"/>
      <c r="K68" s="206"/>
      <c r="L68" s="206"/>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6" t="s">
        <v>1243</v>
      </c>
      <c r="B80" s="206"/>
      <c r="C80" s="206"/>
      <c r="D80" s="206"/>
      <c r="E80" s="206"/>
      <c r="F80" s="206"/>
      <c r="G80" s="206"/>
      <c r="H80" s="206"/>
      <c r="I80" s="206"/>
      <c r="J80" s="206"/>
      <c r="K80" s="206"/>
      <c r="L80" s="206"/>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6" t="s">
        <v>1349</v>
      </c>
      <c r="B82" s="206"/>
      <c r="C82" s="206"/>
      <c r="D82" s="206"/>
      <c r="E82" s="206"/>
      <c r="F82" s="206"/>
      <c r="G82" s="206"/>
      <c r="H82" s="206"/>
      <c r="I82" s="206"/>
      <c r="J82" s="206"/>
      <c r="K82" s="206"/>
      <c r="L82" s="206"/>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6" t="s">
        <v>1222</v>
      </c>
      <c r="B84" s="206"/>
      <c r="C84" s="206"/>
      <c r="D84" s="206"/>
      <c r="E84" s="206"/>
      <c r="F84" s="206"/>
      <c r="G84" s="206"/>
      <c r="H84" s="206"/>
      <c r="I84" s="206"/>
      <c r="J84" s="206"/>
      <c r="K84" s="206"/>
      <c r="L84" s="206"/>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6" t="s">
        <v>1221</v>
      </c>
      <c r="C86" s="206"/>
      <c r="D86" s="206"/>
      <c r="E86" s="206"/>
      <c r="F86" s="206"/>
      <c r="G86" s="206"/>
      <c r="H86" s="206"/>
      <c r="I86" s="206"/>
      <c r="J86" s="206"/>
      <c r="K86" s="206"/>
      <c r="L86" s="206"/>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6" t="s">
        <v>1227</v>
      </c>
      <c r="B88" s="206"/>
      <c r="C88" s="206"/>
      <c r="D88" s="206"/>
      <c r="E88" s="206"/>
      <c r="F88" s="206"/>
      <c r="G88" s="206"/>
      <c r="H88" s="206"/>
      <c r="I88" s="206"/>
      <c r="J88" s="206"/>
      <c r="K88" s="206"/>
      <c r="L88" s="206"/>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6" t="s">
        <v>1355</v>
      </c>
      <c r="B90" s="206"/>
      <c r="C90" s="206"/>
      <c r="D90" s="206"/>
      <c r="E90" s="206"/>
      <c r="F90" s="206"/>
      <c r="G90" s="206"/>
      <c r="H90" s="206"/>
      <c r="I90" s="206"/>
      <c r="J90" s="206"/>
      <c r="K90" s="206"/>
      <c r="L90" s="206"/>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6" sqref="B6:B12"/>
    </sheetView>
  </sheetViews>
  <sheetFormatPr defaultColWidth="9.1796875" defaultRowHeight="14.5" x14ac:dyDescent="0.35"/>
  <cols>
    <col min="1" max="1" width="30.54296875" customWidth="1"/>
    <col min="2" max="2" width="60.54296875" customWidth="1"/>
  </cols>
  <sheetData>
    <row r="5" spans="1:2" ht="20" x14ac:dyDescent="0.4">
      <c r="A5" s="214" t="s">
        <v>1206</v>
      </c>
      <c r="B5" s="214"/>
    </row>
    <row r="6" spans="1:2" ht="22" customHeight="1" x14ac:dyDescent="0.35">
      <c r="A6" s="65" t="s">
        <v>0</v>
      </c>
      <c r="B6" s="66" t="s">
        <v>1365</v>
      </c>
    </row>
    <row r="7" spans="1:2" ht="22" customHeight="1" x14ac:dyDescent="0.35">
      <c r="A7" s="65" t="s">
        <v>1</v>
      </c>
      <c r="B7" s="66" t="s">
        <v>1366</v>
      </c>
    </row>
    <row r="8" spans="1:2" ht="22" customHeight="1" x14ac:dyDescent="0.35">
      <c r="A8" s="65" t="s">
        <v>2</v>
      </c>
      <c r="B8" s="66" t="s">
        <v>1361</v>
      </c>
    </row>
    <row r="9" spans="1:2" ht="22" customHeight="1" x14ac:dyDescent="0.35">
      <c r="A9" s="65" t="s">
        <v>3</v>
      </c>
      <c r="B9" s="66">
        <v>97630</v>
      </c>
    </row>
    <row r="10" spans="1:2" ht="60" x14ac:dyDescent="0.35">
      <c r="A10" s="65" t="s">
        <v>1207</v>
      </c>
      <c r="B10" s="66"/>
    </row>
    <row r="11" spans="1:2" ht="22" customHeight="1" x14ac:dyDescent="0.35">
      <c r="A11" s="65" t="s">
        <v>4</v>
      </c>
      <c r="B11" s="66" t="s">
        <v>1362</v>
      </c>
    </row>
    <row r="12" spans="1:2" ht="22" customHeight="1" x14ac:dyDescent="0.35">
      <c r="A12" s="65" t="s">
        <v>5</v>
      </c>
      <c r="B12" s="66" t="s">
        <v>1367</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7BB8-5739-48A2-93EB-D14CEE1DF875}">
  <dimension ref="A1:A17"/>
  <sheetViews>
    <sheetView workbookViewId="0">
      <selection activeCell="E20" sqref="E20"/>
    </sheetView>
  </sheetViews>
  <sheetFormatPr defaultRowHeight="14.5" x14ac:dyDescent="0.35"/>
  <sheetData>
    <row r="1" spans="1:1" x14ac:dyDescent="0.35">
      <c r="A1" t="s">
        <v>1450</v>
      </c>
    </row>
    <row r="2" spans="1:1" x14ac:dyDescent="0.35">
      <c r="A2" t="s">
        <v>1445</v>
      </c>
    </row>
    <row r="3" spans="1:1" x14ac:dyDescent="0.35">
      <c r="A3" t="s">
        <v>1458</v>
      </c>
    </row>
    <row r="4" spans="1:1" x14ac:dyDescent="0.35">
      <c r="A4" t="s">
        <v>1447</v>
      </c>
    </row>
    <row r="5" spans="1:1" x14ac:dyDescent="0.35">
      <c r="A5" t="s">
        <v>1446</v>
      </c>
    </row>
    <row r="6" spans="1:1" x14ac:dyDescent="0.35">
      <c r="A6" t="s">
        <v>1448</v>
      </c>
    </row>
    <row r="7" spans="1:1" x14ac:dyDescent="0.35">
      <c r="A7" t="s">
        <v>1459</v>
      </c>
    </row>
    <row r="8" spans="1:1" x14ac:dyDescent="0.35">
      <c r="A8" t="s">
        <v>1460</v>
      </c>
    </row>
    <row r="9" spans="1:1" x14ac:dyDescent="0.35">
      <c r="A9" t="s">
        <v>1463</v>
      </c>
    </row>
    <row r="10" spans="1:1" x14ac:dyDescent="0.35">
      <c r="A10" t="s">
        <v>1461</v>
      </c>
    </row>
    <row r="11" spans="1:1" x14ac:dyDescent="0.35">
      <c r="A11" t="s">
        <v>1449</v>
      </c>
    </row>
    <row r="12" spans="1:1" x14ac:dyDescent="0.35">
      <c r="A12" t="s">
        <v>1462</v>
      </c>
    </row>
    <row r="13" spans="1:1" x14ac:dyDescent="0.35">
      <c r="A13" t="s">
        <v>1453</v>
      </c>
    </row>
    <row r="14" spans="1:1" x14ac:dyDescent="0.35">
      <c r="A14" t="s">
        <v>1451</v>
      </c>
    </row>
    <row r="15" spans="1:1" x14ac:dyDescent="0.35">
      <c r="A15" t="s">
        <v>1457</v>
      </c>
    </row>
    <row r="16" spans="1:1" x14ac:dyDescent="0.35">
      <c r="A16" t="s">
        <v>1454</v>
      </c>
    </row>
    <row r="17" spans="1:1" x14ac:dyDescent="0.35">
      <c r="A17" t="s">
        <v>1455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2"/>
  <sheetViews>
    <sheetView zoomScale="90" zoomScaleNormal="90" workbookViewId="0">
      <pane ySplit="12" topLeftCell="A34" activePane="bottomLeft" state="frozen"/>
      <selection pane="bottomLeft" activeCell="A15" sqref="A15"/>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8" t="s">
        <v>13</v>
      </c>
      <c r="B10" s="219"/>
      <c r="C10" s="219"/>
      <c r="D10" s="234" t="s">
        <v>1087</v>
      </c>
      <c r="E10" s="235"/>
      <c r="F10" s="218" t="s">
        <v>6</v>
      </c>
      <c r="G10" s="219"/>
      <c r="H10" s="219"/>
      <c r="I10" s="219"/>
      <c r="J10" s="219"/>
      <c r="K10" s="219"/>
      <c r="L10" s="219"/>
      <c r="M10" s="220"/>
    </row>
    <row r="11" spans="1:13" ht="20.149999999999999" customHeight="1" thickBot="1" x14ac:dyDescent="0.4">
      <c r="A11" s="236" t="s">
        <v>1139</v>
      </c>
      <c r="B11" s="221" t="s">
        <v>9</v>
      </c>
      <c r="C11" s="223" t="s">
        <v>12</v>
      </c>
      <c r="D11" s="232" t="s">
        <v>11</v>
      </c>
      <c r="E11" s="225" t="s">
        <v>1086</v>
      </c>
      <c r="F11" s="227" t="s">
        <v>1354</v>
      </c>
      <c r="G11" s="225" t="s">
        <v>10</v>
      </c>
      <c r="H11" s="229" t="s">
        <v>1154</v>
      </c>
      <c r="I11" s="230"/>
      <c r="J11" s="231"/>
      <c r="K11" s="215" t="s">
        <v>1199</v>
      </c>
      <c r="L11" s="216"/>
      <c r="M11" s="217"/>
    </row>
    <row r="12" spans="1:13" ht="48" customHeight="1" thickBot="1" x14ac:dyDescent="0.4">
      <c r="A12" s="237"/>
      <c r="B12" s="222"/>
      <c r="C12" s="224"/>
      <c r="D12" s="233"/>
      <c r="E12" s="226"/>
      <c r="F12" s="228"/>
      <c r="G12" s="226"/>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1368</v>
      </c>
      <c r="B15" s="80" t="s">
        <v>1369</v>
      </c>
      <c r="C15" s="81"/>
      <c r="D15" s="82" t="s">
        <v>1363</v>
      </c>
      <c r="E15" s="83" t="s">
        <v>1370</v>
      </c>
      <c r="F15" s="82" t="s">
        <v>1395</v>
      </c>
      <c r="G15" s="84" t="s">
        <v>1396</v>
      </c>
      <c r="H15" s="196">
        <v>8760</v>
      </c>
      <c r="I15" s="197">
        <v>8760</v>
      </c>
      <c r="J15" s="198">
        <v>9760</v>
      </c>
      <c r="K15" s="85">
        <v>24</v>
      </c>
      <c r="L15" s="86">
        <v>24</v>
      </c>
      <c r="M15" s="83">
        <v>24</v>
      </c>
    </row>
    <row r="16" spans="1:13" x14ac:dyDescent="0.35">
      <c r="A16" s="79" t="s">
        <v>1466</v>
      </c>
      <c r="B16" s="80" t="s">
        <v>1467</v>
      </c>
      <c r="C16" s="81" t="s">
        <v>1468</v>
      </c>
      <c r="D16" s="82" t="s">
        <v>1129</v>
      </c>
      <c r="E16" s="83" t="s">
        <v>1469</v>
      </c>
      <c r="F16" s="82" t="s">
        <v>1395</v>
      </c>
      <c r="G16" s="84" t="s">
        <v>1396</v>
      </c>
      <c r="H16" s="196">
        <v>8760</v>
      </c>
      <c r="I16" s="197">
        <v>8760</v>
      </c>
      <c r="J16" s="198">
        <v>8760</v>
      </c>
      <c r="K16" s="85">
        <v>24</v>
      </c>
      <c r="L16" s="86">
        <v>24</v>
      </c>
      <c r="M16" s="83">
        <v>24</v>
      </c>
    </row>
    <row r="17" spans="1:13" x14ac:dyDescent="0.35">
      <c r="A17" s="79" t="s">
        <v>1371</v>
      </c>
      <c r="B17" s="80" t="s">
        <v>1372</v>
      </c>
      <c r="C17" s="81" t="s">
        <v>1373</v>
      </c>
      <c r="D17" s="82" t="s">
        <v>1129</v>
      </c>
      <c r="E17" s="83" t="s">
        <v>1374</v>
      </c>
      <c r="F17" s="82" t="s">
        <v>1364</v>
      </c>
      <c r="G17" s="84" t="s">
        <v>1375</v>
      </c>
      <c r="H17" s="196">
        <v>916499</v>
      </c>
      <c r="I17" s="86">
        <v>916499</v>
      </c>
      <c r="J17" s="198">
        <v>1470427</v>
      </c>
      <c r="K17" s="85">
        <v>3525.1</v>
      </c>
      <c r="L17" s="86">
        <v>3525.1</v>
      </c>
      <c r="M17" s="83">
        <v>4028.6</v>
      </c>
    </row>
    <row r="18" spans="1:13" x14ac:dyDescent="0.35">
      <c r="A18" s="79" t="s">
        <v>1389</v>
      </c>
      <c r="B18" s="80" t="s">
        <v>1390</v>
      </c>
      <c r="C18" s="81" t="s">
        <v>1391</v>
      </c>
      <c r="D18" s="82" t="s">
        <v>1129</v>
      </c>
      <c r="E18" s="83" t="s">
        <v>1392</v>
      </c>
      <c r="F18" s="82" t="s">
        <v>1395</v>
      </c>
      <c r="G18" s="84" t="s">
        <v>1396</v>
      </c>
      <c r="H18" s="85">
        <v>4380</v>
      </c>
      <c r="I18" s="86">
        <v>4380</v>
      </c>
      <c r="J18" s="83">
        <v>8760</v>
      </c>
      <c r="K18" s="85">
        <v>12</v>
      </c>
      <c r="L18" s="86">
        <v>12</v>
      </c>
      <c r="M18" s="83">
        <v>24</v>
      </c>
    </row>
    <row r="19" spans="1:13" x14ac:dyDescent="0.35">
      <c r="A19" s="79" t="s">
        <v>1400</v>
      </c>
      <c r="B19" s="80" t="s">
        <v>1390</v>
      </c>
      <c r="C19" s="81" t="s">
        <v>1391</v>
      </c>
      <c r="D19" s="82" t="s">
        <v>1129</v>
      </c>
      <c r="E19" s="83" t="s">
        <v>1393</v>
      </c>
      <c r="F19" s="82" t="s">
        <v>1395</v>
      </c>
      <c r="G19" s="84" t="s">
        <v>1396</v>
      </c>
      <c r="H19" s="85">
        <v>4380</v>
      </c>
      <c r="I19" s="86">
        <v>4380</v>
      </c>
      <c r="J19" s="83">
        <v>8760</v>
      </c>
      <c r="K19" s="85">
        <v>12</v>
      </c>
      <c r="L19" s="86">
        <v>12</v>
      </c>
      <c r="M19" s="83">
        <v>24</v>
      </c>
    </row>
    <row r="20" spans="1:13" x14ac:dyDescent="0.35">
      <c r="A20" s="79" t="s">
        <v>1401</v>
      </c>
      <c r="B20" s="80" t="s">
        <v>1403</v>
      </c>
      <c r="C20" s="81" t="s">
        <v>1391</v>
      </c>
      <c r="D20" s="82" t="s">
        <v>1129</v>
      </c>
      <c r="E20" s="83" t="s">
        <v>1405</v>
      </c>
      <c r="F20" s="82" t="s">
        <v>1395</v>
      </c>
      <c r="G20" s="84" t="s">
        <v>1396</v>
      </c>
      <c r="H20" s="85">
        <v>4380</v>
      </c>
      <c r="I20" s="86">
        <v>4380</v>
      </c>
      <c r="J20" s="83">
        <v>8760</v>
      </c>
      <c r="K20" s="85">
        <v>12</v>
      </c>
      <c r="L20" s="86">
        <v>12</v>
      </c>
      <c r="M20" s="83">
        <v>24</v>
      </c>
    </row>
    <row r="21" spans="1:13" x14ac:dyDescent="0.35">
      <c r="A21" s="79" t="s">
        <v>1402</v>
      </c>
      <c r="B21" s="80" t="s">
        <v>1404</v>
      </c>
      <c r="C21" s="81" t="s">
        <v>1391</v>
      </c>
      <c r="D21" s="82" t="s">
        <v>1129</v>
      </c>
      <c r="E21" s="83" t="s">
        <v>1406</v>
      </c>
      <c r="F21" s="82" t="s">
        <v>1395</v>
      </c>
      <c r="G21" s="84" t="s">
        <v>1396</v>
      </c>
      <c r="H21" s="85">
        <v>4380</v>
      </c>
      <c r="I21" s="86">
        <v>4380</v>
      </c>
      <c r="J21" s="83">
        <v>8760</v>
      </c>
      <c r="K21" s="85">
        <v>12</v>
      </c>
      <c r="L21" s="86">
        <v>12</v>
      </c>
      <c r="M21" s="83">
        <v>24</v>
      </c>
    </row>
    <row r="22" spans="1:13" x14ac:dyDescent="0.35">
      <c r="A22" s="79" t="s">
        <v>1408</v>
      </c>
      <c r="B22" s="80" t="s">
        <v>1409</v>
      </c>
      <c r="C22" s="81" t="s">
        <v>1391</v>
      </c>
      <c r="D22" s="82" t="s">
        <v>1129</v>
      </c>
      <c r="E22" s="83" t="s">
        <v>1414</v>
      </c>
      <c r="F22" s="82" t="s">
        <v>1395</v>
      </c>
      <c r="G22" s="84" t="s">
        <v>1396</v>
      </c>
      <c r="H22" s="85">
        <v>2920</v>
      </c>
      <c r="I22" s="86">
        <v>4380</v>
      </c>
      <c r="J22" s="83">
        <v>8760</v>
      </c>
      <c r="K22" s="85">
        <v>8</v>
      </c>
      <c r="L22" s="86">
        <v>12</v>
      </c>
      <c r="M22" s="83">
        <v>24</v>
      </c>
    </row>
    <row r="23" spans="1:13" x14ac:dyDescent="0.35">
      <c r="A23" s="79" t="s">
        <v>1412</v>
      </c>
      <c r="B23" s="80" t="s">
        <v>1410</v>
      </c>
      <c r="C23" s="81" t="s">
        <v>1391</v>
      </c>
      <c r="D23" s="82" t="s">
        <v>1129</v>
      </c>
      <c r="E23" s="83" t="s">
        <v>1415</v>
      </c>
      <c r="F23" s="82" t="s">
        <v>1395</v>
      </c>
      <c r="G23" s="84" t="s">
        <v>1396</v>
      </c>
      <c r="H23" s="85">
        <v>2920</v>
      </c>
      <c r="I23" s="86">
        <v>4380</v>
      </c>
      <c r="J23" s="83">
        <v>8760</v>
      </c>
      <c r="K23" s="85">
        <v>8</v>
      </c>
      <c r="L23" s="86">
        <v>12</v>
      </c>
      <c r="M23" s="83">
        <v>24</v>
      </c>
    </row>
    <row r="24" spans="1:13" x14ac:dyDescent="0.35">
      <c r="A24" s="79" t="s">
        <v>1413</v>
      </c>
      <c r="B24" s="80" t="s">
        <v>1411</v>
      </c>
      <c r="C24" s="81" t="s">
        <v>1391</v>
      </c>
      <c r="D24" s="82" t="s">
        <v>1129</v>
      </c>
      <c r="E24" s="83" t="s">
        <v>1416</v>
      </c>
      <c r="F24" s="82" t="s">
        <v>1395</v>
      </c>
      <c r="G24" s="84" t="s">
        <v>1396</v>
      </c>
      <c r="H24" s="85">
        <v>2920</v>
      </c>
      <c r="I24" s="86">
        <v>4380</v>
      </c>
      <c r="J24" s="83">
        <v>8760</v>
      </c>
      <c r="K24" s="85">
        <v>8</v>
      </c>
      <c r="L24" s="86">
        <v>12</v>
      </c>
      <c r="M24" s="83">
        <v>24</v>
      </c>
    </row>
    <row r="25" spans="1:13" x14ac:dyDescent="0.35">
      <c r="A25" s="79" t="s">
        <v>1419</v>
      </c>
      <c r="B25" s="80" t="s">
        <v>1424</v>
      </c>
      <c r="C25" s="81" t="s">
        <v>1391</v>
      </c>
      <c r="D25" s="82" t="s">
        <v>1129</v>
      </c>
      <c r="E25" s="83" t="s">
        <v>1429</v>
      </c>
      <c r="F25" s="82" t="s">
        <v>1395</v>
      </c>
      <c r="G25" s="84" t="s">
        <v>1396</v>
      </c>
      <c r="H25" s="85">
        <v>8760</v>
      </c>
      <c r="I25" s="86">
        <f>H25</f>
        <v>8760</v>
      </c>
      <c r="J25" s="83">
        <v>8760</v>
      </c>
      <c r="K25" s="85">
        <v>24</v>
      </c>
      <c r="L25" s="86">
        <v>24</v>
      </c>
      <c r="M25" s="83">
        <v>24</v>
      </c>
    </row>
    <row r="26" spans="1:13" x14ac:dyDescent="0.35">
      <c r="A26" s="79" t="s">
        <v>1420</v>
      </c>
      <c r="B26" s="80" t="s">
        <v>1425</v>
      </c>
      <c r="C26" s="81" t="s">
        <v>1391</v>
      </c>
      <c r="D26" s="82" t="s">
        <v>1129</v>
      </c>
      <c r="E26" s="83" t="s">
        <v>1430</v>
      </c>
      <c r="F26" s="82" t="s">
        <v>1395</v>
      </c>
      <c r="G26" s="84" t="s">
        <v>1396</v>
      </c>
      <c r="H26" s="85">
        <v>8760</v>
      </c>
      <c r="I26" s="86">
        <f>H26</f>
        <v>8760</v>
      </c>
      <c r="J26" s="83">
        <v>8760</v>
      </c>
      <c r="K26" s="85">
        <v>24</v>
      </c>
      <c r="L26" s="86">
        <v>24</v>
      </c>
      <c r="M26" s="83">
        <v>24</v>
      </c>
    </row>
    <row r="27" spans="1:13" x14ac:dyDescent="0.35">
      <c r="A27" s="79" t="s">
        <v>1421</v>
      </c>
      <c r="B27" s="80" t="s">
        <v>1426</v>
      </c>
      <c r="C27" s="81" t="s">
        <v>1391</v>
      </c>
      <c r="D27" s="82" t="s">
        <v>1129</v>
      </c>
      <c r="E27" s="83" t="s">
        <v>1431</v>
      </c>
      <c r="F27" s="82" t="s">
        <v>1395</v>
      </c>
      <c r="G27" s="84" t="s">
        <v>1396</v>
      </c>
      <c r="H27" s="85">
        <v>8760</v>
      </c>
      <c r="I27" s="86">
        <f t="shared" ref="I27:I31" si="0">H27</f>
        <v>8760</v>
      </c>
      <c r="J27" s="83">
        <v>8760</v>
      </c>
      <c r="K27" s="85">
        <v>24</v>
      </c>
      <c r="L27" s="86">
        <v>24</v>
      </c>
      <c r="M27" s="83">
        <v>24</v>
      </c>
    </row>
    <row r="28" spans="1:13" x14ac:dyDescent="0.35">
      <c r="A28" s="79" t="s">
        <v>1422</v>
      </c>
      <c r="B28" s="80" t="s">
        <v>1427</v>
      </c>
      <c r="C28" s="81" t="s">
        <v>1391</v>
      </c>
      <c r="D28" s="82" t="s">
        <v>1129</v>
      </c>
      <c r="E28" s="83" t="s">
        <v>1432</v>
      </c>
      <c r="F28" s="82" t="s">
        <v>1395</v>
      </c>
      <c r="G28" s="84" t="s">
        <v>1396</v>
      </c>
      <c r="H28" s="85">
        <v>8760</v>
      </c>
      <c r="I28" s="86">
        <f t="shared" si="0"/>
        <v>8760</v>
      </c>
      <c r="J28" s="83">
        <v>8760</v>
      </c>
      <c r="K28" s="85">
        <v>24</v>
      </c>
      <c r="L28" s="86">
        <v>24</v>
      </c>
      <c r="M28" s="83">
        <v>24</v>
      </c>
    </row>
    <row r="29" spans="1:13" x14ac:dyDescent="0.35">
      <c r="A29" s="79"/>
      <c r="B29" s="80"/>
      <c r="C29" s="81"/>
      <c r="D29" s="82"/>
      <c r="E29" s="83"/>
      <c r="F29" s="82"/>
      <c r="G29" s="84"/>
      <c r="H29" s="85"/>
      <c r="I29" s="86"/>
      <c r="J29" s="83"/>
      <c r="K29" s="85"/>
      <c r="L29" s="86"/>
      <c r="M29" s="83"/>
    </row>
    <row r="30" spans="1:13" x14ac:dyDescent="0.35">
      <c r="A30" s="79"/>
      <c r="B30" s="80"/>
      <c r="C30" s="81"/>
      <c r="D30" s="82"/>
      <c r="E30" s="83"/>
      <c r="F30" s="82"/>
      <c r="G30" s="84"/>
      <c r="H30" s="85"/>
      <c r="I30" s="86"/>
      <c r="J30" s="83"/>
      <c r="K30" s="85"/>
      <c r="L30" s="86"/>
      <c r="M30" s="83"/>
    </row>
    <row r="31" spans="1:13" x14ac:dyDescent="0.35">
      <c r="A31" s="79" t="s">
        <v>1423</v>
      </c>
      <c r="B31" s="80" t="s">
        <v>1428</v>
      </c>
      <c r="C31" s="81" t="s">
        <v>1391</v>
      </c>
      <c r="D31" s="82" t="s">
        <v>1129</v>
      </c>
      <c r="E31" s="83" t="s">
        <v>1433</v>
      </c>
      <c r="F31" s="82" t="s">
        <v>1395</v>
      </c>
      <c r="G31" s="84" t="s">
        <v>1396</v>
      </c>
      <c r="H31" s="85">
        <v>8760</v>
      </c>
      <c r="I31" s="86">
        <f t="shared" si="0"/>
        <v>8760</v>
      </c>
      <c r="J31" s="83">
        <v>8760</v>
      </c>
      <c r="K31" s="85">
        <v>24</v>
      </c>
      <c r="L31" s="86">
        <v>24</v>
      </c>
      <c r="M31" s="83">
        <v>24</v>
      </c>
    </row>
    <row r="32" spans="1:13" x14ac:dyDescent="0.35">
      <c r="A32" s="79" t="s">
        <v>1434</v>
      </c>
      <c r="B32" s="80" t="s">
        <v>1437</v>
      </c>
      <c r="C32" s="81" t="s">
        <v>1391</v>
      </c>
      <c r="D32" s="82" t="s">
        <v>1129</v>
      </c>
      <c r="E32" s="83" t="s">
        <v>1439</v>
      </c>
      <c r="F32" s="82" t="s">
        <v>1395</v>
      </c>
      <c r="G32" s="84" t="s">
        <v>1396</v>
      </c>
      <c r="H32" s="85">
        <v>8760</v>
      </c>
      <c r="I32" s="86">
        <f t="shared" ref="I32:I33" si="1">H32</f>
        <v>8760</v>
      </c>
      <c r="J32" s="83">
        <v>8760</v>
      </c>
      <c r="K32" s="85">
        <v>24</v>
      </c>
      <c r="L32" s="86">
        <v>24</v>
      </c>
      <c r="M32" s="83">
        <v>24</v>
      </c>
    </row>
    <row r="33" spans="1:13" x14ac:dyDescent="0.35">
      <c r="A33" s="79" t="s">
        <v>1435</v>
      </c>
      <c r="B33" s="80" t="s">
        <v>1438</v>
      </c>
      <c r="C33" s="81" t="s">
        <v>1391</v>
      </c>
      <c r="D33" s="82" t="s">
        <v>1129</v>
      </c>
      <c r="E33" s="83" t="s">
        <v>1440</v>
      </c>
      <c r="F33" s="82" t="s">
        <v>1395</v>
      </c>
      <c r="G33" s="84" t="s">
        <v>1396</v>
      </c>
      <c r="H33" s="85">
        <v>8760</v>
      </c>
      <c r="I33" s="86">
        <f t="shared" si="1"/>
        <v>8760</v>
      </c>
      <c r="J33" s="83">
        <v>8760</v>
      </c>
      <c r="K33" s="85">
        <v>24</v>
      </c>
      <c r="L33" s="86">
        <v>24</v>
      </c>
      <c r="M33" s="83">
        <v>24</v>
      </c>
    </row>
    <row r="34" spans="1:13" x14ac:dyDescent="0.35">
      <c r="A34" s="79" t="s">
        <v>1477</v>
      </c>
      <c r="B34" s="80" t="s">
        <v>1476</v>
      </c>
      <c r="C34" s="81" t="s">
        <v>1456</v>
      </c>
      <c r="D34" s="82" t="s">
        <v>1363</v>
      </c>
      <c r="E34" s="83" t="s">
        <v>1436</v>
      </c>
      <c r="F34" s="82" t="s">
        <v>1395</v>
      </c>
      <c r="G34" s="84" t="s">
        <v>1396</v>
      </c>
      <c r="H34" s="85">
        <v>8760</v>
      </c>
      <c r="I34" s="86">
        <v>8760</v>
      </c>
      <c r="J34" s="83">
        <v>8760</v>
      </c>
      <c r="K34" s="85">
        <v>24</v>
      </c>
      <c r="L34" s="86">
        <v>24</v>
      </c>
      <c r="M34" s="83">
        <v>24</v>
      </c>
    </row>
    <row r="35" spans="1:13" x14ac:dyDescent="0.35">
      <c r="A35" s="79" t="s">
        <v>1473</v>
      </c>
      <c r="B35" s="80" t="s">
        <v>1475</v>
      </c>
      <c r="C35" s="81" t="s">
        <v>1456</v>
      </c>
      <c r="D35" s="82" t="s">
        <v>1363</v>
      </c>
      <c r="E35" s="83" t="s">
        <v>1480</v>
      </c>
      <c r="F35" s="82" t="s">
        <v>1395</v>
      </c>
      <c r="G35" s="84" t="s">
        <v>1396</v>
      </c>
      <c r="H35" s="85">
        <v>8760</v>
      </c>
      <c r="I35" s="86">
        <v>8760</v>
      </c>
      <c r="J35" s="83">
        <v>8760</v>
      </c>
      <c r="K35" s="85">
        <v>24</v>
      </c>
      <c r="L35" s="86">
        <v>24</v>
      </c>
      <c r="M35" s="83">
        <v>24</v>
      </c>
    </row>
    <row r="36" spans="1:13" x14ac:dyDescent="0.35">
      <c r="A36" s="79" t="s">
        <v>1472</v>
      </c>
      <c r="B36" s="80" t="s">
        <v>1474</v>
      </c>
      <c r="C36" s="81" t="s">
        <v>1456</v>
      </c>
      <c r="D36" s="82" t="s">
        <v>1363</v>
      </c>
      <c r="E36" s="83" t="s">
        <v>1472</v>
      </c>
      <c r="F36" s="82" t="s">
        <v>1395</v>
      </c>
      <c r="G36" s="84" t="s">
        <v>1396</v>
      </c>
      <c r="H36" s="85">
        <v>8760</v>
      </c>
      <c r="I36" s="86">
        <v>8760</v>
      </c>
      <c r="J36" s="83">
        <v>8760</v>
      </c>
      <c r="K36" s="85">
        <v>24</v>
      </c>
      <c r="L36" s="86">
        <v>24</v>
      </c>
      <c r="M36" s="83">
        <v>24</v>
      </c>
    </row>
    <row r="37" spans="1:13" x14ac:dyDescent="0.35">
      <c r="A37" s="79" t="s">
        <v>1478</v>
      </c>
      <c r="B37" s="80" t="s">
        <v>1479</v>
      </c>
      <c r="C37" s="81" t="s">
        <v>1456</v>
      </c>
      <c r="D37" s="82" t="s">
        <v>1363</v>
      </c>
      <c r="E37" s="83" t="s">
        <v>1481</v>
      </c>
      <c r="F37" s="82" t="s">
        <v>1395</v>
      </c>
      <c r="G37" s="84" t="s">
        <v>1396</v>
      </c>
      <c r="H37" s="85">
        <v>8760</v>
      </c>
      <c r="I37" s="86">
        <v>8760</v>
      </c>
      <c r="J37" s="83">
        <v>8760</v>
      </c>
      <c r="K37" s="85">
        <v>24</v>
      </c>
      <c r="L37" s="86">
        <v>24</v>
      </c>
      <c r="M37" s="83">
        <v>24</v>
      </c>
    </row>
    <row r="38" spans="1:13" x14ac:dyDescent="0.35">
      <c r="A38" s="79"/>
      <c r="B38" s="80"/>
      <c r="C38" s="81"/>
      <c r="D38" s="82"/>
      <c r="E38" s="83"/>
      <c r="F38" s="82"/>
      <c r="G38" s="84"/>
      <c r="H38" s="85"/>
      <c r="I38" s="86"/>
      <c r="J38" s="83"/>
      <c r="K38" s="85"/>
      <c r="L38" s="86"/>
      <c r="M38" s="83"/>
    </row>
    <row r="39" spans="1:13" x14ac:dyDescent="0.35">
      <c r="A39" s="79"/>
      <c r="B39" s="80"/>
      <c r="C39" s="81"/>
      <c r="D39" s="82"/>
      <c r="E39" s="83"/>
      <c r="F39" s="82"/>
      <c r="G39" s="84"/>
      <c r="H39" s="85"/>
      <c r="I39" s="86"/>
      <c r="J39" s="83"/>
      <c r="K39" s="85"/>
      <c r="L39" s="86"/>
      <c r="M39" s="83"/>
    </row>
    <row r="40" spans="1:13" x14ac:dyDescent="0.35">
      <c r="A40" s="79"/>
      <c r="B40" s="80"/>
      <c r="C40" s="81"/>
      <c r="D40" s="82"/>
      <c r="E40" s="83"/>
      <c r="F40" s="82"/>
      <c r="G40" s="84"/>
      <c r="H40" s="85"/>
      <c r="I40" s="86"/>
      <c r="J40" s="83"/>
      <c r="K40" s="85"/>
      <c r="L40" s="86"/>
      <c r="M40" s="83"/>
    </row>
    <row r="41" spans="1:13" x14ac:dyDescent="0.35">
      <c r="A41" s="79"/>
      <c r="B41" s="80"/>
      <c r="C41" s="81"/>
      <c r="D41" s="82"/>
      <c r="E41" s="83"/>
      <c r="F41" s="82"/>
      <c r="G41" s="84"/>
      <c r="H41" s="85"/>
      <c r="I41" s="86"/>
      <c r="J41" s="83"/>
      <c r="K41" s="85"/>
      <c r="L41" s="86"/>
      <c r="M41" s="83"/>
    </row>
    <row r="42" spans="1:13" x14ac:dyDescent="0.35">
      <c r="A42" s="79"/>
      <c r="B42" s="80"/>
      <c r="C42" s="81"/>
      <c r="D42" s="82"/>
      <c r="E42" s="83"/>
      <c r="F42" s="82"/>
      <c r="G42" s="84"/>
      <c r="H42" s="85"/>
      <c r="I42" s="86"/>
      <c r="J42" s="83"/>
      <c r="K42" s="85"/>
      <c r="L42" s="86"/>
      <c r="M42" s="83"/>
    </row>
    <row r="43" spans="1:13" x14ac:dyDescent="0.35">
      <c r="A43" s="79"/>
      <c r="B43" s="80"/>
      <c r="C43" s="81"/>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c r="B45" s="80"/>
      <c r="C45" s="81"/>
      <c r="D45" s="82"/>
      <c r="E45" s="83"/>
      <c r="F45" s="82"/>
      <c r="G45" s="84"/>
      <c r="H45" s="85"/>
      <c r="I45" s="86"/>
      <c r="J45" s="83"/>
      <c r="K45" s="85"/>
      <c r="L45" s="86"/>
      <c r="M45" s="83"/>
    </row>
    <row r="46" spans="1:13" x14ac:dyDescent="0.35">
      <c r="A46" s="79"/>
      <c r="B46" s="80"/>
      <c r="C46" s="81"/>
      <c r="D46" s="82"/>
      <c r="E46" s="83"/>
      <c r="F46" s="82"/>
      <c r="G46" s="84"/>
      <c r="H46" s="85"/>
      <c r="I46" s="86"/>
      <c r="J46" s="83"/>
      <c r="K46" s="85"/>
      <c r="L46" s="86"/>
      <c r="M46" s="83"/>
    </row>
    <row r="47" spans="1:13" x14ac:dyDescent="0.35">
      <c r="A47" s="79"/>
      <c r="B47" s="80"/>
      <c r="C47" s="81"/>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ht="15" thickBot="1" x14ac:dyDescent="0.4">
      <c r="A201" s="87"/>
      <c r="B201" s="88"/>
      <c r="C201" s="89"/>
      <c r="D201" s="90"/>
      <c r="E201" s="91"/>
      <c r="F201" s="90"/>
      <c r="G201" s="92"/>
      <c r="H201" s="93"/>
      <c r="I201" s="94"/>
      <c r="J201" s="91"/>
      <c r="K201" s="93"/>
      <c r="L201" s="94"/>
      <c r="M201" s="91"/>
    </row>
    <row r="202" spans="1:13" ht="40" customHeight="1" thickBot="1" x14ac:dyDescent="0.4">
      <c r="A202" s="95"/>
      <c r="B202" s="96"/>
      <c r="C202" s="96"/>
      <c r="D202" s="97"/>
      <c r="E202" s="97"/>
      <c r="F202" s="97"/>
      <c r="G202" s="96"/>
      <c r="H202" s="97"/>
      <c r="I202" s="97"/>
      <c r="J202" s="97"/>
      <c r="K202" s="97"/>
      <c r="L202" s="97"/>
      <c r="M202"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751"/>
  <sheetViews>
    <sheetView tabSelected="1" zoomScale="80" zoomScaleNormal="80" workbookViewId="0">
      <pane ySplit="12" topLeftCell="A273" activePane="bottomLeft" state="frozen"/>
      <selection pane="bottomLeft" activeCell="A301" sqref="A301"/>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38" t="s">
        <v>1194</v>
      </c>
      <c r="K9" s="239"/>
      <c r="L9" s="239"/>
      <c r="M9" s="239"/>
      <c r="N9" s="239"/>
      <c r="O9" s="240"/>
    </row>
    <row r="10" spans="1:15" ht="20.5" thickBot="1" x14ac:dyDescent="0.4">
      <c r="A10" s="253" t="s">
        <v>1151</v>
      </c>
      <c r="B10" s="259" t="s">
        <v>1083</v>
      </c>
      <c r="C10" s="223"/>
      <c r="D10" s="260"/>
      <c r="E10" s="256" t="s">
        <v>1205</v>
      </c>
      <c r="F10" s="241" t="s">
        <v>1202</v>
      </c>
      <c r="G10" s="242"/>
      <c r="H10" s="242"/>
      <c r="I10" s="243"/>
      <c r="J10" s="267" t="s">
        <v>1195</v>
      </c>
      <c r="K10" s="268"/>
      <c r="L10" s="269"/>
      <c r="M10" s="273" t="s">
        <v>1198</v>
      </c>
      <c r="N10" s="274"/>
      <c r="O10" s="275"/>
    </row>
    <row r="11" spans="1:15" ht="18" thickBot="1" x14ac:dyDescent="0.4">
      <c r="A11" s="254"/>
      <c r="B11" s="261"/>
      <c r="C11" s="224"/>
      <c r="D11" s="262"/>
      <c r="E11" s="257"/>
      <c r="F11" s="263" t="s">
        <v>1203</v>
      </c>
      <c r="G11" s="264"/>
      <c r="H11" s="265" t="s">
        <v>1089</v>
      </c>
      <c r="I11" s="265" t="s">
        <v>1088</v>
      </c>
      <c r="J11" s="270"/>
      <c r="K11" s="271"/>
      <c r="L11" s="272"/>
      <c r="M11" s="276"/>
      <c r="N11" s="277"/>
      <c r="O11" s="278"/>
    </row>
    <row r="12" spans="1:15" ht="20.149999999999999" customHeight="1" thickBot="1" x14ac:dyDescent="0.4">
      <c r="A12" s="255"/>
      <c r="B12" s="155" t="s">
        <v>1240</v>
      </c>
      <c r="C12" s="156" t="s">
        <v>1100</v>
      </c>
      <c r="D12" s="157" t="s">
        <v>1150</v>
      </c>
      <c r="E12" s="258"/>
      <c r="F12" s="158" t="s">
        <v>1196</v>
      </c>
      <c r="G12" s="159" t="s">
        <v>1197</v>
      </c>
      <c r="H12" s="266"/>
      <c r="I12" s="266"/>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1368</v>
      </c>
      <c r="B16" s="100" t="s">
        <v>98</v>
      </c>
      <c r="C16" s="81" t="str">
        <f>IFERROR(IF(B16="No CAS","",INDEX('DEQ Pollutant List'!$C$7:$C$611,MATCH('3. Pollutant Emissions - EF'!B16,'DEQ Pollutant List'!$B$7:$B$611,0))),"")</f>
        <v>Benzene</v>
      </c>
      <c r="D16" s="115">
        <f>IFERROR(IF(OR($B16="",$B16="No CAS"),INDEX('DEQ Pollutant List'!$A$7:$A$611,MATCH($C16,'DEQ Pollutant List'!$C$7:$C$611,0)),INDEX('DEQ Pollutant List'!$A$7:$A$611,MATCH($B16,'DEQ Pollutant List'!$B$7:$B$611,0))),"")</f>
        <v>46</v>
      </c>
      <c r="E16" s="101">
        <v>0</v>
      </c>
      <c r="F16" s="199">
        <v>3.8800000000000001E-6</v>
      </c>
      <c r="G16" s="103"/>
      <c r="H16" s="83" t="s">
        <v>1452</v>
      </c>
      <c r="I16" s="104" t="s">
        <v>1471</v>
      </c>
      <c r="J16" s="102">
        <f>$F16*2000</f>
        <v>7.7600000000000004E-3</v>
      </c>
      <c r="K16" s="105">
        <f t="shared" ref="K16:L29" si="0">$F16*2000</f>
        <v>7.7600000000000004E-3</v>
      </c>
      <c r="L16" s="83">
        <f t="shared" si="0"/>
        <v>7.7600000000000004E-3</v>
      </c>
      <c r="M16" s="102"/>
      <c r="N16" s="105"/>
      <c r="O16" s="83"/>
    </row>
    <row r="17" spans="1:15" x14ac:dyDescent="0.35">
      <c r="A17" s="79" t="s">
        <v>1368</v>
      </c>
      <c r="B17" s="100" t="s">
        <v>994</v>
      </c>
      <c r="C17" s="81" t="str">
        <f>IFERROR(IF(B17="No CAS","",INDEX('DEQ Pollutant List'!$C$7:$C$611,MATCH('3. Pollutant Emissions - EF'!B17,'DEQ Pollutant List'!$B$7:$B$611,0))),"")</f>
        <v>Toluene</v>
      </c>
      <c r="D17" s="115">
        <f>IFERROR(IF(OR($B17="",$B17="No CAS"),INDEX('DEQ Pollutant List'!$A$7:$A$611,MATCH($C17,'DEQ Pollutant List'!$C$7:$C$611,0)),INDEX('DEQ Pollutant List'!$A$7:$A$611,MATCH($B17,'DEQ Pollutant List'!$B$7:$B$611,0))),"")</f>
        <v>600</v>
      </c>
      <c r="E17" s="101">
        <v>0</v>
      </c>
      <c r="F17" s="199">
        <v>3.1199999999999999E-5</v>
      </c>
      <c r="G17" s="103"/>
      <c r="H17" s="83" t="s">
        <v>1452</v>
      </c>
      <c r="I17" s="104" t="s">
        <v>1471</v>
      </c>
      <c r="J17" s="102">
        <f t="shared" ref="J17:J29" si="1">$F17*2000</f>
        <v>6.2399999999999997E-2</v>
      </c>
      <c r="K17" s="105">
        <f t="shared" si="0"/>
        <v>6.2399999999999997E-2</v>
      </c>
      <c r="L17" s="83">
        <f t="shared" si="0"/>
        <v>6.2399999999999997E-2</v>
      </c>
      <c r="M17" s="102"/>
      <c r="N17" s="105"/>
      <c r="O17" s="83"/>
    </row>
    <row r="18" spans="1:15" x14ac:dyDescent="0.35">
      <c r="A18" s="79" t="s">
        <v>1368</v>
      </c>
      <c r="B18" s="100" t="s">
        <v>410</v>
      </c>
      <c r="C18" s="81" t="str">
        <f>IFERROR(IF(B18="No CAS","",INDEX('DEQ Pollutant List'!$C$7:$C$611,MATCH('3. Pollutant Emissions - EF'!B18,'DEQ Pollutant List'!$B$7:$B$611,0))),"")</f>
        <v>Ethyl benzene</v>
      </c>
      <c r="D18" s="115">
        <f>IFERROR(IF(OR($B18="",$B18="No CAS"),INDEX('DEQ Pollutant List'!$A$7:$A$611,MATCH($C18,'DEQ Pollutant List'!$C$7:$C$611,0)),INDEX('DEQ Pollutant List'!$A$7:$A$611,MATCH($B18,'DEQ Pollutant List'!$B$7:$B$611,0))),"")</f>
        <v>229</v>
      </c>
      <c r="E18" s="101">
        <v>0</v>
      </c>
      <c r="F18" s="199">
        <v>5.4500000000000003E-6</v>
      </c>
      <c r="G18" s="103"/>
      <c r="H18" s="83" t="s">
        <v>1452</v>
      </c>
      <c r="I18" s="104" t="s">
        <v>1471</v>
      </c>
      <c r="J18" s="102">
        <f t="shared" si="1"/>
        <v>1.09E-2</v>
      </c>
      <c r="K18" s="105">
        <f t="shared" si="0"/>
        <v>1.09E-2</v>
      </c>
      <c r="L18" s="83">
        <f t="shared" si="0"/>
        <v>1.09E-2</v>
      </c>
      <c r="M18" s="102"/>
      <c r="N18" s="105"/>
      <c r="O18" s="83"/>
    </row>
    <row r="19" spans="1:15" x14ac:dyDescent="0.35">
      <c r="A19" s="79" t="s">
        <v>1368</v>
      </c>
      <c r="B19" s="100" t="s">
        <v>1071</v>
      </c>
      <c r="C19" s="81" t="str">
        <f>IFERROR(IF(B19="No CAS","",INDEX('DEQ Pollutant List'!$C$7:$C$611,MATCH('3. Pollutant Emissions - EF'!B19,'DEQ Pollutant List'!$B$7:$B$611,0))),"")</f>
        <v>Xylene (mixture), including m-xylene, o-xylene, p-xylene</v>
      </c>
      <c r="D19" s="115">
        <f>IFERROR(IF(OR($B19="",$B19="No CAS"),INDEX('DEQ Pollutant List'!$A$7:$A$611,MATCH($C19,'DEQ Pollutant List'!$C$7:$C$611,0)),INDEX('DEQ Pollutant List'!$A$7:$A$611,MATCH($B19,'DEQ Pollutant List'!$B$7:$B$611,0))),"")</f>
        <v>628</v>
      </c>
      <c r="E19" s="101">
        <v>0</v>
      </c>
      <c r="F19" s="199">
        <v>3.3500000000000001E-5</v>
      </c>
      <c r="G19" s="103"/>
      <c r="H19" s="83" t="s">
        <v>1452</v>
      </c>
      <c r="I19" s="104" t="s">
        <v>1471</v>
      </c>
      <c r="J19" s="102">
        <f t="shared" si="1"/>
        <v>6.7000000000000004E-2</v>
      </c>
      <c r="K19" s="105">
        <f t="shared" si="0"/>
        <v>6.7000000000000004E-2</v>
      </c>
      <c r="L19" s="83">
        <f t="shared" si="0"/>
        <v>6.7000000000000004E-2</v>
      </c>
      <c r="M19" s="102"/>
      <c r="N19" s="105"/>
      <c r="O19" s="83"/>
    </row>
    <row r="20" spans="1:15" x14ac:dyDescent="0.35">
      <c r="A20" s="79" t="s">
        <v>1368</v>
      </c>
      <c r="B20" s="100" t="s">
        <v>581</v>
      </c>
      <c r="C20" s="81" t="str">
        <f>IFERROR(IF(B20="No CAS","",INDEX('DEQ Pollutant List'!$C$7:$C$611,MATCH('3. Pollutant Emissions - EF'!B20,'DEQ Pollutant List'!$B$7:$B$611,0))),"")</f>
        <v>Naphthalene</v>
      </c>
      <c r="D20" s="115">
        <f>IFERROR(IF(OR($B20="",$B20="No CAS"),INDEX('DEQ Pollutant List'!$A$7:$A$611,MATCH($C20,'DEQ Pollutant List'!$C$7:$C$611,0)),INDEX('DEQ Pollutant List'!$A$7:$A$611,MATCH($B20,'DEQ Pollutant List'!$B$7:$B$611,0))),"")</f>
        <v>428</v>
      </c>
      <c r="E20" s="101">
        <v>0</v>
      </c>
      <c r="F20" s="199">
        <v>3.7500000000000001E-7</v>
      </c>
      <c r="G20" s="103"/>
      <c r="H20" s="83" t="s">
        <v>1452</v>
      </c>
      <c r="I20" s="104" t="s">
        <v>1471</v>
      </c>
      <c r="J20" s="102">
        <f t="shared" si="1"/>
        <v>7.5000000000000002E-4</v>
      </c>
      <c r="K20" s="105">
        <f t="shared" si="0"/>
        <v>7.5000000000000002E-4</v>
      </c>
      <c r="L20" s="83">
        <f t="shared" si="0"/>
        <v>7.5000000000000002E-4</v>
      </c>
      <c r="M20" s="102"/>
      <c r="N20" s="105"/>
      <c r="O20" s="83"/>
    </row>
    <row r="21" spans="1:15" x14ac:dyDescent="0.35">
      <c r="A21" s="79" t="s">
        <v>1368</v>
      </c>
      <c r="B21" s="100" t="s">
        <v>839</v>
      </c>
      <c r="C21" s="81" t="str">
        <f>IFERROR(IF(B21="No CAS","",INDEX('DEQ Pollutant List'!$C$7:$C$611,MATCH('3. Pollutant Emissions - EF'!B21,'DEQ Pollutant List'!$B$7:$B$611,0))),"")</f>
        <v>Chrysene</v>
      </c>
      <c r="D21" s="115">
        <f>IFERROR(IF(OR($B21="",$B21="No CAS"),INDEX('DEQ Pollutant List'!$A$7:$A$611,MATCH($C21,'DEQ Pollutant List'!$C$7:$C$611,0)),INDEX('DEQ Pollutant List'!$A$7:$A$611,MATCH($B21,'DEQ Pollutant List'!$B$7:$B$611,0))),"")</f>
        <v>414</v>
      </c>
      <c r="E21" s="101">
        <v>0</v>
      </c>
      <c r="F21" s="199">
        <v>3.9300000000000003E-11</v>
      </c>
      <c r="G21" s="103"/>
      <c r="H21" s="83" t="s">
        <v>1452</v>
      </c>
      <c r="I21" s="104" t="s">
        <v>1471</v>
      </c>
      <c r="J21" s="102">
        <f t="shared" si="1"/>
        <v>7.8600000000000002E-8</v>
      </c>
      <c r="K21" s="105">
        <f t="shared" si="0"/>
        <v>7.8600000000000002E-8</v>
      </c>
      <c r="L21" s="83">
        <f t="shared" si="0"/>
        <v>7.8600000000000002E-8</v>
      </c>
      <c r="M21" s="102"/>
      <c r="N21" s="105"/>
      <c r="O21" s="83"/>
    </row>
    <row r="22" spans="1:15" x14ac:dyDescent="0.35">
      <c r="A22" s="79" t="s">
        <v>1368</v>
      </c>
      <c r="B22" s="100" t="s">
        <v>1044</v>
      </c>
      <c r="C22" s="81" t="str">
        <f>IFERROR(IF(B22="No CAS","",INDEX('DEQ Pollutant List'!$C$7:$C$611,MATCH('3. Pollutant Emissions - EF'!B22,'DEQ Pollutant List'!$B$7:$B$611,0))),"")</f>
        <v>1,2,4-Trimethylbenzene</v>
      </c>
      <c r="D22" s="115">
        <f>IFERROR(IF(OR($B22="",$B22="No CAS"),INDEX('DEQ Pollutant List'!$A$7:$A$611,MATCH($C22,'DEQ Pollutant List'!$C$7:$C$611,0)),INDEX('DEQ Pollutant List'!$A$7:$A$611,MATCH($B22,'DEQ Pollutant List'!$B$7:$B$611,0))),"")</f>
        <v>614</v>
      </c>
      <c r="E22" s="101">
        <v>0</v>
      </c>
      <c r="F22" s="199">
        <v>6.7399999999999998E-6</v>
      </c>
      <c r="G22" s="103"/>
      <c r="H22" s="83" t="s">
        <v>1452</v>
      </c>
      <c r="I22" s="104" t="s">
        <v>1471</v>
      </c>
      <c r="J22" s="102">
        <f t="shared" si="1"/>
        <v>1.3479999999999999E-2</v>
      </c>
      <c r="K22" s="105">
        <f t="shared" si="0"/>
        <v>1.3479999999999999E-2</v>
      </c>
      <c r="L22" s="83">
        <f t="shared" si="0"/>
        <v>1.3479999999999999E-2</v>
      </c>
      <c r="M22" s="102"/>
      <c r="N22" s="105"/>
      <c r="O22" s="83"/>
    </row>
    <row r="23" spans="1:15" x14ac:dyDescent="0.35">
      <c r="A23" s="79" t="s">
        <v>1368</v>
      </c>
      <c r="B23" s="100" t="s">
        <v>1046</v>
      </c>
      <c r="C23" s="81" t="s">
        <v>1047</v>
      </c>
      <c r="D23" s="115"/>
      <c r="E23" s="101">
        <v>0</v>
      </c>
      <c r="F23" s="199">
        <v>1.99E-6</v>
      </c>
      <c r="G23" s="103"/>
      <c r="H23" s="83" t="s">
        <v>1452</v>
      </c>
      <c r="I23" s="104" t="s">
        <v>1471</v>
      </c>
      <c r="J23" s="102">
        <f t="shared" si="1"/>
        <v>3.98E-3</v>
      </c>
      <c r="K23" s="105">
        <f t="shared" si="0"/>
        <v>3.98E-3</v>
      </c>
      <c r="L23" s="83">
        <f t="shared" si="0"/>
        <v>3.98E-3</v>
      </c>
      <c r="M23" s="102"/>
      <c r="N23" s="105"/>
      <c r="O23" s="83"/>
    </row>
    <row r="24" spans="1:15" x14ac:dyDescent="0.35">
      <c r="A24" s="79" t="s">
        <v>1368</v>
      </c>
      <c r="B24" s="100" t="s">
        <v>483</v>
      </c>
      <c r="C24" s="81" t="str">
        <f>IFERROR(IF(B24="No CAS","",INDEX('DEQ Pollutant List'!$C$7:$C$611,MATCH('3. Pollutant Emissions - EF'!B24,'DEQ Pollutant List'!$B$7:$B$611,0))),"")</f>
        <v>Hexane</v>
      </c>
      <c r="D24" s="115">
        <f>IFERROR(IF(OR($B24="",$B24="No CAS"),INDEX('DEQ Pollutant List'!$A$7:$A$611,MATCH($C24,'DEQ Pollutant List'!$C$7:$C$611,0)),INDEX('DEQ Pollutant List'!$A$7:$A$611,MATCH($B24,'DEQ Pollutant List'!$B$7:$B$611,0))),"")</f>
        <v>289</v>
      </c>
      <c r="E24" s="101">
        <v>0</v>
      </c>
      <c r="F24" s="199">
        <v>8.6300000000000005E-4</v>
      </c>
      <c r="G24" s="103"/>
      <c r="H24" s="83" t="s">
        <v>1452</v>
      </c>
      <c r="I24" s="104" t="s">
        <v>1471</v>
      </c>
      <c r="J24" s="102">
        <f t="shared" si="1"/>
        <v>1.7260000000000002</v>
      </c>
      <c r="K24" s="105">
        <f t="shared" si="0"/>
        <v>1.7260000000000002</v>
      </c>
      <c r="L24" s="83">
        <f t="shared" si="0"/>
        <v>1.7260000000000002</v>
      </c>
      <c r="M24" s="102"/>
      <c r="N24" s="105"/>
      <c r="O24" s="83"/>
    </row>
    <row r="25" spans="1:15" x14ac:dyDescent="0.35">
      <c r="A25" s="79" t="s">
        <v>1368</v>
      </c>
      <c r="B25" s="100" t="s">
        <v>564</v>
      </c>
      <c r="C25" s="81" t="s">
        <v>565</v>
      </c>
      <c r="D25" s="115"/>
      <c r="E25" s="101">
        <v>0</v>
      </c>
      <c r="F25" s="199">
        <v>1.6899999999999999E-4</v>
      </c>
      <c r="G25" s="103"/>
      <c r="H25" s="83" t="s">
        <v>1452</v>
      </c>
      <c r="I25" s="104" t="s">
        <v>1471</v>
      </c>
      <c r="J25" s="102">
        <f t="shared" si="1"/>
        <v>0.33799999999999997</v>
      </c>
      <c r="K25" s="105">
        <f t="shared" si="0"/>
        <v>0.33799999999999997</v>
      </c>
      <c r="L25" s="83">
        <f t="shared" si="0"/>
        <v>0.33799999999999997</v>
      </c>
      <c r="M25" s="102"/>
      <c r="N25" s="105"/>
      <c r="O25" s="83"/>
    </row>
    <row r="26" spans="1:15" x14ac:dyDescent="0.35">
      <c r="A26" s="79" t="s">
        <v>1368</v>
      </c>
      <c r="B26" s="100" t="s">
        <v>508</v>
      </c>
      <c r="C26" s="81" t="s">
        <v>1283</v>
      </c>
      <c r="D26" s="115"/>
      <c r="E26" s="101">
        <v>0</v>
      </c>
      <c r="F26" s="199">
        <v>3.5100000000000001E-7</v>
      </c>
      <c r="G26" s="103"/>
      <c r="H26" s="83" t="s">
        <v>1452</v>
      </c>
      <c r="I26" s="104" t="s">
        <v>1471</v>
      </c>
      <c r="J26" s="102">
        <f t="shared" si="1"/>
        <v>7.0200000000000004E-4</v>
      </c>
      <c r="K26" s="105">
        <f t="shared" si="0"/>
        <v>7.0200000000000004E-4</v>
      </c>
      <c r="L26" s="83">
        <f t="shared" si="0"/>
        <v>7.0200000000000004E-4</v>
      </c>
      <c r="M26" s="102"/>
      <c r="N26" s="105"/>
      <c r="O26" s="83"/>
    </row>
    <row r="27" spans="1:15" x14ac:dyDescent="0.35">
      <c r="A27" s="79" t="s">
        <v>1368</v>
      </c>
      <c r="B27" s="100" t="s">
        <v>821</v>
      </c>
      <c r="C27" s="81" t="s">
        <v>822</v>
      </c>
      <c r="D27" s="115"/>
      <c r="E27" s="101">
        <v>0</v>
      </c>
      <c r="F27" s="199">
        <v>1.0700000000000001E-12</v>
      </c>
      <c r="G27" s="103"/>
      <c r="H27" s="83" t="s">
        <v>1452</v>
      </c>
      <c r="I27" s="104" t="s">
        <v>1471</v>
      </c>
      <c r="J27" s="102">
        <f t="shared" si="1"/>
        <v>2.1400000000000001E-9</v>
      </c>
      <c r="K27" s="105">
        <f t="shared" si="0"/>
        <v>2.1400000000000001E-9</v>
      </c>
      <c r="L27" s="83">
        <f t="shared" si="0"/>
        <v>2.1400000000000001E-9</v>
      </c>
      <c r="M27" s="102"/>
      <c r="N27" s="105"/>
      <c r="O27" s="83"/>
    </row>
    <row r="28" spans="1:15" x14ac:dyDescent="0.35">
      <c r="A28" s="79" t="s">
        <v>1368</v>
      </c>
      <c r="B28" s="100" t="s">
        <v>863</v>
      </c>
      <c r="C28" s="81" t="s">
        <v>864</v>
      </c>
      <c r="D28" s="115"/>
      <c r="E28" s="101">
        <v>0</v>
      </c>
      <c r="F28" s="199">
        <v>2.9499999999999999E-9</v>
      </c>
      <c r="G28" s="103"/>
      <c r="H28" s="83" t="s">
        <v>1452</v>
      </c>
      <c r="I28" s="104" t="s">
        <v>1471</v>
      </c>
      <c r="J28" s="102">
        <f t="shared" si="1"/>
        <v>5.9000000000000003E-6</v>
      </c>
      <c r="K28" s="105">
        <f t="shared" si="0"/>
        <v>5.9000000000000003E-6</v>
      </c>
      <c r="L28" s="83">
        <f t="shared" si="0"/>
        <v>5.9000000000000003E-6</v>
      </c>
      <c r="M28" s="102"/>
      <c r="N28" s="105"/>
      <c r="O28" s="83"/>
    </row>
    <row r="29" spans="1:15" x14ac:dyDescent="0.35">
      <c r="A29" s="79" t="s">
        <v>1368</v>
      </c>
      <c r="B29" s="100" t="s">
        <v>871</v>
      </c>
      <c r="C29" s="81" t="s">
        <v>872</v>
      </c>
      <c r="D29" s="115"/>
      <c r="E29" s="101">
        <v>0</v>
      </c>
      <c r="F29" s="199">
        <v>5.0100000000000003E-10</v>
      </c>
      <c r="G29" s="103"/>
      <c r="H29" s="83" t="s">
        <v>1452</v>
      </c>
      <c r="I29" s="104" t="s">
        <v>1471</v>
      </c>
      <c r="J29" s="102">
        <f t="shared" si="1"/>
        <v>1.0020000000000001E-6</v>
      </c>
      <c r="K29" s="105">
        <f t="shared" si="0"/>
        <v>1.0020000000000001E-6</v>
      </c>
      <c r="L29" s="83">
        <f t="shared" si="0"/>
        <v>1.0020000000000001E-6</v>
      </c>
      <c r="M29" s="102"/>
      <c r="N29" s="105"/>
      <c r="O29" s="83"/>
    </row>
    <row r="30" spans="1:15" x14ac:dyDescent="0.35">
      <c r="A30" s="79" t="s">
        <v>1368</v>
      </c>
      <c r="B30" s="100" t="s">
        <v>873</v>
      </c>
      <c r="C30" s="81" t="s">
        <v>874</v>
      </c>
      <c r="D30" s="115"/>
      <c r="E30" s="101">
        <v>0</v>
      </c>
      <c r="F30" s="199">
        <v>4.67E-26</v>
      </c>
      <c r="G30" s="103"/>
      <c r="H30" s="83" t="s">
        <v>1452</v>
      </c>
      <c r="I30" s="104" t="s">
        <v>1471</v>
      </c>
      <c r="J30" s="102"/>
      <c r="K30" s="105"/>
      <c r="L30" s="83"/>
      <c r="M30" s="102"/>
      <c r="N30" s="105"/>
      <c r="O30" s="83"/>
    </row>
    <row r="31" spans="1:15" x14ac:dyDescent="0.35">
      <c r="A31" s="79" t="s">
        <v>1368</v>
      </c>
      <c r="B31" s="100" t="s">
        <v>98</v>
      </c>
      <c r="C31" s="81" t="str">
        <f>IFERROR(IF(B31="No CAS","",INDEX('DEQ Pollutant List'!$C$7:$C$611,MATCH('3. Pollutant Emissions - EF'!B31,'DEQ Pollutant List'!$B$7:$B$611,0))),"")</f>
        <v>Benzene</v>
      </c>
      <c r="D31" s="115"/>
      <c r="E31" s="101">
        <v>0</v>
      </c>
      <c r="F31" s="102"/>
      <c r="G31" s="200">
        <v>6.3400000000000003E-6</v>
      </c>
      <c r="H31" s="83" t="s">
        <v>1397</v>
      </c>
      <c r="I31" s="104" t="s">
        <v>1471</v>
      </c>
      <c r="J31" s="102"/>
      <c r="K31" s="105"/>
      <c r="L31" s="83"/>
      <c r="M31" s="102">
        <f>$G31*24</f>
        <v>1.5216000000000001E-4</v>
      </c>
      <c r="N31" s="105">
        <f t="shared" ref="N31:O45" si="2">$G31*24</f>
        <v>1.5216000000000001E-4</v>
      </c>
      <c r="O31" s="83">
        <f t="shared" si="2"/>
        <v>1.5216000000000001E-4</v>
      </c>
    </row>
    <row r="32" spans="1:15" x14ac:dyDescent="0.35">
      <c r="A32" s="79" t="s">
        <v>1368</v>
      </c>
      <c r="B32" s="100" t="s">
        <v>994</v>
      </c>
      <c r="C32" s="81" t="str">
        <f>IFERROR(IF(B32="No CAS","",INDEX('DEQ Pollutant List'!$C$7:$C$611,MATCH('3. Pollutant Emissions - EF'!B32,'DEQ Pollutant List'!$B$7:$B$611,0))),"")</f>
        <v>Toluene</v>
      </c>
      <c r="D32" s="115"/>
      <c r="E32" s="101">
        <v>0</v>
      </c>
      <c r="F32" s="102"/>
      <c r="G32" s="200">
        <v>5.0899999999999997E-5</v>
      </c>
      <c r="H32" s="83" t="s">
        <v>1397</v>
      </c>
      <c r="I32" s="104" t="s">
        <v>1471</v>
      </c>
      <c r="J32" s="102"/>
      <c r="K32" s="105"/>
      <c r="L32" s="83"/>
      <c r="M32" s="102">
        <f t="shared" ref="M32:M45" si="3">$G32*24</f>
        <v>1.2216E-3</v>
      </c>
      <c r="N32" s="105">
        <f t="shared" si="2"/>
        <v>1.2216E-3</v>
      </c>
      <c r="O32" s="83">
        <f t="shared" si="2"/>
        <v>1.2216E-3</v>
      </c>
    </row>
    <row r="33" spans="1:15" x14ac:dyDescent="0.35">
      <c r="A33" s="79" t="s">
        <v>1368</v>
      </c>
      <c r="B33" s="100" t="s">
        <v>410</v>
      </c>
      <c r="C33" s="81" t="str">
        <f>IFERROR(IF(B33="No CAS","",INDEX('DEQ Pollutant List'!$C$7:$C$611,MATCH('3. Pollutant Emissions - EF'!B33,'DEQ Pollutant List'!$B$7:$B$611,0))),"")</f>
        <v>Ethyl benzene</v>
      </c>
      <c r="D33" s="115"/>
      <c r="E33" s="101">
        <v>0</v>
      </c>
      <c r="F33" s="102"/>
      <c r="G33" s="200">
        <v>8.8999999999999995E-6</v>
      </c>
      <c r="H33" s="83" t="s">
        <v>1397</v>
      </c>
      <c r="I33" s="104" t="s">
        <v>1471</v>
      </c>
      <c r="J33" s="102"/>
      <c r="K33" s="105"/>
      <c r="L33" s="83"/>
      <c r="M33" s="102">
        <f t="shared" si="3"/>
        <v>2.1359999999999999E-4</v>
      </c>
      <c r="N33" s="105">
        <f t="shared" si="2"/>
        <v>2.1359999999999999E-4</v>
      </c>
      <c r="O33" s="83">
        <f t="shared" si="2"/>
        <v>2.1359999999999999E-4</v>
      </c>
    </row>
    <row r="34" spans="1:15" x14ac:dyDescent="0.35">
      <c r="A34" s="79" t="s">
        <v>1368</v>
      </c>
      <c r="B34" s="100" t="s">
        <v>1071</v>
      </c>
      <c r="C34" s="81" t="str">
        <f>IFERROR(IF(B34="No CAS","",INDEX('DEQ Pollutant List'!$C$7:$C$611,MATCH('3. Pollutant Emissions - EF'!B34,'DEQ Pollutant List'!$B$7:$B$611,0))),"")</f>
        <v>Xylene (mixture), including m-xylene, o-xylene, p-xylene</v>
      </c>
      <c r="D34" s="115"/>
      <c r="E34" s="101">
        <v>0</v>
      </c>
      <c r="F34" s="102"/>
      <c r="G34" s="200">
        <v>5.4799999999999997E-5</v>
      </c>
      <c r="H34" s="83" t="s">
        <v>1397</v>
      </c>
      <c r="I34" s="104" t="s">
        <v>1471</v>
      </c>
      <c r="J34" s="102"/>
      <c r="K34" s="105"/>
      <c r="L34" s="83"/>
      <c r="M34" s="102">
        <f t="shared" si="3"/>
        <v>1.3151999999999999E-3</v>
      </c>
      <c r="N34" s="105">
        <f t="shared" si="2"/>
        <v>1.3151999999999999E-3</v>
      </c>
      <c r="O34" s="83">
        <f t="shared" si="2"/>
        <v>1.3151999999999999E-3</v>
      </c>
    </row>
    <row r="35" spans="1:15" x14ac:dyDescent="0.35">
      <c r="A35" s="79" t="s">
        <v>1368</v>
      </c>
      <c r="B35" s="100" t="s">
        <v>581</v>
      </c>
      <c r="C35" s="81" t="str">
        <f>IFERROR(IF(B35="No CAS","",INDEX('DEQ Pollutant List'!$C$7:$C$611,MATCH('3. Pollutant Emissions - EF'!B35,'DEQ Pollutant List'!$B$7:$B$611,0))),"")</f>
        <v>Naphthalene</v>
      </c>
      <c r="D35" s="115"/>
      <c r="E35" s="101">
        <v>0</v>
      </c>
      <c r="F35" s="102"/>
      <c r="G35" s="200">
        <v>6.13E-7</v>
      </c>
      <c r="H35" s="83" t="s">
        <v>1397</v>
      </c>
      <c r="I35" s="104" t="s">
        <v>1471</v>
      </c>
      <c r="J35" s="102"/>
      <c r="K35" s="105"/>
      <c r="L35" s="83"/>
      <c r="M35" s="102">
        <f t="shared" si="3"/>
        <v>1.4712000000000001E-5</v>
      </c>
      <c r="N35" s="105">
        <f t="shared" si="2"/>
        <v>1.4712000000000001E-5</v>
      </c>
      <c r="O35" s="83">
        <f t="shared" si="2"/>
        <v>1.4712000000000001E-5</v>
      </c>
    </row>
    <row r="36" spans="1:15" x14ac:dyDescent="0.35">
      <c r="A36" s="79" t="s">
        <v>1368</v>
      </c>
      <c r="B36" s="100" t="s">
        <v>839</v>
      </c>
      <c r="C36" s="81" t="str">
        <f>IFERROR(IF(B36="No CAS","",INDEX('DEQ Pollutant List'!$C$7:$C$611,MATCH('3. Pollutant Emissions - EF'!B36,'DEQ Pollutant List'!$B$7:$B$611,0))),"")</f>
        <v>Chrysene</v>
      </c>
      <c r="D36" s="115"/>
      <c r="E36" s="101">
        <v>0</v>
      </c>
      <c r="F36" s="102"/>
      <c r="G36" s="200">
        <v>6.4199999999999995E-11</v>
      </c>
      <c r="H36" s="83" t="s">
        <v>1397</v>
      </c>
      <c r="I36" s="104" t="s">
        <v>1471</v>
      </c>
      <c r="J36" s="102"/>
      <c r="K36" s="105"/>
      <c r="L36" s="83"/>
      <c r="M36" s="102">
        <f t="shared" si="3"/>
        <v>1.5407999999999999E-9</v>
      </c>
      <c r="N36" s="105">
        <f t="shared" si="2"/>
        <v>1.5407999999999999E-9</v>
      </c>
      <c r="O36" s="83">
        <f t="shared" si="2"/>
        <v>1.5407999999999999E-9</v>
      </c>
    </row>
    <row r="37" spans="1:15" x14ac:dyDescent="0.35">
      <c r="A37" s="79" t="s">
        <v>1368</v>
      </c>
      <c r="B37" s="100" t="s">
        <v>1044</v>
      </c>
      <c r="C37" s="81" t="str">
        <f>IFERROR(IF(B37="No CAS","",INDEX('DEQ Pollutant List'!$C$7:$C$611,MATCH('3. Pollutant Emissions - EF'!B37,'DEQ Pollutant List'!$B$7:$B$611,0))),"")</f>
        <v>1,2,4-Trimethylbenzene</v>
      </c>
      <c r="D37" s="115"/>
      <c r="E37" s="101">
        <v>0</v>
      </c>
      <c r="F37" s="102"/>
      <c r="G37" s="200">
        <v>1.1E-5</v>
      </c>
      <c r="H37" s="83" t="s">
        <v>1397</v>
      </c>
      <c r="I37" s="104" t="s">
        <v>1471</v>
      </c>
      <c r="J37" s="102"/>
      <c r="K37" s="105"/>
      <c r="L37" s="83"/>
      <c r="M37" s="102">
        <f t="shared" si="3"/>
        <v>2.6400000000000002E-4</v>
      </c>
      <c r="N37" s="105">
        <f t="shared" si="2"/>
        <v>2.6400000000000002E-4</v>
      </c>
      <c r="O37" s="83">
        <f t="shared" si="2"/>
        <v>2.6400000000000002E-4</v>
      </c>
    </row>
    <row r="38" spans="1:15" x14ac:dyDescent="0.35">
      <c r="A38" s="79" t="s">
        <v>1368</v>
      </c>
      <c r="B38" s="100" t="s">
        <v>1046</v>
      </c>
      <c r="C38" s="81" t="s">
        <v>1047</v>
      </c>
      <c r="D38" s="115"/>
      <c r="E38" s="101">
        <v>0</v>
      </c>
      <c r="F38" s="102"/>
      <c r="G38" s="200">
        <v>3.2499999999999998E-6</v>
      </c>
      <c r="H38" s="83" t="s">
        <v>1397</v>
      </c>
      <c r="I38" s="104" t="s">
        <v>1471</v>
      </c>
      <c r="J38" s="102"/>
      <c r="K38" s="105"/>
      <c r="L38" s="83"/>
      <c r="M38" s="102">
        <f t="shared" si="3"/>
        <v>7.7999999999999999E-5</v>
      </c>
      <c r="N38" s="105">
        <f t="shared" si="2"/>
        <v>7.7999999999999999E-5</v>
      </c>
      <c r="O38" s="83">
        <f t="shared" si="2"/>
        <v>7.7999999999999999E-5</v>
      </c>
    </row>
    <row r="39" spans="1:15" x14ac:dyDescent="0.35">
      <c r="A39" s="79" t="s">
        <v>1368</v>
      </c>
      <c r="B39" s="100" t="s">
        <v>483</v>
      </c>
      <c r="C39" s="81" t="str">
        <f>IFERROR(IF(B39="No CAS","",INDEX('DEQ Pollutant List'!$C$7:$C$611,MATCH('3. Pollutant Emissions - EF'!B39,'DEQ Pollutant List'!$B$7:$B$611,0))),"")</f>
        <v>Hexane</v>
      </c>
      <c r="D39" s="115"/>
      <c r="E39" s="101">
        <v>0</v>
      </c>
      <c r="F39" s="102"/>
      <c r="G39" s="200">
        <v>1.41E-3</v>
      </c>
      <c r="H39" s="83" t="s">
        <v>1397</v>
      </c>
      <c r="I39" s="104" t="s">
        <v>1471</v>
      </c>
      <c r="J39" s="102"/>
      <c r="K39" s="105"/>
      <c r="L39" s="83"/>
      <c r="M39" s="102">
        <f t="shared" si="3"/>
        <v>3.3840000000000002E-2</v>
      </c>
      <c r="N39" s="105">
        <f t="shared" si="2"/>
        <v>3.3840000000000002E-2</v>
      </c>
      <c r="O39" s="83">
        <f t="shared" si="2"/>
        <v>3.3840000000000002E-2</v>
      </c>
    </row>
    <row r="40" spans="1:15" x14ac:dyDescent="0.35">
      <c r="A40" s="79" t="s">
        <v>1368</v>
      </c>
      <c r="B40" s="100" t="s">
        <v>564</v>
      </c>
      <c r="C40" s="81" t="s">
        <v>565</v>
      </c>
      <c r="D40" s="115">
        <f>IFERROR(IF(OR($B40="",$B40="No CAS"),INDEX('DEQ Pollutant List'!$A$7:$A$611,MATCH($C40,'DEQ Pollutant List'!$C$7:$C$611,0)),INDEX('DEQ Pollutant List'!$A$7:$A$611,MATCH($B40,'DEQ Pollutant List'!$B$7:$B$611,0))),"")</f>
        <v>346</v>
      </c>
      <c r="E40" s="101">
        <v>0</v>
      </c>
      <c r="F40" s="102"/>
      <c r="G40" s="200">
        <v>2.7700000000000001E-4</v>
      </c>
      <c r="H40" s="83" t="s">
        <v>1397</v>
      </c>
      <c r="I40" s="104" t="s">
        <v>1471</v>
      </c>
      <c r="J40" s="102"/>
      <c r="K40" s="105"/>
      <c r="L40" s="83"/>
      <c r="M40" s="102">
        <f t="shared" si="3"/>
        <v>6.6480000000000003E-3</v>
      </c>
      <c r="N40" s="105">
        <f t="shared" si="2"/>
        <v>6.6480000000000003E-3</v>
      </c>
      <c r="O40" s="83">
        <f t="shared" si="2"/>
        <v>6.6480000000000003E-3</v>
      </c>
    </row>
    <row r="41" spans="1:15" x14ac:dyDescent="0.35">
      <c r="A41" s="79" t="s">
        <v>1368</v>
      </c>
      <c r="B41" s="100" t="s">
        <v>508</v>
      </c>
      <c r="C41" s="81" t="s">
        <v>1283</v>
      </c>
      <c r="D41" s="115"/>
      <c r="E41" s="101">
        <v>0</v>
      </c>
      <c r="F41" s="102"/>
      <c r="G41" s="200">
        <v>6.6199999999999997E-7</v>
      </c>
      <c r="H41" s="83" t="s">
        <v>1397</v>
      </c>
      <c r="I41" s="104" t="s">
        <v>1471</v>
      </c>
      <c r="J41" s="102"/>
      <c r="K41" s="105"/>
      <c r="L41" s="83"/>
      <c r="M41" s="102">
        <f t="shared" si="3"/>
        <v>1.5888000000000001E-5</v>
      </c>
      <c r="N41" s="105">
        <f t="shared" si="2"/>
        <v>1.5888000000000001E-5</v>
      </c>
      <c r="O41" s="83">
        <f t="shared" si="2"/>
        <v>1.5888000000000001E-5</v>
      </c>
    </row>
    <row r="42" spans="1:15" x14ac:dyDescent="0.35">
      <c r="A42" s="79" t="s">
        <v>1368</v>
      </c>
      <c r="B42" s="100" t="s">
        <v>821</v>
      </c>
      <c r="C42" s="81" t="s">
        <v>822</v>
      </c>
      <c r="D42" s="115"/>
      <c r="E42" s="101">
        <v>0</v>
      </c>
      <c r="F42" s="102"/>
      <c r="G42" s="200">
        <v>2.0100000000000001E-12</v>
      </c>
      <c r="H42" s="83" t="s">
        <v>1397</v>
      </c>
      <c r="I42" s="104" t="s">
        <v>1471</v>
      </c>
      <c r="J42" s="102"/>
      <c r="K42" s="105"/>
      <c r="L42" s="83"/>
      <c r="M42" s="102">
        <f t="shared" si="3"/>
        <v>4.8240000000000006E-11</v>
      </c>
      <c r="N42" s="105">
        <f t="shared" si="2"/>
        <v>4.8240000000000006E-11</v>
      </c>
      <c r="O42" s="83">
        <f t="shared" si="2"/>
        <v>4.8240000000000006E-11</v>
      </c>
    </row>
    <row r="43" spans="1:15" x14ac:dyDescent="0.35">
      <c r="A43" s="79" t="s">
        <v>1368</v>
      </c>
      <c r="B43" s="100" t="s">
        <v>863</v>
      </c>
      <c r="C43" s="81" t="s">
        <v>864</v>
      </c>
      <c r="D43" s="115"/>
      <c r="E43" s="101">
        <v>0</v>
      </c>
      <c r="F43" s="102"/>
      <c r="G43" s="200">
        <v>5.5599999999999998E-9</v>
      </c>
      <c r="H43" s="83" t="s">
        <v>1397</v>
      </c>
      <c r="I43" s="104" t="s">
        <v>1471</v>
      </c>
      <c r="J43" s="102"/>
      <c r="K43" s="105"/>
      <c r="L43" s="83"/>
      <c r="M43" s="102">
        <f t="shared" si="3"/>
        <v>1.3344000000000001E-7</v>
      </c>
      <c r="N43" s="105">
        <f t="shared" si="2"/>
        <v>1.3344000000000001E-7</v>
      </c>
      <c r="O43" s="83">
        <f t="shared" si="2"/>
        <v>1.3344000000000001E-7</v>
      </c>
    </row>
    <row r="44" spans="1:15" x14ac:dyDescent="0.35">
      <c r="A44" s="79" t="s">
        <v>1368</v>
      </c>
      <c r="B44" s="100" t="s">
        <v>871</v>
      </c>
      <c r="C44" s="81" t="s">
        <v>872</v>
      </c>
      <c r="D44" s="115"/>
      <c r="E44" s="101">
        <v>0</v>
      </c>
      <c r="F44" s="102"/>
      <c r="G44" s="200">
        <v>9.4400000000000005E-10</v>
      </c>
      <c r="H44" s="83" t="s">
        <v>1397</v>
      </c>
      <c r="I44" s="104" t="s">
        <v>1471</v>
      </c>
      <c r="J44" s="102"/>
      <c r="K44" s="105"/>
      <c r="L44" s="83"/>
      <c r="M44" s="102">
        <f t="shared" si="3"/>
        <v>2.2656000000000001E-8</v>
      </c>
      <c r="N44" s="105">
        <f t="shared" si="2"/>
        <v>2.2656000000000001E-8</v>
      </c>
      <c r="O44" s="83">
        <f t="shared" si="2"/>
        <v>2.2656000000000001E-8</v>
      </c>
    </row>
    <row r="45" spans="1:15" x14ac:dyDescent="0.35">
      <c r="A45" s="79" t="s">
        <v>1368</v>
      </c>
      <c r="B45" s="100" t="s">
        <v>873</v>
      </c>
      <c r="C45" s="81" t="s">
        <v>874</v>
      </c>
      <c r="D45" s="115"/>
      <c r="E45" s="101">
        <v>0</v>
      </c>
      <c r="F45" s="102"/>
      <c r="G45" s="200">
        <v>8.8100000000000003E-26</v>
      </c>
      <c r="H45" s="83" t="s">
        <v>1397</v>
      </c>
      <c r="I45" s="104" t="s">
        <v>1471</v>
      </c>
      <c r="J45" s="102"/>
      <c r="K45" s="105"/>
      <c r="L45" s="83"/>
      <c r="M45" s="102">
        <f t="shared" si="3"/>
        <v>2.1143999999999999E-24</v>
      </c>
      <c r="N45" s="105">
        <f t="shared" si="2"/>
        <v>2.1143999999999999E-24</v>
      </c>
      <c r="O45" s="83">
        <f t="shared" si="2"/>
        <v>2.1143999999999999E-24</v>
      </c>
    </row>
    <row r="46" spans="1:15" x14ac:dyDescent="0.35">
      <c r="A46" s="79"/>
      <c r="B46" s="100"/>
      <c r="C46" s="81"/>
      <c r="D46" s="115"/>
      <c r="E46" s="101"/>
      <c r="F46" s="102"/>
      <c r="G46" s="200"/>
      <c r="H46" s="83"/>
      <c r="I46" s="104"/>
      <c r="J46" s="102"/>
      <c r="K46" s="105"/>
      <c r="L46" s="83"/>
      <c r="M46" s="102"/>
      <c r="N46" s="105"/>
      <c r="O46" s="83"/>
    </row>
    <row r="47" spans="1:15" x14ac:dyDescent="0.35">
      <c r="A47" s="79" t="s">
        <v>1371</v>
      </c>
      <c r="B47" s="100" t="s">
        <v>813</v>
      </c>
      <c r="C47" s="81" t="s">
        <v>814</v>
      </c>
      <c r="D47" s="115"/>
      <c r="E47" s="101">
        <v>0</v>
      </c>
      <c r="F47" s="199">
        <v>2.1100000000000001E-5</v>
      </c>
      <c r="G47" s="200">
        <f t="shared" ref="G47:G111" si="4">F47</f>
        <v>2.1100000000000001E-5</v>
      </c>
      <c r="H47" s="83" t="s">
        <v>1376</v>
      </c>
      <c r="I47" s="104" t="s">
        <v>1470</v>
      </c>
      <c r="J47" s="199">
        <f>F47*'2. Emissions Units &amp; Activities'!H17/1000*(1-E47)</f>
        <v>1.9338128900000001E-2</v>
      </c>
      <c r="K47" s="204">
        <f t="shared" ref="K47:K224" si="5">J47</f>
        <v>1.9338128900000001E-2</v>
      </c>
      <c r="L47" s="201">
        <f>F47*'2. Emissions Units &amp; Activities'!J17/1000*(1-E47)</f>
        <v>3.1026009700000003E-2</v>
      </c>
      <c r="M47" s="199">
        <f>G47*'2. Emissions Units &amp; Activities'!K17/1000*(1-'3. Pollutant Emissions - EF'!E47)</f>
        <v>7.4379610000000003E-5</v>
      </c>
      <c r="N47" s="204">
        <f t="shared" ref="N47:N100" si="6">M47</f>
        <v>7.4379610000000003E-5</v>
      </c>
      <c r="O47" s="201">
        <f>G47*'2. Emissions Units &amp; Activities'!M17/1000*(1-'3. Pollutant Emissions - EF'!E47)</f>
        <v>8.5003460000000004E-5</v>
      </c>
    </row>
    <row r="48" spans="1:15" x14ac:dyDescent="0.35">
      <c r="A48" s="79" t="s">
        <v>1371</v>
      </c>
      <c r="B48" s="100" t="s">
        <v>815</v>
      </c>
      <c r="C48" s="81" t="s">
        <v>816</v>
      </c>
      <c r="D48" s="115"/>
      <c r="E48" s="101">
        <v>0</v>
      </c>
      <c r="F48" s="199">
        <v>2.53E-7</v>
      </c>
      <c r="G48" s="200">
        <f t="shared" si="4"/>
        <v>2.53E-7</v>
      </c>
      <c r="H48" s="83" t="s">
        <v>1376</v>
      </c>
      <c r="I48" s="104" t="s">
        <v>1470</v>
      </c>
      <c r="J48" s="199">
        <f>F48*'2. Emissions Units &amp; Activities'!H17/1000*(1-E48)</f>
        <v>2.3187424700000001E-4</v>
      </c>
      <c r="K48" s="204">
        <f t="shared" si="5"/>
        <v>2.3187424700000001E-4</v>
      </c>
      <c r="L48" s="201">
        <f>F48*'2. Emissions Units &amp; Activities'!J17/1000*(1-E48)</f>
        <v>3.7201803100000004E-4</v>
      </c>
      <c r="M48" s="199">
        <f>G48*'2. Emissions Units &amp; Activities'!K17/1000*(1-'3. Pollutant Emissions - EF'!E48)</f>
        <v>8.9185030000000001E-7</v>
      </c>
      <c r="N48" s="204">
        <f t="shared" si="6"/>
        <v>8.9185030000000001E-7</v>
      </c>
      <c r="O48" s="201">
        <f>G48*'2. Emissions Units &amp; Activities'!M17/1000*(1-'3. Pollutant Emissions - EF'!E48)</f>
        <v>1.0192358E-6</v>
      </c>
    </row>
    <row r="49" spans="1:15" x14ac:dyDescent="0.35">
      <c r="A49" s="79" t="s">
        <v>1371</v>
      </c>
      <c r="B49" s="100" t="s">
        <v>817</v>
      </c>
      <c r="C49" s="81" t="s">
        <v>818</v>
      </c>
      <c r="D49" s="115"/>
      <c r="E49" s="101">
        <v>0</v>
      </c>
      <c r="F49" s="199">
        <v>1.22E-6</v>
      </c>
      <c r="G49" s="200">
        <f>F49</f>
        <v>1.22E-6</v>
      </c>
      <c r="H49" s="83" t="s">
        <v>1376</v>
      </c>
      <c r="I49" s="104" t="s">
        <v>1470</v>
      </c>
      <c r="J49" s="199">
        <f>F49*'2. Emissions Units &amp; Activities'!H17/1000*(1-E49)</f>
        <v>1.1181287799999998E-3</v>
      </c>
      <c r="K49" s="204">
        <f t="shared" si="5"/>
        <v>1.1181287799999998E-3</v>
      </c>
      <c r="L49" s="201">
        <f>F49*'2. Emissions Units &amp; Activities'!J17/1000*(1-E49)</f>
        <v>1.79392094E-3</v>
      </c>
      <c r="M49" s="199">
        <f>G49*'2. Emissions Units &amp; Activities'!K17/1000*(1-'3. Pollutant Emissions - EF'!E49)</f>
        <v>4.3006219999999993E-6</v>
      </c>
      <c r="N49" s="204">
        <f t="shared" si="6"/>
        <v>4.3006219999999993E-6</v>
      </c>
      <c r="O49" s="201">
        <f>G49*'2. Emissions Units &amp; Activities'!M17/1000*(1-'3. Pollutant Emissions - EF'!E49)</f>
        <v>4.9148919999999999E-6</v>
      </c>
    </row>
    <row r="50" spans="1:15" x14ac:dyDescent="0.35">
      <c r="A50" s="79" t="s">
        <v>1371</v>
      </c>
      <c r="B50" s="100" t="s">
        <v>75</v>
      </c>
      <c r="C50" s="81" t="s">
        <v>76</v>
      </c>
      <c r="D50" s="115"/>
      <c r="E50" s="101"/>
      <c r="F50" s="199">
        <v>5.2500000000000003E-3</v>
      </c>
      <c r="G50" s="200">
        <f>F50</f>
        <v>5.2500000000000003E-3</v>
      </c>
      <c r="H50" s="83" t="s">
        <v>1376</v>
      </c>
      <c r="I50" s="104" t="s">
        <v>1381</v>
      </c>
      <c r="J50" s="199">
        <f>F50*'2. Emissions Units &amp; Activities'!H17/1000*(1-E50)</f>
        <v>4.8116197500000011</v>
      </c>
      <c r="K50" s="204">
        <f t="shared" si="5"/>
        <v>4.8116197500000011</v>
      </c>
      <c r="L50" s="201">
        <f>F50*'2. Emissions Units &amp; Activities'!J17/1000*(1-E50)</f>
        <v>7.7197417499999998</v>
      </c>
      <c r="M50" s="199">
        <f>G50*'2. Emissions Units &amp; Activities'!K17/1000*(1-'3. Pollutant Emissions - EF'!E50)</f>
        <v>1.8506775E-2</v>
      </c>
      <c r="N50" s="204">
        <f t="shared" si="6"/>
        <v>1.8506775E-2</v>
      </c>
      <c r="O50" s="201">
        <f>G50*'2. Emissions Units &amp; Activities'!M17/1000*(1-'3. Pollutant Emissions - EF'!E50)</f>
        <v>2.115015E-2</v>
      </c>
    </row>
    <row r="51" spans="1:15" x14ac:dyDescent="0.35">
      <c r="A51" s="79" t="s">
        <v>1466</v>
      </c>
      <c r="B51" s="100" t="s">
        <v>81</v>
      </c>
      <c r="C51" s="81" t="str">
        <f>IFERROR(IF(B51="No CAS","",INDEX('DEQ Pollutant List'!$C$7:$C$611,MATCH('3. Pollutant Emissions - EF'!B51,'DEQ Pollutant List'!$B$7:$B$611,0))),"")</f>
        <v>Arsenic and compounds</v>
      </c>
      <c r="D51" s="115"/>
      <c r="E51" s="101">
        <v>0</v>
      </c>
      <c r="F51" s="199">
        <f xml:space="preserve"> 0.0000316*0.50799</f>
        <v>1.6052484000000002E-5</v>
      </c>
      <c r="G51" s="200">
        <f>F51</f>
        <v>1.6052484000000002E-5</v>
      </c>
      <c r="H51" s="83" t="s">
        <v>1397</v>
      </c>
      <c r="I51" s="104" t="s">
        <v>1482</v>
      </c>
      <c r="J51" s="199">
        <f>F51*'2. Emissions Units &amp; Activities'!H16</f>
        <v>0.14061975984000002</v>
      </c>
      <c r="K51" s="204">
        <f t="shared" si="5"/>
        <v>0.14061975984000002</v>
      </c>
      <c r="L51" s="201">
        <f>F51*'2. Emissions Units &amp; Activities'!J16</f>
        <v>0.14061975984000002</v>
      </c>
      <c r="M51" s="199">
        <f>G51*'2. Emissions Units &amp; Activities'!K16</f>
        <v>3.8525961600000002E-4</v>
      </c>
      <c r="N51" s="204">
        <f t="shared" si="6"/>
        <v>3.8525961600000002E-4</v>
      </c>
      <c r="O51" s="201">
        <f>G51*'2. Emissions Units &amp; Activities'!M16</f>
        <v>3.8525961600000002E-4</v>
      </c>
    </row>
    <row r="52" spans="1:15" x14ac:dyDescent="0.35">
      <c r="A52" s="79" t="s">
        <v>1371</v>
      </c>
      <c r="B52" s="100" t="s">
        <v>81</v>
      </c>
      <c r="C52" s="81" t="str">
        <f>IFERROR(IF(B52="No CAS","",INDEX('DEQ Pollutant List'!$C$7:$C$611,MATCH('3. Pollutant Emissions - EF'!B52,'DEQ Pollutant List'!$B$7:$B$611,0))),"")</f>
        <v>Arsenic and compounds</v>
      </c>
      <c r="D52" s="115">
        <f>IFERROR(IF(OR($B52="",$B52="No CAS"),INDEX('DEQ Pollutant List'!$A$7:$A$611,MATCH($C52,'DEQ Pollutant List'!$C$7:$C$611,0)),INDEX('DEQ Pollutant List'!$A$7:$A$611,MATCH($B52,'DEQ Pollutant List'!$B$7:$B$611,0))),"")</f>
        <v>37</v>
      </c>
      <c r="E52" s="101">
        <v>0</v>
      </c>
      <c r="F52" s="199">
        <v>1.32E-3</v>
      </c>
      <c r="G52" s="200">
        <f t="shared" si="4"/>
        <v>1.32E-3</v>
      </c>
      <c r="H52" s="83" t="s">
        <v>1376</v>
      </c>
      <c r="I52" s="104" t="s">
        <v>1381</v>
      </c>
      <c r="J52" s="199">
        <f>F52*'2. Emissions Units &amp; Activities'!H17/1000*(1-E52)</f>
        <v>1.2097786799999999</v>
      </c>
      <c r="K52" s="204">
        <f t="shared" si="5"/>
        <v>1.2097786799999999</v>
      </c>
      <c r="L52" s="201">
        <f>F52*'2. Emissions Units &amp; Activities'!J17/1000*(1-E52)</f>
        <v>1.9409636399999999</v>
      </c>
      <c r="M52" s="199">
        <f>G52*'2. Emissions Units &amp; Activities'!K17/1000*(1-'3. Pollutant Emissions - EF'!E52)</f>
        <v>4.6531319999999999E-3</v>
      </c>
      <c r="N52" s="204">
        <f t="shared" si="6"/>
        <v>4.6531319999999999E-3</v>
      </c>
      <c r="O52" s="201">
        <f>G52*'2. Emissions Units &amp; Activities'!M17/1000*(1-'3. Pollutant Emissions - EF'!E52)</f>
        <v>5.3177519999999994E-3</v>
      </c>
    </row>
    <row r="53" spans="1:15" x14ac:dyDescent="0.35">
      <c r="A53" s="79" t="s">
        <v>1371</v>
      </c>
      <c r="B53" s="100" t="s">
        <v>96</v>
      </c>
      <c r="C53" s="81" t="s">
        <v>97</v>
      </c>
      <c r="D53" s="115"/>
      <c r="E53" s="101">
        <v>0</v>
      </c>
      <c r="F53" s="199">
        <v>2.5699999999999998E-3</v>
      </c>
      <c r="G53" s="200">
        <f t="shared" si="4"/>
        <v>2.5699999999999998E-3</v>
      </c>
      <c r="H53" s="83" t="s">
        <v>1376</v>
      </c>
      <c r="I53" s="104" t="s">
        <v>1381</v>
      </c>
      <c r="J53" s="199">
        <f>F53*'2. Emissions Units &amp; Activities'!H17/1000*(1-E53)</f>
        <v>2.3554024299999998</v>
      </c>
      <c r="K53" s="204">
        <f t="shared" si="5"/>
        <v>2.3554024299999998</v>
      </c>
      <c r="L53" s="201">
        <f>F53*'2. Emissions Units &amp; Activities'!J17/1000*(1-E53)</f>
        <v>3.7789973899999993</v>
      </c>
      <c r="M53" s="199">
        <f>G53*'2. Emissions Units &amp; Activities'!K17/1000*(1-'3. Pollutant Emissions - EF'!E53)</f>
        <v>9.0595069999999979E-3</v>
      </c>
      <c r="N53" s="204">
        <f t="shared" si="6"/>
        <v>9.0595069999999979E-3</v>
      </c>
      <c r="O53" s="201">
        <f>G53*'2. Emissions Units &amp; Activities'!M17/1000*(1-'3. Pollutant Emissions - EF'!E53)</f>
        <v>1.0353501999999999E-2</v>
      </c>
    </row>
    <row r="54" spans="1:15" x14ac:dyDescent="0.35">
      <c r="A54" s="79" t="s">
        <v>1466</v>
      </c>
      <c r="B54" s="100" t="s">
        <v>96</v>
      </c>
      <c r="C54" s="81" t="s">
        <v>97</v>
      </c>
      <c r="D54" s="115"/>
      <c r="E54" s="101">
        <v>0</v>
      </c>
      <c r="F54" s="199">
        <f>0.0000271*0.50799</f>
        <v>1.3766529000000002E-5</v>
      </c>
      <c r="G54" s="200">
        <f t="shared" si="4"/>
        <v>1.3766529000000002E-5</v>
      </c>
      <c r="H54" s="83" t="s">
        <v>1397</v>
      </c>
      <c r="I54" s="104" t="s">
        <v>1483</v>
      </c>
      <c r="J54" s="199">
        <f>F54*'2. Emissions Units &amp; Activities'!H16</f>
        <v>0.12059479404000002</v>
      </c>
      <c r="K54" s="204">
        <f t="shared" si="5"/>
        <v>0.12059479404000002</v>
      </c>
      <c r="L54" s="201">
        <f>F54*'2. Emissions Units &amp; Activities'!J16</f>
        <v>0.12059479404000002</v>
      </c>
      <c r="M54" s="199">
        <f>G54*'2. Emissions Units &amp; Activities'!K16</f>
        <v>3.3039669600000004E-4</v>
      </c>
      <c r="N54" s="204">
        <f t="shared" si="6"/>
        <v>3.3039669600000004E-4</v>
      </c>
      <c r="O54" s="201">
        <f>G54*'2. Emissions Units &amp; Activities'!M16</f>
        <v>3.3039669600000004E-4</v>
      </c>
    </row>
    <row r="55" spans="1:15" x14ac:dyDescent="0.35">
      <c r="A55" s="79" t="s">
        <v>1371</v>
      </c>
      <c r="B55" s="100" t="s">
        <v>98</v>
      </c>
      <c r="C55" s="81" t="str">
        <f>IFERROR(IF(B55="No CAS","",INDEX('DEQ Pollutant List'!$C$7:$C$611,MATCH('3. Pollutant Emissions - EF'!B55,'DEQ Pollutant List'!$B$7:$B$611,0))),"")</f>
        <v>Benzene</v>
      </c>
      <c r="D55" s="115">
        <f>IFERROR(IF(OR($B55="",$B55="No CAS"),INDEX('DEQ Pollutant List'!$A$7:$A$611,MATCH($C55,'DEQ Pollutant List'!$C$7:$C$611,0)),INDEX('DEQ Pollutant List'!$A$7:$A$611,MATCH($B55,'DEQ Pollutant List'!$B$7:$B$611,0))),"")</f>
        <v>46</v>
      </c>
      <c r="E55" s="101">
        <v>0</v>
      </c>
      <c r="F55" s="199">
        <v>2.14E-4</v>
      </c>
      <c r="G55" s="200">
        <f t="shared" si="4"/>
        <v>2.14E-4</v>
      </c>
      <c r="H55" s="83" t="s">
        <v>1376</v>
      </c>
      <c r="I55" s="104" t="s">
        <v>1377</v>
      </c>
      <c r="J55" s="199">
        <f>F55*'2. Emissions Units &amp; Activities'!H17/1000*(1-E55)</f>
        <v>0.196130786</v>
      </c>
      <c r="K55" s="204">
        <f t="shared" si="5"/>
        <v>0.196130786</v>
      </c>
      <c r="L55" s="201">
        <f>F55*'2. Emissions Units &amp; Activities'!J17/1000*(1-E55)</f>
        <v>0.314671378</v>
      </c>
      <c r="M55" s="199">
        <f>G55*'2. Emissions Units &amp; Activities'!K17/1000*(1-'3. Pollutant Emissions - EF'!E55)</f>
        <v>7.5437140000000002E-4</v>
      </c>
      <c r="N55" s="204">
        <f t="shared" si="6"/>
        <v>7.5437140000000002E-4</v>
      </c>
      <c r="O55" s="201">
        <f>G55*'2. Emissions Units &amp; Activities'!M17/1000*(1-'3. Pollutant Emissions - EF'!E55)</f>
        <v>8.6212039999999999E-4</v>
      </c>
    </row>
    <row r="56" spans="1:15" x14ac:dyDescent="0.35">
      <c r="A56" s="79" t="s">
        <v>1371</v>
      </c>
      <c r="B56" s="100" t="s">
        <v>821</v>
      </c>
      <c r="C56" s="81" t="s">
        <v>822</v>
      </c>
      <c r="D56" s="115"/>
      <c r="E56" s="101">
        <v>0</v>
      </c>
      <c r="F56" s="199">
        <v>4.0099999999999997E-6</v>
      </c>
      <c r="G56" s="200">
        <f t="shared" si="4"/>
        <v>4.0099999999999997E-6</v>
      </c>
      <c r="H56" s="83" t="s">
        <v>1376</v>
      </c>
      <c r="I56" s="104" t="s">
        <v>1377</v>
      </c>
      <c r="J56" s="199">
        <f>F56*'2. Emissions Units &amp; Activities'!H17/1000*(1-E56)</f>
        <v>3.6751609899999997E-3</v>
      </c>
      <c r="K56" s="204">
        <f t="shared" si="5"/>
        <v>3.6751609899999997E-3</v>
      </c>
      <c r="L56" s="201">
        <f>F56*'2. Emissions Units &amp; Activities'!J17/1000*(1-E56)</f>
        <v>5.89641227E-3</v>
      </c>
      <c r="M56" s="199">
        <f>G56*'2. Emissions Units &amp; Activities'!K17/1000*(1-'3. Pollutant Emissions - EF'!E56)</f>
        <v>1.4135650999999998E-5</v>
      </c>
      <c r="N56" s="204">
        <f t="shared" si="6"/>
        <v>1.4135650999999998E-5</v>
      </c>
      <c r="O56" s="201">
        <f>G56*'2. Emissions Units &amp; Activities'!M17/1000*(1-'3. Pollutant Emissions - EF'!E56)</f>
        <v>1.6154685999999998E-5</v>
      </c>
    </row>
    <row r="57" spans="1:15" x14ac:dyDescent="0.35">
      <c r="A57" s="79" t="s">
        <v>1371</v>
      </c>
      <c r="B57" s="100" t="s">
        <v>823</v>
      </c>
      <c r="C57" s="81" t="s">
        <v>824</v>
      </c>
      <c r="D57" s="115"/>
      <c r="E57" s="101">
        <v>0</v>
      </c>
      <c r="F57" s="199">
        <v>4.0000000000000001E-3</v>
      </c>
      <c r="G57" s="200">
        <f t="shared" si="4"/>
        <v>4.0000000000000001E-3</v>
      </c>
      <c r="H57" s="83" t="s">
        <v>1376</v>
      </c>
      <c r="I57" s="104" t="s">
        <v>1382</v>
      </c>
      <c r="J57" s="199">
        <f>F57*'2. Emissions Units &amp; Activities'!H17/1000*(1-E57)</f>
        <v>3.6659960000000003</v>
      </c>
      <c r="K57" s="204">
        <f t="shared" si="5"/>
        <v>3.6659960000000003</v>
      </c>
      <c r="L57" s="201">
        <f>F57*'2. Emissions Units &amp; Activities'!J17/1000*(1-E57)</f>
        <v>5.8817080000000006</v>
      </c>
      <c r="M57" s="199">
        <f>G57*'2. Emissions Units &amp; Activities'!K17/1000*(1-'3. Pollutant Emissions - EF'!E57)</f>
        <v>1.4100400000000001E-2</v>
      </c>
      <c r="N57" s="204">
        <f t="shared" si="6"/>
        <v>1.4100400000000001E-2</v>
      </c>
      <c r="O57" s="201">
        <f>G57*'2. Emissions Units &amp; Activities'!M17/1000*(1-'3. Pollutant Emissions - EF'!E57)</f>
        <v>1.6114400000000001E-2</v>
      </c>
    </row>
    <row r="58" spans="1:15" x14ac:dyDescent="0.35">
      <c r="A58" s="79" t="s">
        <v>1371</v>
      </c>
      <c r="B58" s="100"/>
      <c r="C58" s="81" t="s">
        <v>1378</v>
      </c>
      <c r="D58" s="115"/>
      <c r="E58" s="101">
        <v>0</v>
      </c>
      <c r="F58" s="199">
        <v>1.48E-6</v>
      </c>
      <c r="G58" s="200">
        <f t="shared" si="4"/>
        <v>1.48E-6</v>
      </c>
      <c r="H58" s="83" t="s">
        <v>1376</v>
      </c>
      <c r="I58" s="104" t="s">
        <v>1380</v>
      </c>
      <c r="J58" s="199">
        <f>F58*'2. Emissions Units &amp; Activities'!H17/1000*(1-E58)</f>
        <v>1.3564185200000002E-3</v>
      </c>
      <c r="K58" s="204">
        <f t="shared" si="5"/>
        <v>1.3564185200000002E-3</v>
      </c>
      <c r="L58" s="201">
        <f>F58*'2. Emissions Units &amp; Activities'!J17/1000*(1-E58)</f>
        <v>2.1762319599999999E-3</v>
      </c>
      <c r="M58" s="199">
        <f>G58*'2. Emissions Units &amp; Activities'!K17/1000*(1-'3. Pollutant Emissions - EF'!E58)</f>
        <v>5.2171479999999992E-6</v>
      </c>
      <c r="N58" s="204">
        <f t="shared" si="6"/>
        <v>5.2171479999999992E-6</v>
      </c>
      <c r="O58" s="201">
        <f>G58*'2. Emissions Units &amp; Activities'!M17/1000*(1-'3. Pollutant Emissions - EF'!E58)</f>
        <v>5.9623280000000004E-6</v>
      </c>
    </row>
    <row r="59" spans="1:15" x14ac:dyDescent="0.35">
      <c r="A59" s="79" t="s">
        <v>1371</v>
      </c>
      <c r="B59" s="100" t="s">
        <v>113</v>
      </c>
      <c r="C59" s="81" t="s">
        <v>114</v>
      </c>
      <c r="D59" s="115"/>
      <c r="E59" s="101">
        <v>0</v>
      </c>
      <c r="F59" s="199">
        <v>2.7800000000000001E-5</v>
      </c>
      <c r="G59" s="200">
        <f t="shared" si="4"/>
        <v>2.7800000000000001E-5</v>
      </c>
      <c r="H59" s="83" t="s">
        <v>1376</v>
      </c>
      <c r="I59" s="104" t="s">
        <v>1377</v>
      </c>
      <c r="J59" s="199">
        <f>F59*'2. Emissions Units &amp; Activities'!H17/1000*(1-E59)</f>
        <v>2.5478672200000003E-2</v>
      </c>
      <c r="K59" s="204">
        <f t="shared" si="5"/>
        <v>2.5478672200000003E-2</v>
      </c>
      <c r="L59" s="201">
        <f>F59*'2. Emissions Units &amp; Activities'!J17/1000*(1-E59)</f>
        <v>4.0877870600000005E-2</v>
      </c>
      <c r="M59" s="199">
        <f>G59*'2. Emissions Units &amp; Activities'!K17/1000*(1-'3. Pollutant Emissions - EF'!E59)</f>
        <v>9.7997780000000004E-5</v>
      </c>
      <c r="N59" s="204">
        <f t="shared" si="6"/>
        <v>9.7997780000000004E-5</v>
      </c>
      <c r="O59" s="201">
        <f>G59*'2. Emissions Units &amp; Activities'!M17/1000*(1-'3. Pollutant Emissions - EF'!E59)</f>
        <v>1.1199507999999999E-4</v>
      </c>
    </row>
    <row r="60" spans="1:15" x14ac:dyDescent="0.35">
      <c r="A60" s="79" t="s">
        <v>1371</v>
      </c>
      <c r="B60" s="100" t="s">
        <v>122</v>
      </c>
      <c r="C60" s="81" t="s">
        <v>1320</v>
      </c>
      <c r="D60" s="115"/>
      <c r="E60" s="101">
        <v>0</v>
      </c>
      <c r="F60" s="199">
        <v>2.2000000000000001E-3</v>
      </c>
      <c r="G60" s="200">
        <f t="shared" si="4"/>
        <v>2.2000000000000001E-3</v>
      </c>
      <c r="H60" s="83" t="s">
        <v>1376</v>
      </c>
      <c r="I60" s="104" t="s">
        <v>1382</v>
      </c>
      <c r="J60" s="199">
        <f>F60*'2. Emissions Units &amp; Activities'!H17/1000*(1-E60)</f>
        <v>2.0162978000000003</v>
      </c>
      <c r="K60" s="204">
        <f t="shared" si="5"/>
        <v>2.0162978000000003</v>
      </c>
      <c r="L60" s="201">
        <f>F60*'2. Emissions Units &amp; Activities'!J17/1000*(1-E60)</f>
        <v>3.2349394</v>
      </c>
      <c r="M60" s="199">
        <f>G60*'2. Emissions Units &amp; Activities'!K17/1000*(1-'3. Pollutant Emissions - EF'!E60)</f>
        <v>7.7552200000000002E-3</v>
      </c>
      <c r="N60" s="204">
        <f t="shared" si="6"/>
        <v>7.7552200000000002E-3</v>
      </c>
      <c r="O60" s="201">
        <f>G60*'2. Emissions Units &amp; Activities'!M17/1000*(1-'3. Pollutant Emissions - EF'!E60)</f>
        <v>8.8629200000000016E-3</v>
      </c>
    </row>
    <row r="61" spans="1:15" x14ac:dyDescent="0.35">
      <c r="A61" s="79" t="s">
        <v>1371</v>
      </c>
      <c r="B61" s="100" t="s">
        <v>831</v>
      </c>
      <c r="C61" s="81" t="s">
        <v>832</v>
      </c>
      <c r="D61" s="115"/>
      <c r="E61" s="101">
        <v>0</v>
      </c>
      <c r="F61" s="199">
        <v>2.26E-6</v>
      </c>
      <c r="G61" s="200">
        <f t="shared" si="4"/>
        <v>2.26E-6</v>
      </c>
      <c r="H61" s="83" t="s">
        <v>1376</v>
      </c>
      <c r="I61" s="104" t="s">
        <v>1377</v>
      </c>
      <c r="J61" s="199">
        <f>F61*'2. Emissions Units &amp; Activities'!H17/1000*(1-E61)</f>
        <v>2.0712877399999999E-3</v>
      </c>
      <c r="K61" s="204">
        <f t="shared" si="5"/>
        <v>2.0712877399999999E-3</v>
      </c>
      <c r="L61" s="201">
        <f>F61*'2. Emissions Units &amp; Activities'!J17/1000*(1-E61)</f>
        <v>3.3231650199999998E-3</v>
      </c>
      <c r="M61" s="199">
        <f>G61*'2. Emissions Units &amp; Activities'!K17/1000*(1-'3. Pollutant Emissions - EF'!E61)</f>
        <v>7.9667260000000006E-6</v>
      </c>
      <c r="N61" s="204">
        <f t="shared" si="6"/>
        <v>7.9667260000000006E-6</v>
      </c>
      <c r="O61" s="201">
        <f>G61*'2. Emissions Units &amp; Activities'!M17/1000*(1-'3. Pollutant Emissions - EF'!E61)</f>
        <v>9.1046359999999993E-6</v>
      </c>
    </row>
    <row r="62" spans="1:15" x14ac:dyDescent="0.35">
      <c r="A62" s="79" t="s">
        <v>1371</v>
      </c>
      <c r="B62" s="100" t="s">
        <v>148</v>
      </c>
      <c r="C62" s="81" t="s">
        <v>1379</v>
      </c>
      <c r="D62" s="115"/>
      <c r="E62" s="101">
        <v>0</v>
      </c>
      <c r="F62" s="199">
        <v>5.1000000000000004E-4</v>
      </c>
      <c r="G62" s="200">
        <f t="shared" si="4"/>
        <v>5.1000000000000004E-4</v>
      </c>
      <c r="H62" s="83" t="s">
        <v>1376</v>
      </c>
      <c r="I62" s="104" t="s">
        <v>1383</v>
      </c>
      <c r="J62" s="199">
        <f>F62*'2. Emissions Units &amp; Activities'!H17/1000*(1-E62)</f>
        <v>0.46741449000000007</v>
      </c>
      <c r="K62" s="204">
        <f t="shared" si="5"/>
        <v>0.46741449000000007</v>
      </c>
      <c r="L62" s="201">
        <f>F62*'2. Emissions Units &amp; Activities'!J17/1000*(1-E62)</f>
        <v>0.74991777000000004</v>
      </c>
      <c r="M62" s="199">
        <f>G62*'2. Emissions Units &amp; Activities'!K17/1000*(1-'3. Pollutant Emissions - EF'!E62)</f>
        <v>1.7978009999999999E-3</v>
      </c>
      <c r="N62" s="204">
        <f t="shared" si="6"/>
        <v>1.7978009999999999E-3</v>
      </c>
      <c r="O62" s="201">
        <f>G62*'2. Emissions Units &amp; Activities'!M17/1000*(1-'3. Pollutant Emissions - EF'!E62)</f>
        <v>2.0545860000000002E-3</v>
      </c>
    </row>
    <row r="63" spans="1:15" x14ac:dyDescent="0.35">
      <c r="A63" s="79" t="s">
        <v>1371</v>
      </c>
      <c r="B63" s="100" t="s">
        <v>154</v>
      </c>
      <c r="C63" s="81" t="str">
        <f>IFERROR(IF(B63="No CAS","",INDEX('DEQ Pollutant List'!$C$7:$C$611,MATCH('3. Pollutant Emissions - EF'!B63,'DEQ Pollutant List'!$B$7:$B$611,0))),"")</f>
        <v>Cadmium and compounds</v>
      </c>
      <c r="D63" s="115">
        <f>IFERROR(IF(OR($B63="",$B63="No CAS"),INDEX('DEQ Pollutant List'!$A$7:$A$611,MATCH($C63,'DEQ Pollutant List'!$C$7:$C$611,0)),INDEX('DEQ Pollutant List'!$A$7:$A$611,MATCH($B63,'DEQ Pollutant List'!$B$7:$B$611,0))),"")</f>
        <v>83</v>
      </c>
      <c r="E63" s="101">
        <v>0</v>
      </c>
      <c r="F63" s="199">
        <v>3.9800000000000002E-4</v>
      </c>
      <c r="G63" s="200">
        <f t="shared" si="4"/>
        <v>3.9800000000000002E-4</v>
      </c>
      <c r="H63" s="83" t="s">
        <v>1376</v>
      </c>
      <c r="I63" s="104" t="s">
        <v>1381</v>
      </c>
      <c r="J63" s="199">
        <f>F63*'2. Emissions Units &amp; Activities'!H17/1000*(1-E63)</f>
        <v>0.36476660200000005</v>
      </c>
      <c r="K63" s="204">
        <f t="shared" si="5"/>
        <v>0.36476660200000005</v>
      </c>
      <c r="L63" s="201">
        <f>F63*'2. Emissions Units &amp; Activities'!J17/1000*(1-E63)</f>
        <v>0.585229946</v>
      </c>
      <c r="M63" s="199">
        <f>G63*'2. Emissions Units &amp; Activities'!K17/1000*(1-'3. Pollutant Emissions - EF'!E63)</f>
        <v>1.4029898000000002E-3</v>
      </c>
      <c r="N63" s="204">
        <f t="shared" si="6"/>
        <v>1.4029898000000002E-3</v>
      </c>
      <c r="O63" s="201">
        <f>G63*'2. Emissions Units &amp; Activities'!M17/1000*(1-'3. Pollutant Emissions - EF'!E63)</f>
        <v>1.6033828E-3</v>
      </c>
    </row>
    <row r="64" spans="1:15" x14ac:dyDescent="0.35">
      <c r="A64" s="79" t="s">
        <v>1466</v>
      </c>
      <c r="B64" s="100" t="s">
        <v>154</v>
      </c>
      <c r="C64" s="81" t="str">
        <f>IFERROR(IF(B64="No CAS","",INDEX('DEQ Pollutant List'!$C$7:$C$611,MATCH('3. Pollutant Emissions - EF'!B64,'DEQ Pollutant List'!$B$7:$B$611,0))),"")</f>
        <v>Cadmium and compounds</v>
      </c>
      <c r="D64" s="115"/>
      <c r="E64" s="101">
        <v>0</v>
      </c>
      <c r="F64" s="199">
        <f>0.00000007*0.50799</f>
        <v>3.5559300000000004E-8</v>
      </c>
      <c r="G64" s="200">
        <f t="shared" si="4"/>
        <v>3.5559300000000004E-8</v>
      </c>
      <c r="H64" s="83" t="s">
        <v>1397</v>
      </c>
      <c r="I64" s="104" t="s">
        <v>1484</v>
      </c>
      <c r="J64" s="199">
        <f>F64*'2. Emissions Units &amp; Activities'!H16</f>
        <v>3.1149946800000005E-4</v>
      </c>
      <c r="K64" s="204">
        <f t="shared" si="5"/>
        <v>3.1149946800000005E-4</v>
      </c>
      <c r="L64" s="201">
        <f>F64*'2. Emissions Units &amp; Activities'!J16</f>
        <v>3.1149946800000005E-4</v>
      </c>
      <c r="M64" s="199">
        <f>G64*'2. Emissions Units &amp; Activities'!K16</f>
        <v>8.5342320000000004E-7</v>
      </c>
      <c r="N64" s="204">
        <f t="shared" si="6"/>
        <v>8.5342320000000004E-7</v>
      </c>
      <c r="O64" s="201">
        <f>G64*'2. Emissions Units &amp; Activities'!M16</f>
        <v>8.5342320000000004E-7</v>
      </c>
    </row>
    <row r="65" spans="1:15" x14ac:dyDescent="0.35">
      <c r="A65" s="79" t="s">
        <v>1371</v>
      </c>
      <c r="B65" s="100" t="s">
        <v>230</v>
      </c>
      <c r="C65" s="81" t="str">
        <f>IFERROR(IF(B65="No CAS","",INDEX('DEQ Pollutant List'!$C$7:$C$611,MATCH('3. Pollutant Emissions - EF'!B65,'DEQ Pollutant List'!$B$7:$B$611,0))),"")</f>
        <v>Chromium VI, chromate and dichromate particulate</v>
      </c>
      <c r="D65" s="115">
        <f>IFERROR(IF(OR($B65="",$B65="No CAS"),INDEX('DEQ Pollutant List'!$A$7:$A$611,MATCH($C65,'DEQ Pollutant List'!$C$7:$C$611,0)),INDEX('DEQ Pollutant List'!$A$7:$A$611,MATCH($B65,'DEQ Pollutant List'!$B$7:$B$611,0))),"")</f>
        <v>136</v>
      </c>
      <c r="E65" s="101">
        <v>0</v>
      </c>
      <c r="F65" s="199">
        <v>2.4800000000000001E-4</v>
      </c>
      <c r="G65" s="200">
        <f t="shared" si="4"/>
        <v>2.4800000000000001E-4</v>
      </c>
      <c r="H65" s="83" t="s">
        <v>1376</v>
      </c>
      <c r="I65" s="104" t="s">
        <v>1381</v>
      </c>
      <c r="J65" s="199">
        <f>F65*'2. Emissions Units &amp; Activities'!H17/1000*(1-E65)</f>
        <v>0.22729175200000001</v>
      </c>
      <c r="K65" s="204">
        <f t="shared" si="5"/>
        <v>0.22729175200000001</v>
      </c>
      <c r="L65" s="201">
        <f>F65*'2. Emissions Units &amp; Activities'!J17/1000*(1-E65)</f>
        <v>0.36466589600000004</v>
      </c>
      <c r="M65" s="199">
        <f>G65*'2. Emissions Units &amp; Activities'!K17/1000*(1-'3. Pollutant Emissions - EF'!E65)</f>
        <v>8.742248E-4</v>
      </c>
      <c r="N65" s="204">
        <f t="shared" si="6"/>
        <v>8.742248E-4</v>
      </c>
      <c r="O65" s="201">
        <f>G65*'2. Emissions Units &amp; Activities'!M17/1000*(1-'3. Pollutant Emissions - EF'!E65)</f>
        <v>9.9909280000000009E-4</v>
      </c>
    </row>
    <row r="66" spans="1:15" x14ac:dyDescent="0.35">
      <c r="A66" s="79" t="s">
        <v>1371</v>
      </c>
      <c r="B66" s="100" t="s">
        <v>234</v>
      </c>
      <c r="C66" s="81" t="str">
        <f>IFERROR(IF(B66="No CAS","",INDEX('DEQ Pollutant List'!$C$7:$C$611,MATCH('3. Pollutant Emissions - EF'!B66,'DEQ Pollutant List'!$B$7:$B$611,0))),"")</f>
        <v>Cobalt and compounds</v>
      </c>
      <c r="D66" s="115">
        <f>IFERROR(IF(OR($B66="",$B66="No CAS"),INDEX('DEQ Pollutant List'!$A$7:$A$611,MATCH($C66,'DEQ Pollutant List'!$C$7:$C$611,0)),INDEX('DEQ Pollutant List'!$A$7:$A$611,MATCH($B66,'DEQ Pollutant List'!$B$7:$B$611,0))),"")</f>
        <v>146</v>
      </c>
      <c r="E66" s="101">
        <v>0</v>
      </c>
      <c r="F66" s="199">
        <v>6.0200000000000002E-3</v>
      </c>
      <c r="G66" s="200">
        <f t="shared" si="4"/>
        <v>6.0200000000000002E-3</v>
      </c>
      <c r="H66" s="83" t="s">
        <v>1376</v>
      </c>
      <c r="I66" s="104" t="s">
        <v>1381</v>
      </c>
      <c r="J66" s="199">
        <f>F66*'2. Emissions Units &amp; Activities'!H17/1000*(1-E66)</f>
        <v>5.5173239800000005</v>
      </c>
      <c r="K66" s="204">
        <f t="shared" si="5"/>
        <v>5.5173239800000005</v>
      </c>
      <c r="L66" s="201">
        <f>F66*'2. Emissions Units &amp; Activities'!J17/1000*(1-E66)</f>
        <v>8.8519705399999999</v>
      </c>
      <c r="M66" s="199">
        <f>G66*'2. Emissions Units &amp; Activities'!K17/1000*(1-'3. Pollutant Emissions - EF'!E66)</f>
        <v>2.1221101999999999E-2</v>
      </c>
      <c r="N66" s="204">
        <f t="shared" si="6"/>
        <v>2.1221101999999999E-2</v>
      </c>
      <c r="O66" s="201">
        <f>G66*'2. Emissions Units &amp; Activities'!M17/1000*(1-'3. Pollutant Emissions - EF'!E66)</f>
        <v>2.4252172000000002E-2</v>
      </c>
    </row>
    <row r="67" spans="1:15" x14ac:dyDescent="0.35">
      <c r="A67" s="79" t="s">
        <v>1371</v>
      </c>
      <c r="B67" s="100" t="s">
        <v>839</v>
      </c>
      <c r="C67" s="81" t="s">
        <v>840</v>
      </c>
      <c r="D67" s="115"/>
      <c r="E67" s="101">
        <v>0</v>
      </c>
      <c r="F67" s="199">
        <v>2.3800000000000001E-6</v>
      </c>
      <c r="G67" s="200">
        <f t="shared" si="4"/>
        <v>2.3800000000000001E-6</v>
      </c>
      <c r="H67" s="83" t="s">
        <v>1376</v>
      </c>
      <c r="I67" s="104" t="s">
        <v>1377</v>
      </c>
      <c r="J67" s="199">
        <f>F67*'2. Emissions Units &amp; Activities'!H17/1000*(1-E67)</f>
        <v>2.1812676200000003E-3</v>
      </c>
      <c r="K67" s="204">
        <f t="shared" si="5"/>
        <v>2.1812676200000003E-3</v>
      </c>
      <c r="L67" s="201">
        <f>F67*'2. Emissions Units &amp; Activities'!J17/1000*(1-E67)</f>
        <v>3.4996162600000004E-3</v>
      </c>
      <c r="M67" s="199">
        <f>G67*'2. Emissions Units &amp; Activities'!K17/1000*(1-'3. Pollutant Emissions - EF'!E67)</f>
        <v>8.389738000000001E-6</v>
      </c>
      <c r="N67" s="204">
        <f t="shared" si="6"/>
        <v>8.389738000000001E-6</v>
      </c>
      <c r="O67" s="201">
        <f>G67*'2. Emissions Units &amp; Activities'!M17/1000*(1-'3. Pollutant Emissions - EF'!E67)</f>
        <v>9.5880679999999997E-6</v>
      </c>
    </row>
    <row r="68" spans="1:15" x14ac:dyDescent="0.35">
      <c r="A68" s="79" t="s">
        <v>1371</v>
      </c>
      <c r="B68" s="100" t="s">
        <v>236</v>
      </c>
      <c r="C68" s="81" t="s">
        <v>237</v>
      </c>
      <c r="D68" s="115"/>
      <c r="E68" s="101">
        <v>0</v>
      </c>
      <c r="F68" s="199">
        <v>1.7600000000000001E-3</v>
      </c>
      <c r="G68" s="200">
        <f t="shared" si="4"/>
        <v>1.7600000000000001E-3</v>
      </c>
      <c r="H68" s="83" t="s">
        <v>1376</v>
      </c>
      <c r="I68" s="104" t="s">
        <v>1381</v>
      </c>
      <c r="J68" s="199">
        <f>F68*'2. Emissions Units &amp; Activities'!H17/1000*(1-E68)</f>
        <v>1.6130382400000001</v>
      </c>
      <c r="K68" s="204">
        <f t="shared" si="5"/>
        <v>1.6130382400000001</v>
      </c>
      <c r="L68" s="201">
        <f>F68*'2. Emissions Units &amp; Activities'!J17/1000*(1-E68)</f>
        <v>2.5879515200000003</v>
      </c>
      <c r="M68" s="199">
        <f>G68*'2. Emissions Units &amp; Activities'!K17/1000*(1-'3. Pollutant Emissions - EF'!E68)</f>
        <v>6.2041760000000005E-3</v>
      </c>
      <c r="N68" s="204">
        <f t="shared" si="6"/>
        <v>6.2041760000000005E-3</v>
      </c>
      <c r="O68" s="201">
        <f>G68*'2. Emissions Units &amp; Activities'!M17/1000*(1-'3. Pollutant Emissions - EF'!E68)</f>
        <v>7.090336E-3</v>
      </c>
    </row>
    <row r="69" spans="1:15" x14ac:dyDescent="0.35">
      <c r="A69" s="79" t="s">
        <v>1371</v>
      </c>
      <c r="B69" s="100" t="s">
        <v>849</v>
      </c>
      <c r="C69" s="81" t="s">
        <v>850</v>
      </c>
      <c r="D69" s="115"/>
      <c r="E69" s="101">
        <v>0</v>
      </c>
      <c r="F69" s="199">
        <v>1.6700000000000001E-6</v>
      </c>
      <c r="G69" s="200">
        <f t="shared" si="4"/>
        <v>1.6700000000000001E-6</v>
      </c>
      <c r="H69" s="83" t="s">
        <v>1376</v>
      </c>
      <c r="I69" s="104" t="s">
        <v>1377</v>
      </c>
      <c r="J69" s="199">
        <f>F69*'2. Emissions Units &amp; Activities'!H17/1000*(1-E69)</f>
        <v>1.53055333E-3</v>
      </c>
      <c r="K69" s="204">
        <f t="shared" si="5"/>
        <v>1.53055333E-3</v>
      </c>
      <c r="L69" s="201">
        <f>F69*'2. Emissions Units &amp; Activities'!J17/1000*(1-E69)</f>
        <v>2.4556130899999998E-3</v>
      </c>
      <c r="M69" s="199">
        <f>G69*'2. Emissions Units &amp; Activities'!K17/1000*(1-'3. Pollutant Emissions - EF'!E69)</f>
        <v>5.8869170000000002E-6</v>
      </c>
      <c r="N69" s="204">
        <f t="shared" si="6"/>
        <v>5.8869170000000002E-6</v>
      </c>
      <c r="O69" s="201">
        <f>G69*'2. Emissions Units &amp; Activities'!M17/1000*(1-'3. Pollutant Emissions - EF'!E69)</f>
        <v>6.7277619999999996E-6</v>
      </c>
    </row>
    <row r="70" spans="1:15" x14ac:dyDescent="0.35">
      <c r="A70" s="79" t="s">
        <v>1371</v>
      </c>
      <c r="B70" s="100" t="s">
        <v>308</v>
      </c>
      <c r="C70" s="81" t="s">
        <v>1324</v>
      </c>
      <c r="D70" s="115"/>
      <c r="E70" s="101">
        <v>0</v>
      </c>
      <c r="F70" s="199">
        <v>7.9999999999999996E-7</v>
      </c>
      <c r="G70" s="200">
        <f t="shared" si="4"/>
        <v>7.9999999999999996E-7</v>
      </c>
      <c r="H70" s="83" t="s">
        <v>1376</v>
      </c>
      <c r="I70" s="104" t="s">
        <v>1384</v>
      </c>
      <c r="J70" s="199">
        <f>F70*'2. Emissions Units &amp; Activities'!H17/1000*(1-E70)</f>
        <v>7.3319919999999998E-4</v>
      </c>
      <c r="K70" s="204">
        <f t="shared" si="5"/>
        <v>7.3319919999999998E-4</v>
      </c>
      <c r="L70" s="201">
        <f>F70*'2. Emissions Units &amp; Activities'!J17/1000*(1-E70)</f>
        <v>1.1763416E-3</v>
      </c>
      <c r="M70" s="199">
        <f>G70*'2. Emissions Units &amp; Activities'!K17/1000*(1-'3. Pollutant Emissions - EF'!E70)</f>
        <v>2.8200799999999998E-6</v>
      </c>
      <c r="N70" s="204">
        <f t="shared" si="6"/>
        <v>2.8200799999999998E-6</v>
      </c>
      <c r="O70" s="201">
        <f>G70*'2. Emissions Units &amp; Activities'!M17/1000*(1-'3. Pollutant Emissions - EF'!E70)</f>
        <v>3.2228799999999995E-6</v>
      </c>
    </row>
    <row r="71" spans="1:15" x14ac:dyDescent="0.35">
      <c r="A71" s="79" t="s">
        <v>1371</v>
      </c>
      <c r="B71" s="100" t="s">
        <v>410</v>
      </c>
      <c r="C71" s="81" t="str">
        <f>IFERROR(IF(B71="No CAS","",INDEX('DEQ Pollutant List'!$C$7:$C$611,MATCH('3. Pollutant Emissions - EF'!B71,'DEQ Pollutant List'!$B$7:$B$611,0))),"")</f>
        <v>Ethyl benzene</v>
      </c>
      <c r="D71" s="115">
        <f>IFERROR(IF(OR($B71="",$B71="No CAS"),INDEX('DEQ Pollutant List'!$A$7:$A$611,MATCH($C71,'DEQ Pollutant List'!$C$7:$C$611,0)),INDEX('DEQ Pollutant List'!$A$7:$A$611,MATCH($B71,'DEQ Pollutant List'!$B$7:$B$611,0))),"")</f>
        <v>229</v>
      </c>
      <c r="E71" s="101">
        <v>0</v>
      </c>
      <c r="F71" s="199">
        <v>6.3600000000000001E-5</v>
      </c>
      <c r="G71" s="200">
        <f t="shared" si="4"/>
        <v>6.3600000000000001E-5</v>
      </c>
      <c r="H71" s="83" t="s">
        <v>1376</v>
      </c>
      <c r="I71" s="104" t="s">
        <v>1377</v>
      </c>
      <c r="J71" s="199">
        <f>F71*'2. Emissions Units &amp; Activities'!H17/1000*(1-E71)</f>
        <v>5.8289336400000002E-2</v>
      </c>
      <c r="K71" s="204">
        <f t="shared" si="5"/>
        <v>5.8289336400000002E-2</v>
      </c>
      <c r="L71" s="201">
        <f>F71*'2. Emissions Units &amp; Activities'!J17/1000*(1-E71)</f>
        <v>9.3519157199999994E-2</v>
      </c>
      <c r="M71" s="199">
        <f>G71*'2. Emissions Units &amp; Activities'!K17/1000*(1-'3. Pollutant Emissions - EF'!E71)</f>
        <v>2.2419636000000002E-4</v>
      </c>
      <c r="N71" s="204">
        <f t="shared" si="6"/>
        <v>2.2419636000000002E-4</v>
      </c>
      <c r="O71" s="201">
        <f>G71*'2. Emissions Units &amp; Activities'!M17/1000*(1-'3. Pollutant Emissions - EF'!E71)</f>
        <v>2.5621896000000002E-4</v>
      </c>
    </row>
    <row r="72" spans="1:15" x14ac:dyDescent="0.35">
      <c r="A72" s="79" t="s">
        <v>1371</v>
      </c>
      <c r="B72" s="100" t="s">
        <v>861</v>
      </c>
      <c r="C72" s="81" t="s">
        <v>862</v>
      </c>
      <c r="D72" s="115"/>
      <c r="E72" s="101">
        <v>0</v>
      </c>
      <c r="F72" s="199">
        <v>4.8400000000000002E-6</v>
      </c>
      <c r="G72" s="200">
        <f t="shared" si="4"/>
        <v>4.8400000000000002E-6</v>
      </c>
      <c r="H72" s="83" t="s">
        <v>1376</v>
      </c>
      <c r="I72" s="104" t="s">
        <v>1377</v>
      </c>
      <c r="J72" s="199">
        <f>F72*'2. Emissions Units &amp; Activities'!H17/1000*(1-E72)</f>
        <v>4.4358551600000001E-3</v>
      </c>
      <c r="K72" s="204">
        <f t="shared" si="5"/>
        <v>4.4358551600000001E-3</v>
      </c>
      <c r="L72" s="201">
        <f>F72*'2. Emissions Units &amp; Activities'!J17/1000*(1-E72)</f>
        <v>7.1168666800000002E-3</v>
      </c>
      <c r="M72" s="199">
        <f>G72*'2. Emissions Units &amp; Activities'!K17/1000*(1-'3. Pollutant Emissions - EF'!E72)</f>
        <v>1.7061484000000002E-5</v>
      </c>
      <c r="N72" s="204">
        <f t="shared" si="6"/>
        <v>1.7061484000000002E-5</v>
      </c>
      <c r="O72" s="201">
        <f>G72*'2. Emissions Units &amp; Activities'!M17/1000*(1-'3. Pollutant Emissions - EF'!E72)</f>
        <v>1.9498424000000002E-5</v>
      </c>
    </row>
    <row r="73" spans="1:15" x14ac:dyDescent="0.35">
      <c r="A73" s="79" t="s">
        <v>1371</v>
      </c>
      <c r="B73" s="100" t="s">
        <v>863</v>
      </c>
      <c r="C73" s="81" t="s">
        <v>864</v>
      </c>
      <c r="D73" s="115"/>
      <c r="E73" s="101">
        <v>0</v>
      </c>
      <c r="F73" s="199">
        <v>4.4700000000000004E-6</v>
      </c>
      <c r="G73" s="200">
        <f t="shared" si="4"/>
        <v>4.4700000000000004E-6</v>
      </c>
      <c r="H73" s="83" t="s">
        <v>1376</v>
      </c>
      <c r="I73" s="104" t="s">
        <v>1377</v>
      </c>
      <c r="J73" s="199">
        <f>F73*'2. Emissions Units &amp; Activities'!H17/1000*(1-E73)</f>
        <v>4.0967505300000002E-3</v>
      </c>
      <c r="K73" s="204">
        <f t="shared" si="5"/>
        <v>4.0967505300000002E-3</v>
      </c>
      <c r="L73" s="201">
        <f>F73*'2. Emissions Units &amp; Activities'!J17/1000*(1-E73)</f>
        <v>6.5728086900000001E-3</v>
      </c>
      <c r="M73" s="199">
        <f>G73*'2. Emissions Units &amp; Activities'!K17/1000*(1-'3. Pollutant Emissions - EF'!E73)</f>
        <v>1.5757197000000001E-5</v>
      </c>
      <c r="N73" s="204">
        <f t="shared" si="6"/>
        <v>1.5757197000000001E-5</v>
      </c>
      <c r="O73" s="201">
        <f>G73*'2. Emissions Units &amp; Activities'!M17/1000*(1-'3. Pollutant Emissions - EF'!E73)</f>
        <v>1.8007841999999999E-5</v>
      </c>
    </row>
    <row r="74" spans="1:15" x14ac:dyDescent="0.35">
      <c r="A74" s="79" t="s">
        <v>1371</v>
      </c>
      <c r="B74" s="100" t="s">
        <v>1385</v>
      </c>
      <c r="C74" s="81" t="s">
        <v>440</v>
      </c>
      <c r="D74" s="115"/>
      <c r="E74" s="101">
        <v>0</v>
      </c>
      <c r="F74" s="199">
        <v>3.73E-2</v>
      </c>
      <c r="G74" s="200">
        <f t="shared" si="4"/>
        <v>3.73E-2</v>
      </c>
      <c r="H74" s="83" t="s">
        <v>1376</v>
      </c>
      <c r="I74" s="104" t="s">
        <v>1381</v>
      </c>
      <c r="J74" s="199">
        <f>F74*'2. Emissions Units &amp; Activities'!H17/1000*(1-E74)</f>
        <v>34.185412700000001</v>
      </c>
      <c r="K74" s="204">
        <f t="shared" si="5"/>
        <v>34.185412700000001</v>
      </c>
      <c r="L74" s="201">
        <f>F74*'2. Emissions Units &amp; Activities'!J17/1000*(1-E74)</f>
        <v>54.846927100000002</v>
      </c>
      <c r="M74" s="199">
        <f>G74*'2. Emissions Units &amp; Activities'!K17/1000*(1-'3. Pollutant Emissions - EF'!E74)</f>
        <v>0.13148623000000001</v>
      </c>
      <c r="N74" s="204">
        <f t="shared" si="6"/>
        <v>0.13148623000000001</v>
      </c>
      <c r="O74" s="201">
        <f>G74*'2. Emissions Units &amp; Activities'!M17/1000*(1-'3. Pollutant Emissions - EF'!E74)</f>
        <v>0.15026677999999999</v>
      </c>
    </row>
    <row r="75" spans="1:15" x14ac:dyDescent="0.35">
      <c r="A75" s="79" t="s">
        <v>1371</v>
      </c>
      <c r="B75" s="100" t="s">
        <v>443</v>
      </c>
      <c r="C75" s="81" t="str">
        <f>IFERROR(IF(B75="No CAS","",INDEX('DEQ Pollutant List'!$C$7:$C$611,MATCH('3. Pollutant Emissions - EF'!B75,'DEQ Pollutant List'!$B$7:$B$611,0))),"")</f>
        <v>Formaldehyde</v>
      </c>
      <c r="D75" s="115">
        <f>IFERROR(IF(OR($B75="",$B75="No CAS"),INDEX('DEQ Pollutant List'!$A$7:$A$611,MATCH($C75,'DEQ Pollutant List'!$C$7:$C$611,0)),INDEX('DEQ Pollutant List'!$A$7:$A$611,MATCH($B75,'DEQ Pollutant List'!$B$7:$B$611,0))),"")</f>
        <v>250</v>
      </c>
      <c r="E75" s="101">
        <v>0</v>
      </c>
      <c r="F75" s="199">
        <v>3.3000000000000002E-2</v>
      </c>
      <c r="G75" s="200">
        <f t="shared" si="4"/>
        <v>3.3000000000000002E-2</v>
      </c>
      <c r="H75" s="83" t="s">
        <v>1376</v>
      </c>
      <c r="I75" s="104" t="s">
        <v>1377</v>
      </c>
      <c r="J75" s="199">
        <f>F75*'2. Emissions Units &amp; Activities'!H17/1000*(1-E75)</f>
        <v>30.244467</v>
      </c>
      <c r="K75" s="204">
        <f t="shared" si="5"/>
        <v>30.244467</v>
      </c>
      <c r="L75" s="201">
        <f>F75*'2. Emissions Units &amp; Activities'!J17/1000*(1-E75)</f>
        <v>48.524090999999999</v>
      </c>
      <c r="M75" s="199">
        <f>G75*'2. Emissions Units &amp; Activities'!K17/1000*(1-'3. Pollutant Emissions - EF'!E75)</f>
        <v>0.1163283</v>
      </c>
      <c r="N75" s="204">
        <f t="shared" si="6"/>
        <v>0.1163283</v>
      </c>
      <c r="O75" s="201">
        <f>G75*'2. Emissions Units &amp; Activities'!M17/1000*(1-'3. Pollutant Emissions - EF'!E75)</f>
        <v>0.1329438</v>
      </c>
    </row>
    <row r="76" spans="1:15" x14ac:dyDescent="0.35">
      <c r="A76" s="79" t="s">
        <v>1371</v>
      </c>
      <c r="B76" s="100" t="s">
        <v>489</v>
      </c>
      <c r="C76" s="81" t="s">
        <v>1386</v>
      </c>
      <c r="D76" s="115"/>
      <c r="E76" s="101">
        <v>0</v>
      </c>
      <c r="F76" s="199">
        <f>0.05%*66</f>
        <v>3.3000000000000002E-2</v>
      </c>
      <c r="G76" s="200">
        <f t="shared" si="4"/>
        <v>3.3000000000000002E-2</v>
      </c>
      <c r="H76" s="83" t="s">
        <v>1376</v>
      </c>
      <c r="I76" s="104" t="s">
        <v>1442</v>
      </c>
      <c r="J76" s="199">
        <f>F76*'2. Emissions Units &amp; Activities'!H17/1000*(1-E76)</f>
        <v>30.244467</v>
      </c>
      <c r="K76" s="204">
        <f t="shared" si="5"/>
        <v>30.244467</v>
      </c>
      <c r="L76" s="201">
        <f>F76*'2. Emissions Units &amp; Activities'!J17/1000*(1-E76)</f>
        <v>48.524090999999999</v>
      </c>
      <c r="M76" s="199">
        <f>G76*'2. Emissions Units &amp; Activities'!K17/1000*(1-'3. Pollutant Emissions - EF'!E76)</f>
        <v>0.1163283</v>
      </c>
      <c r="N76" s="204">
        <f t="shared" si="6"/>
        <v>0.1163283</v>
      </c>
      <c r="O76" s="201">
        <f>G76*'2. Emissions Units &amp; Activities'!M17/1000*(1-'3. Pollutant Emissions - EF'!E76)</f>
        <v>0.1329438</v>
      </c>
    </row>
    <row r="77" spans="1:15" x14ac:dyDescent="0.35">
      <c r="A77" s="79" t="s">
        <v>1371</v>
      </c>
      <c r="B77" s="100" t="s">
        <v>865</v>
      </c>
      <c r="C77" s="81" t="s">
        <v>866</v>
      </c>
      <c r="D77" s="115"/>
      <c r="E77" s="101">
        <v>0</v>
      </c>
      <c r="F77" s="199">
        <v>2.1399999999999998E-6</v>
      </c>
      <c r="G77" s="200">
        <f t="shared" si="4"/>
        <v>2.1399999999999998E-6</v>
      </c>
      <c r="H77" s="83" t="s">
        <v>1376</v>
      </c>
      <c r="I77" s="81" t="s">
        <v>1444</v>
      </c>
      <c r="J77" s="199">
        <f>F77*'2. Emissions Units &amp; Activities'!H17/1000*(1-E77)</f>
        <v>1.9613078599999998E-3</v>
      </c>
      <c r="K77" s="204">
        <f t="shared" si="5"/>
        <v>1.9613078599999998E-3</v>
      </c>
      <c r="L77" s="201">
        <f>F77*'2. Emissions Units &amp; Activities'!J17/1000*(1-E77)</f>
        <v>3.1467137799999997E-3</v>
      </c>
      <c r="M77" s="199">
        <f>G77*'2. Emissions Units &amp; Activities'!K17/1000*(1-'3. Pollutant Emissions - EF'!E77)</f>
        <v>7.5437139999999994E-6</v>
      </c>
      <c r="N77" s="204">
        <f t="shared" si="6"/>
        <v>7.5437139999999994E-6</v>
      </c>
      <c r="O77" s="201">
        <f>G77*'2. Emissions Units &amp; Activities'!M17/1000*(1-'3. Pollutant Emissions - EF'!E77)</f>
        <v>8.621203999999999E-6</v>
      </c>
    </row>
    <row r="78" spans="1:15" x14ac:dyDescent="0.35">
      <c r="A78" s="79" t="s">
        <v>1371</v>
      </c>
      <c r="B78" s="100" t="s">
        <v>512</v>
      </c>
      <c r="C78" s="81" t="str">
        <f>IFERROR(IF(B78="No CAS","",INDEX('DEQ Pollutant List'!$C$7:$C$611,MATCH('3. Pollutant Emissions - EF'!B78,'DEQ Pollutant List'!$B$7:$B$611,0))),"")</f>
        <v>Lead and compounds</v>
      </c>
      <c r="D78" s="115">
        <f>IFERROR(IF(OR($B78="",$B78="No CAS"),INDEX('DEQ Pollutant List'!$A$7:$A$611,MATCH($C78,'DEQ Pollutant List'!$C$7:$C$611,0)),INDEX('DEQ Pollutant List'!$A$7:$A$611,MATCH($B78,'DEQ Pollutant List'!$B$7:$B$611,0))),"")</f>
        <v>305</v>
      </c>
      <c r="E78" s="101">
        <v>0</v>
      </c>
      <c r="F78" s="199">
        <v>1.5100000000000001E-3</v>
      </c>
      <c r="G78" s="200">
        <f t="shared" si="4"/>
        <v>1.5100000000000001E-3</v>
      </c>
      <c r="H78" s="83" t="s">
        <v>1376</v>
      </c>
      <c r="I78" s="202" t="s">
        <v>1381</v>
      </c>
      <c r="J78" s="199">
        <f>F78*'2. Emissions Units &amp; Activities'!H17/1000*(1-E78)</f>
        <v>1.3839134900000001</v>
      </c>
      <c r="K78" s="204">
        <f t="shared" si="5"/>
        <v>1.3839134900000001</v>
      </c>
      <c r="L78" s="201">
        <f>F78*'2. Emissions Units &amp; Activities'!J17/1000*(1-E78)</f>
        <v>2.2203447700000001</v>
      </c>
      <c r="M78" s="199">
        <f>G78*'2. Emissions Units &amp; Activities'!K17/1000*(1-'3. Pollutant Emissions - EF'!E78)</f>
        <v>5.3229009999999997E-3</v>
      </c>
      <c r="N78" s="204">
        <f t="shared" si="6"/>
        <v>5.3229009999999997E-3</v>
      </c>
      <c r="O78" s="201">
        <f>G78*'2. Emissions Units &amp; Activities'!M17/1000*(1-'3. Pollutant Emissions - EF'!E78)</f>
        <v>6.0831860000000008E-3</v>
      </c>
    </row>
    <row r="79" spans="1:15" x14ac:dyDescent="0.35">
      <c r="A79" s="79" t="s">
        <v>1466</v>
      </c>
      <c r="B79" s="100" t="s">
        <v>512</v>
      </c>
      <c r="C79" s="81" t="str">
        <f>IFERROR(IF(B79="No CAS","",INDEX('DEQ Pollutant List'!$C$7:$C$611,MATCH('3. Pollutant Emissions - EF'!B79,'DEQ Pollutant List'!$B$7:$B$611,0))),"")</f>
        <v>Lead and compounds</v>
      </c>
      <c r="D79" s="115"/>
      <c r="E79" s="101">
        <v>0</v>
      </c>
      <c r="F79" s="199">
        <f>0.000001*0.50799</f>
        <v>5.0798999999999998E-7</v>
      </c>
      <c r="G79" s="200">
        <f t="shared" si="4"/>
        <v>5.0798999999999998E-7</v>
      </c>
      <c r="H79" s="83" t="s">
        <v>1397</v>
      </c>
      <c r="I79" s="202" t="s">
        <v>1485</v>
      </c>
      <c r="J79" s="199">
        <f>F79*'2. Emissions Units &amp; Activities'!H16</f>
        <v>4.4499924E-3</v>
      </c>
      <c r="K79" s="204">
        <f t="shared" si="5"/>
        <v>4.4499924E-3</v>
      </c>
      <c r="L79" s="201">
        <f>F79*'2. Emissions Units &amp; Activities'!J16</f>
        <v>4.4499924E-3</v>
      </c>
      <c r="M79" s="199">
        <f>G79*'2. Emissions Units &amp; Activities'!K16</f>
        <v>1.219176E-5</v>
      </c>
      <c r="N79" s="204">
        <f t="shared" si="6"/>
        <v>1.219176E-5</v>
      </c>
      <c r="O79" s="201">
        <f>G79*'2. Emissions Units &amp; Activities'!M16</f>
        <v>1.219176E-5</v>
      </c>
    </row>
    <row r="80" spans="1:15" x14ac:dyDescent="0.35">
      <c r="A80" s="79" t="s">
        <v>1371</v>
      </c>
      <c r="B80" s="100" t="s">
        <v>518</v>
      </c>
      <c r="C80" s="81" t="str">
        <f>IFERROR(IF(B80="No CAS","",INDEX('DEQ Pollutant List'!$C$7:$C$611,MATCH('3. Pollutant Emissions - EF'!B80,'DEQ Pollutant List'!$B$7:$B$611,0))),"")</f>
        <v>Manganese and compounds</v>
      </c>
      <c r="D80" s="115">
        <f>IFERROR(IF(OR($B80="",$B80="No CAS"),INDEX('DEQ Pollutant List'!$A$7:$A$611,MATCH($C80,'DEQ Pollutant List'!$C$7:$C$611,0)),INDEX('DEQ Pollutant List'!$A$7:$A$611,MATCH($B80,'DEQ Pollutant List'!$B$7:$B$611,0))),"")</f>
        <v>312</v>
      </c>
      <c r="E80" s="101">
        <v>0</v>
      </c>
      <c r="F80" s="199">
        <v>3.0000000000000001E-3</v>
      </c>
      <c r="G80" s="200">
        <f t="shared" si="4"/>
        <v>3.0000000000000001E-3</v>
      </c>
      <c r="H80" s="83" t="s">
        <v>1376</v>
      </c>
      <c r="I80" s="104" t="s">
        <v>1381</v>
      </c>
      <c r="J80" s="199">
        <f>F80*'2. Emissions Units &amp; Activities'!H17/1000*(1-E80)</f>
        <v>2.7494969999999999</v>
      </c>
      <c r="K80" s="204">
        <f t="shared" si="5"/>
        <v>2.7494969999999999</v>
      </c>
      <c r="L80" s="201">
        <f>F80*'2. Emissions Units &amp; Activities'!J17/1000*(1-E80)</f>
        <v>4.4112809999999998</v>
      </c>
      <c r="M80" s="199">
        <f>G80*'2. Emissions Units &amp; Activities'!K17/1000*(1-'3. Pollutant Emissions - EF'!E80)</f>
        <v>1.0575300000000001E-2</v>
      </c>
      <c r="N80" s="204">
        <f t="shared" si="6"/>
        <v>1.0575300000000001E-2</v>
      </c>
      <c r="O80" s="201">
        <f>G80*'2. Emissions Units &amp; Activities'!M17/1000*(1-'3. Pollutant Emissions - EF'!E80)</f>
        <v>1.2085800000000001E-2</v>
      </c>
    </row>
    <row r="81" spans="1:15" x14ac:dyDescent="0.35">
      <c r="A81" s="79" t="s">
        <v>1466</v>
      </c>
      <c r="B81" s="100" t="s">
        <v>518</v>
      </c>
      <c r="C81" s="81" t="str">
        <f>IFERROR(IF(B81="No CAS","",INDEX('DEQ Pollutant List'!$C$7:$C$611,MATCH('3. Pollutant Emissions - EF'!B81,'DEQ Pollutant List'!$B$7:$B$611,0))),"")</f>
        <v>Manganese and compounds</v>
      </c>
      <c r="D81" s="115"/>
      <c r="E81" s="101">
        <v>0</v>
      </c>
      <c r="F81" s="199">
        <f>0.0000851*0.50799</f>
        <v>4.3229949000000005E-5</v>
      </c>
      <c r="G81" s="200">
        <f t="shared" si="4"/>
        <v>4.3229949000000005E-5</v>
      </c>
      <c r="H81" s="83" t="s">
        <v>1397</v>
      </c>
      <c r="I81" s="104" t="s">
        <v>1486</v>
      </c>
      <c r="J81" s="199">
        <f>F81*'2. Emissions Units &amp; Activities'!H16</f>
        <v>0.37869435324000006</v>
      </c>
      <c r="K81" s="204">
        <f t="shared" si="5"/>
        <v>0.37869435324000006</v>
      </c>
      <c r="L81" s="201">
        <f>F81*'2. Emissions Units &amp; Activities'!J16</f>
        <v>0.37869435324000006</v>
      </c>
      <c r="M81" s="199">
        <f>G81*'2. Emissions Units &amp; Activities'!K16</f>
        <v>1.0375187760000002E-3</v>
      </c>
      <c r="N81" s="204">
        <f t="shared" si="6"/>
        <v>1.0375187760000002E-3</v>
      </c>
      <c r="O81" s="201">
        <f>G81*'2. Emissions Units &amp; Activities'!M16</f>
        <v>1.0375187760000002E-3</v>
      </c>
    </row>
    <row r="82" spans="1:15" x14ac:dyDescent="0.35">
      <c r="A82" s="79" t="s">
        <v>1371</v>
      </c>
      <c r="B82" s="100" t="s">
        <v>524</v>
      </c>
      <c r="C82" s="81" t="s">
        <v>525</v>
      </c>
      <c r="D82" s="115"/>
      <c r="E82" s="101">
        <v>0</v>
      </c>
      <c r="F82" s="199">
        <v>1.13E-4</v>
      </c>
      <c r="G82" s="200">
        <f t="shared" si="4"/>
        <v>1.13E-4</v>
      </c>
      <c r="H82" s="83" t="s">
        <v>1376</v>
      </c>
      <c r="I82" s="104" t="s">
        <v>1381</v>
      </c>
      <c r="J82" s="199">
        <f>F82*'2. Emissions Units &amp; Activities'!H17/1000*(1-E82)</f>
        <v>0.10356438699999999</v>
      </c>
      <c r="K82" s="204">
        <f t="shared" si="5"/>
        <v>0.10356438699999999</v>
      </c>
      <c r="L82" s="201">
        <f>F82*'2. Emissions Units &amp; Activities'!J17/1000*(1-E82)</f>
        <v>0.16615825100000001</v>
      </c>
      <c r="M82" s="199">
        <f>G82*'2. Emissions Units &amp; Activities'!K17/1000*(1-'3. Pollutant Emissions - EF'!E82)</f>
        <v>3.983363E-4</v>
      </c>
      <c r="N82" s="204">
        <f t="shared" si="6"/>
        <v>3.983363E-4</v>
      </c>
      <c r="O82" s="201">
        <f>G82*'2. Emissions Units &amp; Activities'!M17/1000*(1-'3. Pollutant Emissions - EF'!E82)</f>
        <v>4.5523179999999995E-4</v>
      </c>
    </row>
    <row r="83" spans="1:15" x14ac:dyDescent="0.35">
      <c r="A83" s="79" t="s">
        <v>1466</v>
      </c>
      <c r="B83" s="100" t="s">
        <v>524</v>
      </c>
      <c r="C83" s="81" t="s">
        <v>525</v>
      </c>
      <c r="D83" s="115"/>
      <c r="E83" s="101">
        <v>0</v>
      </c>
      <c r="F83" s="199">
        <f>0.0000000057*0.50799</f>
        <v>2.8955430000000002E-9</v>
      </c>
      <c r="G83" s="200">
        <f t="shared" si="4"/>
        <v>2.8955430000000002E-9</v>
      </c>
      <c r="H83" s="83" t="s">
        <v>1397</v>
      </c>
      <c r="I83" s="104" t="s">
        <v>1487</v>
      </c>
      <c r="J83" s="199">
        <f>F83*'2. Emissions Units &amp; Activities'!H16</f>
        <v>2.5364956680000003E-5</v>
      </c>
      <c r="K83" s="204">
        <f t="shared" si="5"/>
        <v>2.5364956680000003E-5</v>
      </c>
      <c r="L83" s="201">
        <f>F83*'2. Emissions Units &amp; Activities'!J16</f>
        <v>2.5364956680000003E-5</v>
      </c>
      <c r="M83" s="199">
        <f>G83*'2. Emissions Units &amp; Activities'!K16</f>
        <v>6.9493032000000009E-8</v>
      </c>
      <c r="N83" s="204">
        <f t="shared" si="6"/>
        <v>6.9493032000000009E-8</v>
      </c>
      <c r="O83" s="201">
        <f>G83*'2. Emissions Units &amp; Activities'!M16</f>
        <v>6.9493032000000009E-8</v>
      </c>
    </row>
    <row r="84" spans="1:15" x14ac:dyDescent="0.35">
      <c r="A84" s="79" t="s">
        <v>1371</v>
      </c>
      <c r="B84" s="100" t="s">
        <v>575</v>
      </c>
      <c r="C84" s="81" t="s">
        <v>1387</v>
      </c>
      <c r="D84" s="115"/>
      <c r="E84" s="101">
        <v>0</v>
      </c>
      <c r="F84" s="199">
        <f>0.000787*1.5</f>
        <v>1.1805000000000001E-3</v>
      </c>
      <c r="G84" s="200">
        <f t="shared" si="4"/>
        <v>1.1805000000000001E-3</v>
      </c>
      <c r="H84" s="83" t="s">
        <v>1376</v>
      </c>
      <c r="I84" s="104" t="s">
        <v>1394</v>
      </c>
      <c r="J84" s="199">
        <f>F84*'2. Emissions Units &amp; Activities'!H17/1000*(1-E84)</f>
        <v>1.0819270695000001</v>
      </c>
      <c r="K84" s="204">
        <f t="shared" si="5"/>
        <v>1.0819270695000001</v>
      </c>
      <c r="L84" s="201">
        <f>F84*'2. Emissions Units &amp; Activities'!J17/1000*(1-E84)</f>
        <v>1.7358390735000002</v>
      </c>
      <c r="M84" s="199">
        <f>G84*'2. Emissions Units &amp; Activities'!K17/1000*(1-'3. Pollutant Emissions - EF'!E84)</f>
        <v>4.1613805500000005E-3</v>
      </c>
      <c r="N84" s="204">
        <f t="shared" si="6"/>
        <v>4.1613805500000005E-3</v>
      </c>
      <c r="O84" s="201">
        <f>G84*'2. Emissions Units &amp; Activities'!M17/1000*(1-'3. Pollutant Emissions - EF'!E84)</f>
        <v>4.7557623000000007E-3</v>
      </c>
    </row>
    <row r="85" spans="1:15" x14ac:dyDescent="0.35">
      <c r="A85" s="79" t="s">
        <v>1371</v>
      </c>
      <c r="B85" s="100" t="s">
        <v>583</v>
      </c>
      <c r="C85" s="81" t="str">
        <f>IFERROR(IF(B85="No CAS","",INDEX('DEQ Pollutant List'!$C$7:$C$611,MATCH('3. Pollutant Emissions - EF'!B85,'DEQ Pollutant List'!$B$7:$B$611,0))),"")</f>
        <v>Nickel and compounds</v>
      </c>
      <c r="D85" s="115">
        <f>IFERROR(IF(OR($B85="",$B85="No CAS"),INDEX('DEQ Pollutant List'!$A$7:$A$611,MATCH($C85,'DEQ Pollutant List'!$C$7:$C$611,0)),INDEX('DEQ Pollutant List'!$A$7:$A$611,MATCH($B85,'DEQ Pollutant List'!$B$7:$B$611,0))),"")</f>
        <v>364</v>
      </c>
      <c r="E85" s="101">
        <v>0</v>
      </c>
      <c r="F85" s="199">
        <v>1.0999999999999999E-2</v>
      </c>
      <c r="G85" s="200">
        <f t="shared" si="4"/>
        <v>1.0999999999999999E-2</v>
      </c>
      <c r="H85" s="83" t="s">
        <v>1376</v>
      </c>
      <c r="I85" s="104" t="s">
        <v>1443</v>
      </c>
      <c r="J85" s="199">
        <f>F85*'2. Emissions Units &amp; Activities'!H17/1000*(1-E85)</f>
        <v>10.081488999999999</v>
      </c>
      <c r="K85" s="204">
        <f t="shared" si="5"/>
        <v>10.081488999999999</v>
      </c>
      <c r="L85" s="201">
        <f>F85*'2. Emissions Units &amp; Activities'!J17/1000*(1-E85)</f>
        <v>16.174696999999998</v>
      </c>
      <c r="M85" s="199">
        <f>G85*'2. Emissions Units &amp; Activities'!K17/1000*(1-'3. Pollutant Emissions - EF'!E85)</f>
        <v>3.8776100000000001E-2</v>
      </c>
      <c r="N85" s="204">
        <f t="shared" si="6"/>
        <v>3.8776100000000001E-2</v>
      </c>
      <c r="O85" s="201">
        <f>G85*'2. Emissions Units &amp; Activities'!M17/1000*(1-'3. Pollutant Emissions - EF'!E85)</f>
        <v>4.4314599999999996E-2</v>
      </c>
    </row>
    <row r="86" spans="1:15" x14ac:dyDescent="0.35">
      <c r="A86" s="79" t="s">
        <v>1466</v>
      </c>
      <c r="B86" s="100" t="s">
        <v>583</v>
      </c>
      <c r="C86" s="81" t="str">
        <f>IFERROR(IF(B86="No CAS","",INDEX('DEQ Pollutant List'!$C$7:$C$611,MATCH('3. Pollutant Emissions - EF'!B86,'DEQ Pollutant List'!$B$7:$B$611,0))),"")</f>
        <v>Nickel and compounds</v>
      </c>
      <c r="D86" s="115"/>
      <c r="E86" s="101">
        <v>0</v>
      </c>
      <c r="F86" s="199">
        <f>0.0000002*0.50799</f>
        <v>1.0159800000000001E-7</v>
      </c>
      <c r="G86" s="200">
        <f t="shared" si="4"/>
        <v>1.0159800000000001E-7</v>
      </c>
      <c r="H86" s="83" t="s">
        <v>1397</v>
      </c>
      <c r="I86" s="104" t="s">
        <v>1488</v>
      </c>
      <c r="J86" s="199">
        <f>F86*'2. Emissions Units &amp; Activities'!H16</f>
        <v>8.8999848000000006E-4</v>
      </c>
      <c r="K86" s="204">
        <f t="shared" si="5"/>
        <v>8.8999848000000006E-4</v>
      </c>
      <c r="L86" s="201">
        <f>F86*'2. Emissions Units &amp; Activities'!J16</f>
        <v>8.8999848000000006E-4</v>
      </c>
      <c r="M86" s="199">
        <f>G86*'2. Emissions Units &amp; Activities'!K16</f>
        <v>2.4383520000000002E-6</v>
      </c>
      <c r="N86" s="204">
        <f t="shared" si="6"/>
        <v>2.4383520000000002E-6</v>
      </c>
      <c r="O86" s="201">
        <f>G86*'2. Emissions Units &amp; Activities'!M16</f>
        <v>2.4383520000000002E-6</v>
      </c>
    </row>
    <row r="87" spans="1:15" x14ac:dyDescent="0.35">
      <c r="A87" s="79" t="s">
        <v>1371</v>
      </c>
      <c r="B87" s="100" t="s">
        <v>792</v>
      </c>
      <c r="C87" s="81" t="s">
        <v>793</v>
      </c>
      <c r="D87" s="115"/>
      <c r="E87" s="101">
        <v>0</v>
      </c>
      <c r="F87" s="199">
        <v>3.1E-9</v>
      </c>
      <c r="G87" s="200">
        <f t="shared" si="4"/>
        <v>3.1E-9</v>
      </c>
      <c r="H87" s="83" t="s">
        <v>1376</v>
      </c>
      <c r="I87" s="104" t="s">
        <v>1377</v>
      </c>
      <c r="J87" s="199">
        <f>F87*'2. Emissions Units &amp; Activities'!H17/1000*(1-E87)</f>
        <v>2.8411469000000001E-6</v>
      </c>
      <c r="K87" s="204">
        <f t="shared" si="5"/>
        <v>2.8411469000000001E-6</v>
      </c>
      <c r="L87" s="201">
        <f>F87*'2. Emissions Units &amp; Activities'!J17/1000*(1-E87)</f>
        <v>4.5583237E-6</v>
      </c>
      <c r="M87" s="199">
        <f>G87*'2. Emissions Units &amp; Activities'!K17/1000*(1-'3. Pollutant Emissions - EF'!E87)</f>
        <v>1.0927809999999999E-8</v>
      </c>
      <c r="N87" s="204">
        <f t="shared" si="6"/>
        <v>1.0927809999999999E-8</v>
      </c>
      <c r="O87" s="201">
        <f>G87*'2. Emissions Units &amp; Activities'!M17/1000*(1-'3. Pollutant Emissions - EF'!E87)</f>
        <v>1.2488659999999999E-8</v>
      </c>
    </row>
    <row r="88" spans="1:15" x14ac:dyDescent="0.35">
      <c r="A88" s="79" t="s">
        <v>1371</v>
      </c>
      <c r="B88" s="100" t="s">
        <v>693</v>
      </c>
      <c r="C88" s="81" t="str">
        <f>IFERROR(IF(B88="No CAS","",INDEX('DEQ Pollutant List'!$C$7:$C$611,MATCH('3. Pollutant Emissions - EF'!B88,'DEQ Pollutant List'!$B$7:$B$611,0))),"")</f>
        <v>Phenol</v>
      </c>
      <c r="D88" s="115">
        <f>IFERROR(IF(OR($B88="",$B88="No CAS"),INDEX('DEQ Pollutant List'!$A$7:$A$611,MATCH($C88,'DEQ Pollutant List'!$C$7:$C$611,0)),INDEX('DEQ Pollutant List'!$A$7:$A$611,MATCH($B88,'DEQ Pollutant List'!$B$7:$B$611,0))),"")</f>
        <v>497</v>
      </c>
      <c r="E88" s="101">
        <v>0</v>
      </c>
      <c r="F88" s="199">
        <v>2.8E-5</v>
      </c>
      <c r="G88" s="200">
        <f t="shared" si="4"/>
        <v>2.8E-5</v>
      </c>
      <c r="H88" s="83" t="s">
        <v>1376</v>
      </c>
      <c r="I88" s="104" t="s">
        <v>1388</v>
      </c>
      <c r="J88" s="199">
        <f>F88*'2. Emissions Units &amp; Activities'!H17/1000*(1-E88)</f>
        <v>2.5661971999999998E-2</v>
      </c>
      <c r="K88" s="204">
        <f t="shared" si="5"/>
        <v>2.5661971999999998E-2</v>
      </c>
      <c r="L88" s="201">
        <f>F88*'2. Emissions Units &amp; Activities'!J17/1000*(1-E88)</f>
        <v>4.1171956000000003E-2</v>
      </c>
      <c r="M88" s="199">
        <f>G88*'2. Emissions Units &amp; Activities'!K17/1000*(1-'3. Pollutant Emissions - EF'!E88)</f>
        <v>9.8702799999999993E-5</v>
      </c>
      <c r="N88" s="204">
        <f t="shared" si="6"/>
        <v>9.8702799999999993E-5</v>
      </c>
      <c r="O88" s="201">
        <f>G88*'2. Emissions Units &amp; Activities'!M17/1000*(1-'3. Pollutant Emissions - EF'!E88)</f>
        <v>1.1280079999999999E-4</v>
      </c>
    </row>
    <row r="89" spans="1:15" x14ac:dyDescent="0.35">
      <c r="A89" s="79" t="s">
        <v>1371</v>
      </c>
      <c r="B89" s="100" t="s">
        <v>871</v>
      </c>
      <c r="C89" s="81" t="s">
        <v>872</v>
      </c>
      <c r="D89" s="115"/>
      <c r="E89" s="101">
        <v>0</v>
      </c>
      <c r="F89" s="199">
        <v>1.0499999999999999E-5</v>
      </c>
      <c r="G89" s="200">
        <f t="shared" si="4"/>
        <v>1.0499999999999999E-5</v>
      </c>
      <c r="H89" s="83" t="s">
        <v>1376</v>
      </c>
      <c r="I89" s="104" t="s">
        <v>1377</v>
      </c>
      <c r="J89" s="199">
        <f>F89*'2. Emissions Units &amp; Activities'!H17/1000*(1-E89)</f>
        <v>9.6232394999999984E-3</v>
      </c>
      <c r="K89" s="204">
        <f t="shared" si="5"/>
        <v>9.6232394999999984E-3</v>
      </c>
      <c r="L89" s="201">
        <f>F89*'2. Emissions Units &amp; Activities'!J17/1000*(1-E89)</f>
        <v>1.54394835E-2</v>
      </c>
      <c r="M89" s="199">
        <f>G89*'2. Emissions Units &amp; Activities'!K17/1000*(1-'3. Pollutant Emissions - EF'!E89)</f>
        <v>3.7013549999999997E-5</v>
      </c>
      <c r="N89" s="204">
        <f t="shared" si="6"/>
        <v>3.7013549999999997E-5</v>
      </c>
      <c r="O89" s="201">
        <f>G89*'2. Emissions Units &amp; Activities'!M17/1000*(1-'3. Pollutant Emissions - EF'!E89)</f>
        <v>4.2300299999999999E-5</v>
      </c>
    </row>
    <row r="90" spans="1:15" x14ac:dyDescent="0.35">
      <c r="A90" s="79" t="s">
        <v>1371</v>
      </c>
      <c r="B90" s="100" t="s">
        <v>873</v>
      </c>
      <c r="C90" s="81" t="s">
        <v>874</v>
      </c>
      <c r="D90" s="115"/>
      <c r="E90" s="101">
        <v>0</v>
      </c>
      <c r="F90" s="199">
        <v>4.25E-6</v>
      </c>
      <c r="G90" s="200">
        <f t="shared" si="4"/>
        <v>4.25E-6</v>
      </c>
      <c r="H90" s="83" t="s">
        <v>1376</v>
      </c>
      <c r="I90" s="104" t="s">
        <v>1377</v>
      </c>
      <c r="J90" s="199">
        <f>F90*'2. Emissions Units &amp; Activities'!H17/1000*(1-E90)</f>
        <v>3.8951207499999998E-3</v>
      </c>
      <c r="K90" s="204">
        <f t="shared" si="5"/>
        <v>3.8951207499999998E-3</v>
      </c>
      <c r="L90" s="201">
        <f>F90*'2. Emissions Units &amp; Activities'!J17/1000*(1-E90)</f>
        <v>6.2493147500000002E-3</v>
      </c>
      <c r="M90" s="199">
        <f>G90*'2. Emissions Units &amp; Activities'!K17/1000*(1-'3. Pollutant Emissions - EF'!E90)</f>
        <v>1.4981674999999999E-5</v>
      </c>
      <c r="N90" s="204">
        <f t="shared" si="6"/>
        <v>1.4981674999999999E-5</v>
      </c>
      <c r="O90" s="201">
        <f>G90*'2. Emissions Units &amp; Activities'!M17/1000*(1-'3. Pollutant Emissions - EF'!E90)</f>
        <v>1.7121549999999999E-5</v>
      </c>
    </row>
    <row r="91" spans="1:15" x14ac:dyDescent="0.35">
      <c r="A91" s="79" t="s">
        <v>1371</v>
      </c>
      <c r="B91" s="100">
        <v>504</v>
      </c>
      <c r="C91" s="81" t="s">
        <v>1094</v>
      </c>
      <c r="D91" s="115"/>
      <c r="E91" s="101">
        <v>0</v>
      </c>
      <c r="F91" s="199">
        <v>9.4599999999999997E-3</v>
      </c>
      <c r="G91" s="200">
        <f t="shared" si="4"/>
        <v>9.4599999999999997E-3</v>
      </c>
      <c r="H91" s="83" t="s">
        <v>1376</v>
      </c>
      <c r="I91" s="104" t="s">
        <v>1381</v>
      </c>
      <c r="J91" s="199">
        <f>F91*'2. Emissions Units &amp; Activities'!H17/1000*(1-E91)</f>
        <v>8.6700805399999989</v>
      </c>
      <c r="K91" s="204">
        <f t="shared" si="5"/>
        <v>8.6700805399999989</v>
      </c>
      <c r="L91" s="201">
        <f>F91*'2. Emissions Units &amp; Activities'!J17/1000*(1-E91)</f>
        <v>13.91023942</v>
      </c>
      <c r="M91" s="199">
        <f>G91*'2. Emissions Units &amp; Activities'!K17/1000*(1-'3. Pollutant Emissions - EF'!E91)</f>
        <v>3.3347445999999996E-2</v>
      </c>
      <c r="N91" s="204">
        <f t="shared" si="6"/>
        <v>3.3347445999999996E-2</v>
      </c>
      <c r="O91" s="201">
        <f>G91*'2. Emissions Units &amp; Activities'!M17/1000*(1-'3. Pollutant Emissions - EF'!E91)</f>
        <v>3.8110555999999997E-2</v>
      </c>
    </row>
    <row r="92" spans="1:15" x14ac:dyDescent="0.35">
      <c r="A92" s="79" t="s">
        <v>1371</v>
      </c>
      <c r="B92" s="100" t="s">
        <v>581</v>
      </c>
      <c r="C92" s="81" t="str">
        <f>IFERROR(IF(B92="No CAS","",INDEX('DEQ Pollutant List'!$C$7:$C$611,MATCH('3. Pollutant Emissions - EF'!B92,'DEQ Pollutant List'!$B$7:$B$611,0))),"")</f>
        <v>Naphthalene</v>
      </c>
      <c r="D92" s="115">
        <f>IFERROR(IF(OR($B92="",$B92="No CAS"),INDEX('DEQ Pollutant List'!$A$7:$A$611,MATCH($C92,'DEQ Pollutant List'!$C$7:$C$611,0)),INDEX('DEQ Pollutant List'!$A$7:$A$611,MATCH($B92,'DEQ Pollutant List'!$B$7:$B$611,0))),"")</f>
        <v>428</v>
      </c>
      <c r="E92" s="101">
        <v>0</v>
      </c>
      <c r="F92" s="199">
        <v>1.1299999999999999E-3</v>
      </c>
      <c r="G92" s="200">
        <f t="shared" si="4"/>
        <v>1.1299999999999999E-3</v>
      </c>
      <c r="H92" s="203" t="s">
        <v>1376</v>
      </c>
      <c r="I92" s="104" t="s">
        <v>1377</v>
      </c>
      <c r="J92" s="199">
        <f>F92*'2. Emissions Units &amp; Activities'!H17/1000*(1-E92)</f>
        <v>1.0356438699999999</v>
      </c>
      <c r="K92" s="204">
        <f t="shared" si="5"/>
        <v>1.0356438699999999</v>
      </c>
      <c r="L92" s="201">
        <f>F92*'2. Emissions Units &amp; Activities'!J17/1000*(1-E92)</f>
        <v>1.6615825099999999</v>
      </c>
      <c r="M92" s="199">
        <f>G92*'2. Emissions Units &amp; Activities'!K17/1000*(1-'3. Pollutant Emissions - EF'!E92)</f>
        <v>3.9833630000000002E-3</v>
      </c>
      <c r="N92" s="204">
        <f t="shared" si="6"/>
        <v>3.9833630000000002E-3</v>
      </c>
      <c r="O92" s="201">
        <f>G92*'2. Emissions Units &amp; Activities'!M17/1000*(1-'3. Pollutant Emissions - EF'!E92)</f>
        <v>4.5523179999999996E-3</v>
      </c>
    </row>
    <row r="93" spans="1:15" x14ac:dyDescent="0.35">
      <c r="A93" s="79" t="s">
        <v>1371</v>
      </c>
      <c r="B93" s="100" t="s">
        <v>945</v>
      </c>
      <c r="C93" s="81" t="s">
        <v>946</v>
      </c>
      <c r="D93" s="115"/>
      <c r="E93" s="101">
        <v>0</v>
      </c>
      <c r="F93" s="199">
        <v>6.8300000000000001E-4</v>
      </c>
      <c r="G93" s="200">
        <f t="shared" si="4"/>
        <v>6.8300000000000001E-4</v>
      </c>
      <c r="H93" s="203" t="s">
        <v>1376</v>
      </c>
      <c r="I93" s="104" t="s">
        <v>1465</v>
      </c>
      <c r="J93" s="199">
        <f>F93*'2. Emissions Units &amp; Activities'!H17/1000*(1-E93)</f>
        <v>0.62596881700000007</v>
      </c>
      <c r="K93" s="204">
        <f t="shared" si="5"/>
        <v>0.62596881700000007</v>
      </c>
      <c r="L93" s="201">
        <f>F93*'2. Emissions Units &amp; Activities'!J17/1000*(1-E93)</f>
        <v>1.0043016410000001</v>
      </c>
      <c r="M93" s="199">
        <f>G93*'2. Emissions Units &amp; Activities'!K17/1000*(1-'3. Pollutant Emissions - EF'!E93)</f>
        <v>2.4076433000000002E-3</v>
      </c>
      <c r="N93" s="204">
        <f t="shared" si="6"/>
        <v>2.4076433000000002E-3</v>
      </c>
      <c r="O93" s="201">
        <f>G93*'2. Emissions Units &amp; Activities'!M17/1000*(1-'3. Pollutant Emissions - EF'!E93)</f>
        <v>2.7515337999999999E-3</v>
      </c>
    </row>
    <row r="94" spans="1:15" x14ac:dyDescent="0.35">
      <c r="A94" s="79" t="s">
        <v>1371</v>
      </c>
      <c r="B94" s="100" t="s">
        <v>945</v>
      </c>
      <c r="C94" s="81" t="s">
        <v>946</v>
      </c>
      <c r="D94" s="115"/>
      <c r="E94" s="101">
        <v>0</v>
      </c>
      <c r="F94" s="199">
        <f>0.000007*0.50799</f>
        <v>3.5559300000000001E-6</v>
      </c>
      <c r="G94" s="200">
        <f t="shared" si="4"/>
        <v>3.5559300000000001E-6</v>
      </c>
      <c r="H94" s="203" t="s">
        <v>1397</v>
      </c>
      <c r="I94" s="104" t="s">
        <v>1489</v>
      </c>
      <c r="J94" s="199">
        <f>F94*'2. Emissions Units &amp; Activities'!H16</f>
        <v>3.1149946800000002E-2</v>
      </c>
      <c r="K94" s="204">
        <f t="shared" si="5"/>
        <v>3.1149946800000002E-2</v>
      </c>
      <c r="L94" s="201">
        <f>F94*'2. Emissions Units &amp; Activities'!J16</f>
        <v>3.1149946800000002E-2</v>
      </c>
      <c r="M94" s="199">
        <f>G94*'2. Emissions Units &amp; Activities'!K16</f>
        <v>8.5342320000000006E-5</v>
      </c>
      <c r="N94" s="204">
        <f t="shared" si="6"/>
        <v>8.5342320000000006E-5</v>
      </c>
      <c r="O94" s="201">
        <f>G94*'2. Emissions Units &amp; Activities'!M16</f>
        <v>8.5342320000000006E-5</v>
      </c>
    </row>
    <row r="95" spans="1:15" x14ac:dyDescent="0.35">
      <c r="A95" s="79" t="s">
        <v>1371</v>
      </c>
      <c r="B95" s="100" t="s">
        <v>994</v>
      </c>
      <c r="C95" s="81" t="str">
        <f>IFERROR(IF(B95="No CAS","",INDEX('DEQ Pollutant List'!$C$7:$C$611,MATCH('3. Pollutant Emissions - EF'!B95,'DEQ Pollutant List'!$B$7:$B$611,0))),"")</f>
        <v>Toluene</v>
      </c>
      <c r="D95" s="115">
        <f>IFERROR(IF(OR($B95="",$B95="No CAS"),INDEX('DEQ Pollutant List'!$A$7:$A$611,MATCH($C95,'DEQ Pollutant List'!$C$7:$C$611,0)),INDEX('DEQ Pollutant List'!$A$7:$A$611,MATCH($B95,'DEQ Pollutant List'!$B$7:$B$611,0))),"")</f>
        <v>600</v>
      </c>
      <c r="E95" s="101">
        <v>0</v>
      </c>
      <c r="F95" s="199">
        <v>6.1999999999999998E-3</v>
      </c>
      <c r="G95" s="200">
        <f t="shared" si="4"/>
        <v>6.1999999999999998E-3</v>
      </c>
      <c r="H95" s="83" t="s">
        <v>1376</v>
      </c>
      <c r="I95" s="104" t="s">
        <v>1377</v>
      </c>
      <c r="J95" s="199">
        <f>F95*'2. Emissions Units &amp; Activities'!H17/1000*(1-E95)</f>
        <v>5.6822937999999992</v>
      </c>
      <c r="K95" s="204">
        <f t="shared" si="5"/>
        <v>5.6822937999999992</v>
      </c>
      <c r="L95" s="201">
        <f>F95*'2. Emissions Units &amp; Activities'!J17/1000*(1-E95)</f>
        <v>9.1166473999999997</v>
      </c>
      <c r="M95" s="199">
        <f>G95*'2. Emissions Units &amp; Activities'!K17/1000*(1-'3. Pollutant Emissions - EF'!E95)</f>
        <v>2.1855619999999999E-2</v>
      </c>
      <c r="N95" s="204">
        <f t="shared" si="6"/>
        <v>2.1855619999999999E-2</v>
      </c>
      <c r="O95" s="201">
        <f>G95*'2. Emissions Units &amp; Activities'!M17/1000*(1-'3. Pollutant Emissions - EF'!E95)</f>
        <v>2.4977319999999997E-2</v>
      </c>
    </row>
    <row r="96" spans="1:15" x14ac:dyDescent="0.35">
      <c r="A96" s="79" t="s">
        <v>1371</v>
      </c>
      <c r="B96" s="100" t="s">
        <v>1019</v>
      </c>
      <c r="C96" s="81" t="s">
        <v>1247</v>
      </c>
      <c r="D96" s="115">
        <f>IFERROR(IF(OR($B96="",$B96="No CAS"),INDEX('DEQ Pollutant List'!$A$7:$A$611,MATCH($C96,'DEQ Pollutant List'!$C$7:$C$611,0)),INDEX('DEQ Pollutant List'!$A$7:$A$611,MATCH($B96,'DEQ Pollutant List'!$B$7:$B$611,0))),"")</f>
        <v>326</v>
      </c>
      <c r="E96" s="101">
        <v>0</v>
      </c>
      <c r="F96" s="199">
        <v>2.3599999999999999E-4</v>
      </c>
      <c r="G96" s="200">
        <f t="shared" si="4"/>
        <v>2.3599999999999999E-4</v>
      </c>
      <c r="H96" s="83" t="s">
        <v>1376</v>
      </c>
      <c r="I96" s="104" t="s">
        <v>1377</v>
      </c>
      <c r="J96" s="199">
        <f>F96*'2. Emissions Units &amp; Activities'!H17/1000*(1-E96)</f>
        <v>0.21629376399999997</v>
      </c>
      <c r="K96" s="204">
        <f t="shared" si="5"/>
        <v>0.21629376399999997</v>
      </c>
      <c r="L96" s="201">
        <f>F96*'2. Emissions Units &amp; Activities'!J17/1000*(1-E96)</f>
        <v>0.34702077199999998</v>
      </c>
      <c r="M96" s="199">
        <f>G96*'2. Emissions Units &amp; Activities'!K17/1000*(1-'3. Pollutant Emissions - EF'!E96)</f>
        <v>8.3192360000000003E-4</v>
      </c>
      <c r="N96" s="204">
        <f t="shared" si="6"/>
        <v>8.3192360000000003E-4</v>
      </c>
      <c r="O96" s="201">
        <f>G96*'2. Emissions Units &amp; Activities'!M17/1000*(1-'3. Pollutant Emissions - EF'!E96)</f>
        <v>9.5074959999999996E-4</v>
      </c>
    </row>
    <row r="97" spans="1:15" x14ac:dyDescent="0.35">
      <c r="A97" s="79" t="s">
        <v>1371</v>
      </c>
      <c r="B97" s="100" t="s">
        <v>1074</v>
      </c>
      <c r="C97" s="81" t="s">
        <v>1126</v>
      </c>
      <c r="D97" s="115">
        <f>IFERROR(IF(OR($B97="",$B97="No CAS"),INDEX('DEQ Pollutant List'!$A$7:$A$611,MATCH($C97,'DEQ Pollutant List'!$C$7:$C$611,0)),INDEX('DEQ Pollutant List'!$A$7:$A$611,MATCH($B97,'DEQ Pollutant List'!$B$7:$B$611,0))),"")</f>
        <v>630</v>
      </c>
      <c r="E97" s="101">
        <v>0</v>
      </c>
      <c r="F97" s="199">
        <v>1.0900000000000001E-4</v>
      </c>
      <c r="G97" s="200">
        <f t="shared" si="4"/>
        <v>1.0900000000000001E-4</v>
      </c>
      <c r="H97" s="83" t="s">
        <v>1376</v>
      </c>
      <c r="I97" s="104" t="s">
        <v>1377</v>
      </c>
      <c r="J97" s="199">
        <f>F97*'2. Emissions Units &amp; Activities'!H17/1000*(1-E97)</f>
        <v>9.9898391000000003E-2</v>
      </c>
      <c r="K97" s="204">
        <f t="shared" si="5"/>
        <v>9.9898391000000003E-2</v>
      </c>
      <c r="L97" s="201">
        <f>F97*'2. Emissions Units &amp; Activities'!J17/1000*(1-E97)</f>
        <v>0.16027654299999999</v>
      </c>
      <c r="M97" s="199">
        <f>G97*'2. Emissions Units &amp; Activities'!K17/1000*(1-'3. Pollutant Emissions - EF'!E97)</f>
        <v>3.8423590000000001E-4</v>
      </c>
      <c r="N97" s="204">
        <f t="shared" si="6"/>
        <v>3.8423590000000001E-4</v>
      </c>
      <c r="O97" s="201">
        <f>G97*'2. Emissions Units &amp; Activities'!M17/1000*(1-'3. Pollutant Emissions - EF'!E97)</f>
        <v>4.3911739999999996E-4</v>
      </c>
    </row>
    <row r="98" spans="1:15" x14ac:dyDescent="0.35">
      <c r="A98" s="79" t="s">
        <v>1371</v>
      </c>
      <c r="B98" s="100" t="s">
        <v>1055</v>
      </c>
      <c r="C98" s="81" t="s">
        <v>1056</v>
      </c>
      <c r="D98" s="115">
        <f>IFERROR(IF(OR($B98="",$B98="No CAS"),INDEX('DEQ Pollutant List'!$A$7:$A$611,MATCH($C98,'DEQ Pollutant List'!$C$7:$C$611,0)),INDEX('DEQ Pollutant List'!$A$7:$A$611,MATCH($B98,'DEQ Pollutant List'!$B$7:$B$611,0))),"")</f>
        <v>620</v>
      </c>
      <c r="E98" s="101">
        <v>0</v>
      </c>
      <c r="F98" s="199">
        <v>3.1800000000000002E-2</v>
      </c>
      <c r="G98" s="200">
        <f t="shared" si="4"/>
        <v>3.1800000000000002E-2</v>
      </c>
      <c r="H98" s="83" t="s">
        <v>1376</v>
      </c>
      <c r="I98" s="104" t="s">
        <v>1381</v>
      </c>
      <c r="J98" s="199">
        <f>F98*'2. Emissions Units &amp; Activities'!H17/1000*(1-E98)</f>
        <v>29.144668200000002</v>
      </c>
      <c r="K98" s="204">
        <f t="shared" si="5"/>
        <v>29.144668200000002</v>
      </c>
      <c r="L98" s="201">
        <f>F98*'2. Emissions Units &amp; Activities'!J17/1000*(1-E98)</f>
        <v>46.759578599999998</v>
      </c>
      <c r="M98" s="199">
        <f>G98*'2. Emissions Units &amp; Activities'!K17/1000*(1-'3. Pollutant Emissions - EF'!E98)</f>
        <v>0.11209818000000001</v>
      </c>
      <c r="N98" s="204">
        <f t="shared" si="6"/>
        <v>0.11209818000000001</v>
      </c>
      <c r="O98" s="201">
        <f>G98*'2. Emissions Units &amp; Activities'!M17/1000*(1-'3. Pollutant Emissions - EF'!E98)</f>
        <v>0.12810948</v>
      </c>
    </row>
    <row r="99" spans="1:15" x14ac:dyDescent="0.35">
      <c r="A99" s="79" t="s">
        <v>1371</v>
      </c>
      <c r="B99" s="100" t="s">
        <v>1076</v>
      </c>
      <c r="C99" s="81" t="s">
        <v>1077</v>
      </c>
      <c r="D99" s="115">
        <f>IFERROR(IF(OR($B99="",$B99="No CAS"),INDEX('DEQ Pollutant List'!$A$7:$A$611,MATCH($C99,'DEQ Pollutant List'!$C$7:$C$611,0)),INDEX('DEQ Pollutant List'!$A$7:$A$611,MATCH($B99,'DEQ Pollutant List'!$B$7:$B$611,0))),"")</f>
        <v>632</v>
      </c>
      <c r="E99" s="101">
        <v>0</v>
      </c>
      <c r="F99" s="199">
        <v>2.1899999999999999E-2</v>
      </c>
      <c r="G99" s="200">
        <f t="shared" si="4"/>
        <v>2.1899999999999999E-2</v>
      </c>
      <c r="H99" s="83" t="s">
        <v>1376</v>
      </c>
      <c r="I99" s="104" t="s">
        <v>1381</v>
      </c>
      <c r="J99" s="199">
        <f>F99*'2. Emissions Units &amp; Activities'!H17/1000*(1-E99)</f>
        <v>20.071328099999999</v>
      </c>
      <c r="K99" s="204">
        <f t="shared" si="5"/>
        <v>20.071328099999999</v>
      </c>
      <c r="L99" s="201">
        <f>F99*'2. Emissions Units &amp; Activities'!J17/1000*(1-E99)</f>
        <v>32.202351299999997</v>
      </c>
      <c r="M99" s="199">
        <f>G99*'2. Emissions Units &amp; Activities'!K17/1000*(1-'3. Pollutant Emissions - EF'!E99)</f>
        <v>7.7199689999999987E-2</v>
      </c>
      <c r="N99" s="204">
        <f t="shared" si="6"/>
        <v>7.7199689999999987E-2</v>
      </c>
      <c r="O99" s="201">
        <f>G99*'2. Emissions Units &amp; Activities'!M17/1000*(1-'3. Pollutant Emissions - EF'!E99)</f>
        <v>8.8226339999999986E-2</v>
      </c>
    </row>
    <row r="100" spans="1:15" x14ac:dyDescent="0.35">
      <c r="A100" s="79" t="s">
        <v>1466</v>
      </c>
      <c r="B100" s="100" t="s">
        <v>1076</v>
      </c>
      <c r="C100" s="81" t="s">
        <v>1077</v>
      </c>
      <c r="D100" s="115"/>
      <c r="E100" s="101">
        <v>0</v>
      </c>
      <c r="F100" s="199">
        <f>0.0000003*0.50799</f>
        <v>1.5239700000000001E-7</v>
      </c>
      <c r="G100" s="200">
        <f t="shared" si="4"/>
        <v>1.5239700000000001E-7</v>
      </c>
      <c r="H100" s="83" t="s">
        <v>1397</v>
      </c>
      <c r="I100" s="104" t="s">
        <v>1490</v>
      </c>
      <c r="J100" s="199">
        <f>F100*'2. Emissions Units &amp; Activities'!H16</f>
        <v>1.33499772E-3</v>
      </c>
      <c r="K100" s="204">
        <f t="shared" si="5"/>
        <v>1.33499772E-3</v>
      </c>
      <c r="L100" s="201">
        <f>F100*'2. Emissions Units &amp; Activities'!J16</f>
        <v>1.33499772E-3</v>
      </c>
      <c r="M100" s="199">
        <f>G100*'2. Emissions Units &amp; Activities'!K16</f>
        <v>3.6575280000000001E-6</v>
      </c>
      <c r="N100" s="204">
        <f t="shared" si="6"/>
        <v>3.6575280000000001E-6</v>
      </c>
      <c r="O100" s="201">
        <f>G100*'2. Emissions Units &amp; Activities'!M16</f>
        <v>3.6575280000000001E-6</v>
      </c>
    </row>
    <row r="101" spans="1:15" x14ac:dyDescent="0.35">
      <c r="A101" s="79" t="s">
        <v>1389</v>
      </c>
      <c r="B101" s="100" t="s">
        <v>949</v>
      </c>
      <c r="C101" s="81" t="str">
        <f>IFERROR(IF(B101="No CAS","",INDEX('DEQ Pollutant List'!$C$7:$C$611,MATCH('3. Pollutant Emissions - EF'!B101,'DEQ Pollutant List'!$B$7:$B$611,0))),"")</f>
        <v>Silica, crystalline (respirable)</v>
      </c>
      <c r="D101" s="115">
        <f>IFERROR(IF(OR($B101="",$B101="No CAS"),INDEX('DEQ Pollutant List'!$A$7:$A$611,MATCH($C101,'DEQ Pollutant List'!$C$7:$C$611,0)),INDEX('DEQ Pollutant List'!$A$7:$A$611,MATCH($B101,'DEQ Pollutant List'!$B$7:$B$611,0))),"")</f>
        <v>579</v>
      </c>
      <c r="E101" s="101">
        <v>0</v>
      </c>
      <c r="F101" s="102">
        <f>0.0553*2%</f>
        <v>1.106E-3</v>
      </c>
      <c r="G101" s="103">
        <f t="shared" si="4"/>
        <v>1.106E-3</v>
      </c>
      <c r="H101" s="83" t="s">
        <v>1397</v>
      </c>
      <c r="I101" s="104" t="s">
        <v>1441</v>
      </c>
      <c r="J101" s="102">
        <f>F101*'2. Emissions Units &amp; Activities'!H18</f>
        <v>4.8442800000000004</v>
      </c>
      <c r="K101" s="105">
        <f t="shared" si="5"/>
        <v>4.8442800000000004</v>
      </c>
      <c r="L101" s="83">
        <f>F101*'2. Emissions Units &amp; Activities'!J18</f>
        <v>9.6885600000000007</v>
      </c>
      <c r="M101" s="102">
        <f>G101*'2. Emissions Units &amp; Activities'!K18</f>
        <v>1.3271999999999999E-2</v>
      </c>
      <c r="N101" s="105">
        <f>M101</f>
        <v>1.3271999999999999E-2</v>
      </c>
      <c r="O101" s="83">
        <f>G101*'2. Emissions Units &amp; Activities'!M18</f>
        <v>2.6543999999999998E-2</v>
      </c>
    </row>
    <row r="102" spans="1:15" x14ac:dyDescent="0.35">
      <c r="A102" s="79" t="s">
        <v>1389</v>
      </c>
      <c r="B102" s="100" t="s">
        <v>40</v>
      </c>
      <c r="C102" s="81" t="str">
        <f>IFERROR(IF(B102="No CAS","",INDEX('DEQ Pollutant List'!$C$7:$C$611,MATCH('3. Pollutant Emissions - EF'!B102,'DEQ Pollutant List'!$B$7:$B$611,0))),"")</f>
        <v>Aluminum and compounds</v>
      </c>
      <c r="D102" s="115">
        <f>IFERROR(IF(OR($B102="",$B102="No CAS"),INDEX('DEQ Pollutant List'!$A$7:$A$611,MATCH($C102,'DEQ Pollutant List'!$C$7:$C$611,0)),INDEX('DEQ Pollutant List'!$A$7:$A$611,MATCH($B102,'DEQ Pollutant List'!$B$7:$B$611,0))),"")</f>
        <v>13</v>
      </c>
      <c r="E102" s="101">
        <v>0</v>
      </c>
      <c r="F102" s="102">
        <f>(0.0553*6.5%)*0.265</f>
        <v>9.5254250000000008E-4</v>
      </c>
      <c r="G102" s="103">
        <f t="shared" si="4"/>
        <v>9.5254250000000008E-4</v>
      </c>
      <c r="H102" s="83" t="s">
        <v>1397</v>
      </c>
      <c r="I102" s="104" t="s">
        <v>1399</v>
      </c>
      <c r="J102" s="102">
        <f>F102*'2. Emissions Units &amp; Activities'!H18</f>
        <v>4.17213615</v>
      </c>
      <c r="K102" s="105">
        <f t="shared" si="5"/>
        <v>4.17213615</v>
      </c>
      <c r="L102" s="83">
        <f>F102*'2. Emissions Units &amp; Activities'!J18</f>
        <v>8.3442723000000001</v>
      </c>
      <c r="M102" s="102">
        <f>G102*'2. Emissions Units &amp; Activities'!K18</f>
        <v>1.1430510000000001E-2</v>
      </c>
      <c r="N102" s="105">
        <f>M102</f>
        <v>1.1430510000000001E-2</v>
      </c>
      <c r="O102" s="83">
        <f>G102*'2. Emissions Units &amp; Activities'!M18</f>
        <v>2.2861020000000003E-2</v>
      </c>
    </row>
    <row r="103" spans="1:15" x14ac:dyDescent="0.35">
      <c r="A103" s="79" t="s">
        <v>1389</v>
      </c>
      <c r="B103" s="100" t="s">
        <v>81</v>
      </c>
      <c r="C103" s="81" t="s">
        <v>82</v>
      </c>
      <c r="D103" s="115"/>
      <c r="E103" s="101">
        <v>0</v>
      </c>
      <c r="F103" s="102">
        <f>(0.0553*0.0000316)</f>
        <v>1.7474800000000003E-6</v>
      </c>
      <c r="G103" s="103">
        <f t="shared" si="4"/>
        <v>1.7474800000000003E-6</v>
      </c>
      <c r="H103" s="83" t="s">
        <v>1397</v>
      </c>
      <c r="I103" s="104" t="s">
        <v>1464</v>
      </c>
      <c r="J103" s="102">
        <f>F103*'2. Emissions Units &amp; Activities'!H18</f>
        <v>7.6539624000000013E-3</v>
      </c>
      <c r="K103" s="105">
        <f t="shared" si="5"/>
        <v>7.6539624000000013E-3</v>
      </c>
      <c r="L103" s="83">
        <f>F103*'2. Emissions Units &amp; Activities'!J18</f>
        <v>1.5307924800000003E-2</v>
      </c>
      <c r="M103" s="102">
        <f>G103*'2. Emissions Units &amp; Activities'!K18</f>
        <v>2.0969760000000004E-5</v>
      </c>
      <c r="N103" s="105">
        <f t="shared" ref="N103:N111" si="7">M103</f>
        <v>2.0969760000000004E-5</v>
      </c>
      <c r="O103" s="83">
        <f>G103*'2. Emissions Units &amp; Activities'!M18</f>
        <v>4.1939520000000009E-5</v>
      </c>
    </row>
    <row r="104" spans="1:15" x14ac:dyDescent="0.35">
      <c r="A104" s="79" t="s">
        <v>1389</v>
      </c>
      <c r="B104" s="100" t="s">
        <v>96</v>
      </c>
      <c r="C104" s="81" t="s">
        <v>97</v>
      </c>
      <c r="D104" s="115"/>
      <c r="E104" s="101">
        <v>0</v>
      </c>
      <c r="F104" s="102">
        <f>(0.0553*0.0000271)</f>
        <v>1.4986300000000001E-6</v>
      </c>
      <c r="G104" s="103">
        <f t="shared" si="4"/>
        <v>1.4986300000000001E-6</v>
      </c>
      <c r="H104" s="83" t="s">
        <v>1397</v>
      </c>
      <c r="I104" s="104" t="s">
        <v>1464</v>
      </c>
      <c r="J104" s="102">
        <f>F104*'2. Emissions Units &amp; Activities'!H18</f>
        <v>6.5639994000000002E-3</v>
      </c>
      <c r="K104" s="105">
        <f t="shared" si="5"/>
        <v>6.5639994000000002E-3</v>
      </c>
      <c r="L104" s="83">
        <f>F104*'2. Emissions Units &amp; Activities'!J18</f>
        <v>1.31279988E-2</v>
      </c>
      <c r="M104" s="102">
        <f>G104*'2. Emissions Units &amp; Activities'!K18</f>
        <v>1.7983560000000002E-5</v>
      </c>
      <c r="N104" s="105">
        <f t="shared" si="7"/>
        <v>1.7983560000000002E-5</v>
      </c>
      <c r="O104" s="83">
        <f>G104*'2. Emissions Units &amp; Activities'!M18</f>
        <v>3.5967120000000005E-5</v>
      </c>
    </row>
    <row r="105" spans="1:15" x14ac:dyDescent="0.35">
      <c r="A105" s="79" t="s">
        <v>1389</v>
      </c>
      <c r="B105" s="100" t="s">
        <v>154</v>
      </c>
      <c r="C105" s="81" t="s">
        <v>155</v>
      </c>
      <c r="D105" s="115"/>
      <c r="E105" s="101">
        <v>0</v>
      </c>
      <c r="F105" s="102">
        <f>(0.0553*0.00000007)</f>
        <v>3.8710000000000004E-9</v>
      </c>
      <c r="G105" s="103">
        <f t="shared" si="4"/>
        <v>3.8710000000000004E-9</v>
      </c>
      <c r="H105" s="83" t="s">
        <v>1397</v>
      </c>
      <c r="I105" s="104" t="s">
        <v>1464</v>
      </c>
      <c r="J105" s="102">
        <f>F105*'2. Emissions Units &amp; Activities'!H18</f>
        <v>1.6954980000000001E-5</v>
      </c>
      <c r="K105" s="105">
        <f t="shared" si="5"/>
        <v>1.6954980000000001E-5</v>
      </c>
      <c r="L105" s="83">
        <f>F105*'2. Emissions Units &amp; Activities'!J18</f>
        <v>3.3909960000000003E-5</v>
      </c>
      <c r="M105" s="102">
        <f>G105*'2. Emissions Units &amp; Activities'!K18</f>
        <v>4.6452000000000005E-8</v>
      </c>
      <c r="N105" s="105">
        <f t="shared" si="7"/>
        <v>4.6452000000000005E-8</v>
      </c>
      <c r="O105" s="83">
        <f>G105*'2. Emissions Units &amp; Activities'!M18</f>
        <v>9.2904000000000009E-8</v>
      </c>
    </row>
    <row r="106" spans="1:15" x14ac:dyDescent="0.35">
      <c r="A106" s="79" t="s">
        <v>1389</v>
      </c>
      <c r="B106" s="100" t="s">
        <v>512</v>
      </c>
      <c r="C106" s="81" t="s">
        <v>513</v>
      </c>
      <c r="D106" s="115"/>
      <c r="E106" s="101">
        <v>0</v>
      </c>
      <c r="F106" s="102">
        <f>(0.0553*0.000001)</f>
        <v>5.5299999999999999E-8</v>
      </c>
      <c r="G106" s="103">
        <f t="shared" si="4"/>
        <v>5.5299999999999999E-8</v>
      </c>
      <c r="H106" s="83" t="s">
        <v>1397</v>
      </c>
      <c r="I106" s="104" t="s">
        <v>1464</v>
      </c>
      <c r="J106" s="102">
        <f>F106*'2. Emissions Units &amp; Activities'!H18</f>
        <v>2.4221399999999998E-4</v>
      </c>
      <c r="K106" s="105">
        <f t="shared" si="5"/>
        <v>2.4221399999999998E-4</v>
      </c>
      <c r="L106" s="83">
        <f>F106*'2. Emissions Units &amp; Activities'!J18</f>
        <v>4.8442799999999996E-4</v>
      </c>
      <c r="M106" s="102">
        <f>G106*'2. Emissions Units &amp; Activities'!K18</f>
        <v>6.6359999999999999E-7</v>
      </c>
      <c r="N106" s="105">
        <f t="shared" si="7"/>
        <v>6.6359999999999999E-7</v>
      </c>
      <c r="O106" s="83">
        <f>G106*'2. Emissions Units &amp; Activities'!M18</f>
        <v>1.3272E-6</v>
      </c>
    </row>
    <row r="107" spans="1:15" x14ac:dyDescent="0.35">
      <c r="A107" s="79" t="s">
        <v>1389</v>
      </c>
      <c r="B107" s="100" t="s">
        <v>518</v>
      </c>
      <c r="C107" s="81" t="s">
        <v>519</v>
      </c>
      <c r="D107" s="115"/>
      <c r="E107" s="101">
        <v>0</v>
      </c>
      <c r="F107" s="102">
        <f>(0.0553*0.0000851)</f>
        <v>4.7060299999999999E-6</v>
      </c>
      <c r="G107" s="103">
        <f t="shared" si="4"/>
        <v>4.7060299999999999E-6</v>
      </c>
      <c r="H107" s="83" t="s">
        <v>1397</v>
      </c>
      <c r="I107" s="104" t="s">
        <v>1464</v>
      </c>
      <c r="J107" s="102">
        <f>F107*'2. Emissions Units &amp; Activities'!H18</f>
        <v>2.0612411399999999E-2</v>
      </c>
      <c r="K107" s="105">
        <f t="shared" si="5"/>
        <v>2.0612411399999999E-2</v>
      </c>
      <c r="L107" s="83">
        <f>F107*'2. Emissions Units &amp; Activities'!J18</f>
        <v>4.1224822799999998E-2</v>
      </c>
      <c r="M107" s="102">
        <f>G107*'2. Emissions Units &amp; Activities'!K18</f>
        <v>5.6472359999999995E-5</v>
      </c>
      <c r="N107" s="105">
        <f t="shared" si="7"/>
        <v>5.6472359999999995E-5</v>
      </c>
      <c r="O107" s="83">
        <f>G107*'2. Emissions Units &amp; Activities'!M18</f>
        <v>1.1294471999999999E-4</v>
      </c>
    </row>
    <row r="108" spans="1:15" x14ac:dyDescent="0.35">
      <c r="A108" s="79" t="s">
        <v>1389</v>
      </c>
      <c r="B108" s="100" t="s">
        <v>524</v>
      </c>
      <c r="C108" s="81" t="s">
        <v>525</v>
      </c>
      <c r="D108" s="115"/>
      <c r="E108" s="101">
        <v>0</v>
      </c>
      <c r="F108" s="102">
        <f>(0.0553*0.0000000057)</f>
        <v>3.1520999999999999E-10</v>
      </c>
      <c r="G108" s="103">
        <f t="shared" si="4"/>
        <v>3.1520999999999999E-10</v>
      </c>
      <c r="H108" s="83" t="s">
        <v>1397</v>
      </c>
      <c r="I108" s="104" t="s">
        <v>1464</v>
      </c>
      <c r="J108" s="102">
        <f>F108*'2. Emissions Units &amp; Activities'!H18</f>
        <v>1.3806198E-6</v>
      </c>
      <c r="K108" s="105">
        <f t="shared" si="5"/>
        <v>1.3806198E-6</v>
      </c>
      <c r="L108" s="83">
        <f>F108*'2. Emissions Units &amp; Activities'!J18</f>
        <v>2.7612396E-6</v>
      </c>
      <c r="M108" s="102">
        <f>G108*'2. Emissions Units &amp; Activities'!K18</f>
        <v>3.7825199999999999E-9</v>
      </c>
      <c r="N108" s="105">
        <f t="shared" si="7"/>
        <v>3.7825199999999999E-9</v>
      </c>
      <c r="O108" s="83">
        <f>G108*'2. Emissions Units &amp; Activities'!M18</f>
        <v>7.5650399999999998E-9</v>
      </c>
    </row>
    <row r="109" spans="1:15" x14ac:dyDescent="0.35">
      <c r="A109" s="79" t="s">
        <v>1389</v>
      </c>
      <c r="B109" s="100" t="s">
        <v>583</v>
      </c>
      <c r="C109" s="81" t="s">
        <v>584</v>
      </c>
      <c r="D109" s="115"/>
      <c r="E109" s="101">
        <v>0</v>
      </c>
      <c r="F109" s="102">
        <f>(0.0553*0.0000002)</f>
        <v>1.1059999999999999E-8</v>
      </c>
      <c r="G109" s="103">
        <f t="shared" si="4"/>
        <v>1.1059999999999999E-8</v>
      </c>
      <c r="H109" s="83" t="s">
        <v>1397</v>
      </c>
      <c r="I109" s="104" t="s">
        <v>1464</v>
      </c>
      <c r="J109" s="102">
        <f>F109*'2. Emissions Units &amp; Activities'!H18</f>
        <v>4.8442799999999996E-5</v>
      </c>
      <c r="K109" s="105">
        <f t="shared" si="5"/>
        <v>4.8442799999999996E-5</v>
      </c>
      <c r="L109" s="83">
        <f>F109*'2. Emissions Units &amp; Activities'!J18</f>
        <v>9.6885599999999993E-5</v>
      </c>
      <c r="M109" s="102">
        <f>G109*'2. Emissions Units &amp; Activities'!K18</f>
        <v>1.3271999999999999E-7</v>
      </c>
      <c r="N109" s="105">
        <f t="shared" si="7"/>
        <v>1.3271999999999999E-7</v>
      </c>
      <c r="O109" s="83">
        <f>G109*'2. Emissions Units &amp; Activities'!M18</f>
        <v>2.6543999999999997E-7</v>
      </c>
    </row>
    <row r="110" spans="1:15" x14ac:dyDescent="0.35">
      <c r="A110" s="79" t="s">
        <v>1389</v>
      </c>
      <c r="B110" s="100" t="s">
        <v>945</v>
      </c>
      <c r="C110" s="81" t="s">
        <v>946</v>
      </c>
      <c r="D110" s="115"/>
      <c r="E110" s="101">
        <v>0</v>
      </c>
      <c r="F110" s="102">
        <f>(0.0553*0.000007)</f>
        <v>3.8710000000000002E-7</v>
      </c>
      <c r="G110" s="103">
        <f t="shared" si="4"/>
        <v>3.8710000000000002E-7</v>
      </c>
      <c r="H110" s="83" t="s">
        <v>1397</v>
      </c>
      <c r="I110" s="104" t="s">
        <v>1464</v>
      </c>
      <c r="J110" s="102">
        <f>F110*'2. Emissions Units &amp; Activities'!H18</f>
        <v>1.6954980000000001E-3</v>
      </c>
      <c r="K110" s="105">
        <f t="shared" si="5"/>
        <v>1.6954980000000001E-3</v>
      </c>
      <c r="L110" s="83">
        <f>F110*'2. Emissions Units &amp; Activities'!J18</f>
        <v>3.3909960000000003E-3</v>
      </c>
      <c r="M110" s="102">
        <f>G110*'2. Emissions Units &amp; Activities'!K18</f>
        <v>4.6452E-6</v>
      </c>
      <c r="N110" s="105">
        <f t="shared" si="7"/>
        <v>4.6452E-6</v>
      </c>
      <c r="O110" s="83">
        <f>G110*'2. Emissions Units &amp; Activities'!M18</f>
        <v>9.2904E-6</v>
      </c>
    </row>
    <row r="111" spans="1:15" x14ac:dyDescent="0.35">
      <c r="A111" s="79" t="s">
        <v>1389</v>
      </c>
      <c r="B111" s="100" t="s">
        <v>1076</v>
      </c>
      <c r="C111" s="81" t="s">
        <v>1077</v>
      </c>
      <c r="D111" s="115"/>
      <c r="E111" s="101">
        <v>0</v>
      </c>
      <c r="F111" s="102">
        <f>(0.0553*0.0000003)</f>
        <v>1.6589999999999998E-8</v>
      </c>
      <c r="G111" s="103">
        <f t="shared" si="4"/>
        <v>1.6589999999999998E-8</v>
      </c>
      <c r="H111" s="83" t="s">
        <v>1397</v>
      </c>
      <c r="I111" s="104" t="s">
        <v>1464</v>
      </c>
      <c r="J111" s="102">
        <f>F111*'2. Emissions Units &amp; Activities'!H18</f>
        <v>7.2664199999999995E-5</v>
      </c>
      <c r="K111" s="105">
        <f t="shared" si="5"/>
        <v>7.2664199999999995E-5</v>
      </c>
      <c r="L111" s="83">
        <f>F111*'2. Emissions Units &amp; Activities'!J18</f>
        <v>1.4532839999999999E-4</v>
      </c>
      <c r="M111" s="102">
        <f>G111*'2. Emissions Units &amp; Activities'!K18</f>
        <v>1.9907999999999998E-7</v>
      </c>
      <c r="N111" s="105">
        <f t="shared" si="7"/>
        <v>1.9907999999999998E-7</v>
      </c>
      <c r="O111" s="83">
        <f>G111*'2. Emissions Units &amp; Activities'!M18</f>
        <v>3.9815999999999996E-7</v>
      </c>
    </row>
    <row r="112" spans="1:15" x14ac:dyDescent="0.35">
      <c r="A112" s="79" t="s">
        <v>1400</v>
      </c>
      <c r="B112" s="100" t="s">
        <v>949</v>
      </c>
      <c r="C112" s="81" t="str">
        <f>IFERROR(IF(B112="No CAS","",INDEX('DEQ Pollutant List'!$C$7:$C$611,MATCH('3. Pollutant Emissions - EF'!B112,'DEQ Pollutant List'!$B$7:$B$611,0))),"")</f>
        <v>Silica, crystalline (respirable)</v>
      </c>
      <c r="D112" s="115">
        <f>IFERROR(IF(OR($B112="",$B112="No CAS"),INDEX('DEQ Pollutant List'!$A$7:$A$611,MATCH($C112,'DEQ Pollutant List'!$C$7:$C$611,0)),INDEX('DEQ Pollutant List'!$A$7:$A$611,MATCH($B112,'DEQ Pollutant List'!$B$7:$B$611,0))),"")</f>
        <v>579</v>
      </c>
      <c r="E112" s="101">
        <v>0</v>
      </c>
      <c r="F112" s="102">
        <f>0.0553*2%</f>
        <v>1.106E-3</v>
      </c>
      <c r="G112" s="103">
        <f t="shared" ref="G112:G146" si="8">F112</f>
        <v>1.106E-3</v>
      </c>
      <c r="H112" s="83" t="s">
        <v>1397</v>
      </c>
      <c r="I112" s="104" t="s">
        <v>1398</v>
      </c>
      <c r="J112" s="102">
        <f>F112*'2. Emissions Units &amp; Activities'!H19</f>
        <v>4.8442800000000004</v>
      </c>
      <c r="K112" s="105">
        <f t="shared" si="5"/>
        <v>4.8442800000000004</v>
      </c>
      <c r="L112" s="83">
        <f>F112*'2. Emissions Units &amp; Activities'!J19</f>
        <v>9.6885600000000007</v>
      </c>
      <c r="M112" s="102">
        <f>G112*'2. Emissions Units &amp; Activities'!K19</f>
        <v>1.3271999999999999E-2</v>
      </c>
      <c r="N112" s="105">
        <f t="shared" ref="N112:N268" si="9">M112</f>
        <v>1.3271999999999999E-2</v>
      </c>
      <c r="O112" s="83">
        <f>G112*'2. Emissions Units &amp; Activities'!M19</f>
        <v>2.6543999999999998E-2</v>
      </c>
    </row>
    <row r="113" spans="1:15" x14ac:dyDescent="0.35">
      <c r="A113" s="79" t="s">
        <v>1400</v>
      </c>
      <c r="B113" s="100" t="s">
        <v>40</v>
      </c>
      <c r="C113" s="81" t="str">
        <f>IFERROR(IF(B113="No CAS","",INDEX('DEQ Pollutant List'!$C$7:$C$611,MATCH('3. Pollutant Emissions - EF'!B113,'DEQ Pollutant List'!$B$7:$B$611,0))),"")</f>
        <v>Aluminum and compounds</v>
      </c>
      <c r="D113" s="115">
        <f>IFERROR(IF(OR($B113="",$B113="No CAS"),INDEX('DEQ Pollutant List'!$A$7:$A$611,MATCH($C113,'DEQ Pollutant List'!$C$7:$C$611,0)),INDEX('DEQ Pollutant List'!$A$7:$A$611,MATCH($B113,'DEQ Pollutant List'!$B$7:$B$611,0))),"")</f>
        <v>13</v>
      </c>
      <c r="E113" s="101">
        <v>0</v>
      </c>
      <c r="F113" s="102">
        <f>(0.0553*6.5%)*0.265</f>
        <v>9.5254250000000008E-4</v>
      </c>
      <c r="G113" s="103">
        <f t="shared" si="8"/>
        <v>9.5254250000000008E-4</v>
      </c>
      <c r="H113" s="83" t="s">
        <v>1397</v>
      </c>
      <c r="I113" s="104" t="s">
        <v>1399</v>
      </c>
      <c r="J113" s="102">
        <f>F113*'2. Emissions Units &amp; Activities'!H19</f>
        <v>4.17213615</v>
      </c>
      <c r="K113" s="105">
        <f t="shared" si="5"/>
        <v>4.17213615</v>
      </c>
      <c r="L113" s="83">
        <f>F113*'2. Emissions Units &amp; Activities'!J19</f>
        <v>8.3442723000000001</v>
      </c>
      <c r="M113" s="102">
        <f>G113*'2. Emissions Units &amp; Activities'!K19</f>
        <v>1.1430510000000001E-2</v>
      </c>
      <c r="N113" s="105">
        <f t="shared" si="9"/>
        <v>1.1430510000000001E-2</v>
      </c>
      <c r="O113" s="83">
        <f>G113*'2. Emissions Units &amp; Activities'!M19</f>
        <v>2.2861020000000003E-2</v>
      </c>
    </row>
    <row r="114" spans="1:15" x14ac:dyDescent="0.35">
      <c r="A114" s="79" t="s">
        <v>1400</v>
      </c>
      <c r="B114" s="100" t="s">
        <v>81</v>
      </c>
      <c r="C114" s="81" t="s">
        <v>82</v>
      </c>
      <c r="D114" s="115"/>
      <c r="E114" s="101">
        <v>0</v>
      </c>
      <c r="F114" s="102">
        <f>(0.0553*0.0000316)</f>
        <v>1.7474800000000003E-6</v>
      </c>
      <c r="G114" s="103">
        <f t="shared" si="8"/>
        <v>1.7474800000000003E-6</v>
      </c>
      <c r="H114" s="83" t="s">
        <v>1397</v>
      </c>
      <c r="I114" s="104" t="s">
        <v>1464</v>
      </c>
      <c r="J114" s="102">
        <f>F114*'2. Emissions Units &amp; Activities'!H19</f>
        <v>7.6539624000000013E-3</v>
      </c>
      <c r="K114" s="105">
        <f t="shared" si="5"/>
        <v>7.6539624000000013E-3</v>
      </c>
      <c r="L114" s="83">
        <f>F114*'2. Emissions Units &amp; Activities'!J19</f>
        <v>1.5307924800000003E-2</v>
      </c>
      <c r="M114" s="102">
        <f>G114*'2. Emissions Units &amp; Activities'!K19</f>
        <v>2.0969760000000004E-5</v>
      </c>
      <c r="N114" s="105">
        <f t="shared" si="9"/>
        <v>2.0969760000000004E-5</v>
      </c>
      <c r="O114" s="83">
        <f>G114*'2. Emissions Units &amp; Activities'!M19</f>
        <v>4.1939520000000009E-5</v>
      </c>
    </row>
    <row r="115" spans="1:15" x14ac:dyDescent="0.35">
      <c r="A115" s="79" t="s">
        <v>1400</v>
      </c>
      <c r="B115" s="100" t="s">
        <v>96</v>
      </c>
      <c r="C115" s="81" t="s">
        <v>97</v>
      </c>
      <c r="D115" s="115"/>
      <c r="E115" s="101">
        <v>0</v>
      </c>
      <c r="F115" s="102">
        <f>(0.0553*0.0000271)</f>
        <v>1.4986300000000001E-6</v>
      </c>
      <c r="G115" s="103">
        <f t="shared" si="8"/>
        <v>1.4986300000000001E-6</v>
      </c>
      <c r="H115" s="83" t="s">
        <v>1397</v>
      </c>
      <c r="I115" s="104" t="s">
        <v>1464</v>
      </c>
      <c r="J115" s="102">
        <f>F115*'2. Emissions Units &amp; Activities'!H19</f>
        <v>6.5639994000000002E-3</v>
      </c>
      <c r="K115" s="105">
        <f t="shared" si="5"/>
        <v>6.5639994000000002E-3</v>
      </c>
      <c r="L115" s="83">
        <f>F115*'2. Emissions Units &amp; Activities'!J19</f>
        <v>1.31279988E-2</v>
      </c>
      <c r="M115" s="102">
        <f>G115*'2. Emissions Units &amp; Activities'!K19</f>
        <v>1.7983560000000002E-5</v>
      </c>
      <c r="N115" s="105">
        <f t="shared" si="9"/>
        <v>1.7983560000000002E-5</v>
      </c>
      <c r="O115" s="83">
        <f>G115*'2. Emissions Units &amp; Activities'!M19</f>
        <v>3.5967120000000005E-5</v>
      </c>
    </row>
    <row r="116" spans="1:15" x14ac:dyDescent="0.35">
      <c r="A116" s="79" t="s">
        <v>1400</v>
      </c>
      <c r="B116" s="100" t="s">
        <v>154</v>
      </c>
      <c r="C116" s="81" t="s">
        <v>155</v>
      </c>
      <c r="D116" s="115"/>
      <c r="E116" s="101">
        <v>0</v>
      </c>
      <c r="F116" s="102">
        <f>(0.0553*0.00000007)</f>
        <v>3.8710000000000004E-9</v>
      </c>
      <c r="G116" s="103">
        <f t="shared" si="8"/>
        <v>3.8710000000000004E-9</v>
      </c>
      <c r="H116" s="83" t="s">
        <v>1397</v>
      </c>
      <c r="I116" s="104" t="s">
        <v>1464</v>
      </c>
      <c r="J116" s="102">
        <f>F116*'2. Emissions Units &amp; Activities'!H19</f>
        <v>1.6954980000000001E-5</v>
      </c>
      <c r="K116" s="105">
        <f t="shared" si="5"/>
        <v>1.6954980000000001E-5</v>
      </c>
      <c r="L116" s="83">
        <f>F116*'2. Emissions Units &amp; Activities'!J19</f>
        <v>3.3909960000000003E-5</v>
      </c>
      <c r="M116" s="102">
        <f>G116*'2. Emissions Units &amp; Activities'!K19</f>
        <v>4.6452000000000005E-8</v>
      </c>
      <c r="N116" s="105">
        <f t="shared" si="9"/>
        <v>4.6452000000000005E-8</v>
      </c>
      <c r="O116" s="83">
        <f>G116*'2. Emissions Units &amp; Activities'!M19</f>
        <v>9.2904000000000009E-8</v>
      </c>
    </row>
    <row r="117" spans="1:15" x14ac:dyDescent="0.35">
      <c r="A117" s="79" t="s">
        <v>1400</v>
      </c>
      <c r="B117" s="100" t="s">
        <v>512</v>
      </c>
      <c r="C117" s="81" t="s">
        <v>513</v>
      </c>
      <c r="D117" s="115"/>
      <c r="E117" s="101">
        <v>0</v>
      </c>
      <c r="F117" s="102">
        <f>(0.0553*0.000001)</f>
        <v>5.5299999999999999E-8</v>
      </c>
      <c r="G117" s="103">
        <f t="shared" si="8"/>
        <v>5.5299999999999999E-8</v>
      </c>
      <c r="H117" s="83" t="s">
        <v>1397</v>
      </c>
      <c r="I117" s="104" t="s">
        <v>1464</v>
      </c>
      <c r="J117" s="102">
        <f>F117*'2. Emissions Units &amp; Activities'!H19</f>
        <v>2.4221399999999998E-4</v>
      </c>
      <c r="K117" s="105">
        <f t="shared" si="5"/>
        <v>2.4221399999999998E-4</v>
      </c>
      <c r="L117" s="83">
        <f>F117*'2. Emissions Units &amp; Activities'!J19</f>
        <v>4.8442799999999996E-4</v>
      </c>
      <c r="M117" s="102">
        <f>G117*'2. Emissions Units &amp; Activities'!K19</f>
        <v>6.6359999999999999E-7</v>
      </c>
      <c r="N117" s="105">
        <f t="shared" si="9"/>
        <v>6.6359999999999999E-7</v>
      </c>
      <c r="O117" s="83">
        <f>G117*'2. Emissions Units &amp; Activities'!M19</f>
        <v>1.3272E-6</v>
      </c>
    </row>
    <row r="118" spans="1:15" x14ac:dyDescent="0.35">
      <c r="A118" s="79" t="s">
        <v>1400</v>
      </c>
      <c r="B118" s="100" t="s">
        <v>518</v>
      </c>
      <c r="C118" s="81" t="s">
        <v>519</v>
      </c>
      <c r="D118" s="115"/>
      <c r="E118" s="101">
        <v>0</v>
      </c>
      <c r="F118" s="102">
        <f>(0.0553*0.0000851)</f>
        <v>4.7060299999999999E-6</v>
      </c>
      <c r="G118" s="103">
        <f t="shared" si="8"/>
        <v>4.7060299999999999E-6</v>
      </c>
      <c r="H118" s="83" t="s">
        <v>1397</v>
      </c>
      <c r="I118" s="104" t="s">
        <v>1464</v>
      </c>
      <c r="J118" s="102">
        <f>F118*'2. Emissions Units &amp; Activities'!H19</f>
        <v>2.0612411399999999E-2</v>
      </c>
      <c r="K118" s="105">
        <f t="shared" si="5"/>
        <v>2.0612411399999999E-2</v>
      </c>
      <c r="L118" s="83">
        <f>F118*'2. Emissions Units &amp; Activities'!J19</f>
        <v>4.1224822799999998E-2</v>
      </c>
      <c r="M118" s="102">
        <f>G118*'2. Emissions Units &amp; Activities'!K19</f>
        <v>5.6472359999999995E-5</v>
      </c>
      <c r="N118" s="105">
        <f t="shared" si="9"/>
        <v>5.6472359999999995E-5</v>
      </c>
      <c r="O118" s="83">
        <f>G118*'2. Emissions Units &amp; Activities'!M19</f>
        <v>1.1294471999999999E-4</v>
      </c>
    </row>
    <row r="119" spans="1:15" x14ac:dyDescent="0.35">
      <c r="A119" s="79" t="s">
        <v>1400</v>
      </c>
      <c r="B119" s="100" t="s">
        <v>524</v>
      </c>
      <c r="C119" s="81" t="s">
        <v>525</v>
      </c>
      <c r="D119" s="115"/>
      <c r="E119" s="101">
        <v>0</v>
      </c>
      <c r="F119" s="102">
        <f>(0.0553*0.0000000057)</f>
        <v>3.1520999999999999E-10</v>
      </c>
      <c r="G119" s="103">
        <f t="shared" si="8"/>
        <v>3.1520999999999999E-10</v>
      </c>
      <c r="H119" s="83" t="s">
        <v>1397</v>
      </c>
      <c r="I119" s="104" t="s">
        <v>1464</v>
      </c>
      <c r="J119" s="102">
        <f>F119*'2. Emissions Units &amp; Activities'!H19</f>
        <v>1.3806198E-6</v>
      </c>
      <c r="K119" s="105">
        <f t="shared" si="5"/>
        <v>1.3806198E-6</v>
      </c>
      <c r="L119" s="83">
        <f>F119*'2. Emissions Units &amp; Activities'!J19</f>
        <v>2.7612396E-6</v>
      </c>
      <c r="M119" s="102">
        <f>G119*'2. Emissions Units &amp; Activities'!K19</f>
        <v>3.7825199999999999E-9</v>
      </c>
      <c r="N119" s="105">
        <f t="shared" si="9"/>
        <v>3.7825199999999999E-9</v>
      </c>
      <c r="O119" s="83">
        <f>G119*'2. Emissions Units &amp; Activities'!M19</f>
        <v>7.5650399999999998E-9</v>
      </c>
    </row>
    <row r="120" spans="1:15" x14ac:dyDescent="0.35">
      <c r="A120" s="79" t="s">
        <v>1400</v>
      </c>
      <c r="B120" s="100" t="s">
        <v>583</v>
      </c>
      <c r="C120" s="81" t="s">
        <v>584</v>
      </c>
      <c r="D120" s="115"/>
      <c r="E120" s="101">
        <v>0</v>
      </c>
      <c r="F120" s="102">
        <f>(0.0553*0.0000002)</f>
        <v>1.1059999999999999E-8</v>
      </c>
      <c r="G120" s="103">
        <f t="shared" si="8"/>
        <v>1.1059999999999999E-8</v>
      </c>
      <c r="H120" s="83" t="s">
        <v>1397</v>
      </c>
      <c r="I120" s="104" t="s">
        <v>1464</v>
      </c>
      <c r="J120" s="102">
        <f>F120*'2. Emissions Units &amp; Activities'!H19</f>
        <v>4.8442799999999996E-5</v>
      </c>
      <c r="K120" s="105">
        <f t="shared" si="5"/>
        <v>4.8442799999999996E-5</v>
      </c>
      <c r="L120" s="83">
        <f>F120*'2. Emissions Units &amp; Activities'!J19</f>
        <v>9.6885599999999993E-5</v>
      </c>
      <c r="M120" s="102">
        <f>G120*'2. Emissions Units &amp; Activities'!K19</f>
        <v>1.3271999999999999E-7</v>
      </c>
      <c r="N120" s="105">
        <f t="shared" si="9"/>
        <v>1.3271999999999999E-7</v>
      </c>
      <c r="O120" s="83">
        <f>G120*'2. Emissions Units &amp; Activities'!M19</f>
        <v>2.6543999999999997E-7</v>
      </c>
    </row>
    <row r="121" spans="1:15" x14ac:dyDescent="0.35">
      <c r="A121" s="79" t="s">
        <v>1400</v>
      </c>
      <c r="B121" s="100" t="s">
        <v>945</v>
      </c>
      <c r="C121" s="81" t="s">
        <v>946</v>
      </c>
      <c r="D121" s="115"/>
      <c r="E121" s="101">
        <v>0</v>
      </c>
      <c r="F121" s="102">
        <f>(0.0553*0.000007)</f>
        <v>3.8710000000000002E-7</v>
      </c>
      <c r="G121" s="103">
        <f t="shared" si="8"/>
        <v>3.8710000000000002E-7</v>
      </c>
      <c r="H121" s="83" t="s">
        <v>1397</v>
      </c>
      <c r="I121" s="104" t="s">
        <v>1464</v>
      </c>
      <c r="J121" s="102">
        <f>F121*'2. Emissions Units &amp; Activities'!H19</f>
        <v>1.6954980000000001E-3</v>
      </c>
      <c r="K121" s="105">
        <f t="shared" si="5"/>
        <v>1.6954980000000001E-3</v>
      </c>
      <c r="L121" s="83">
        <f>F121*'2. Emissions Units &amp; Activities'!J19</f>
        <v>3.3909960000000003E-3</v>
      </c>
      <c r="M121" s="102">
        <f>G121*'2. Emissions Units &amp; Activities'!K19</f>
        <v>4.6452E-6</v>
      </c>
      <c r="N121" s="105">
        <f t="shared" si="9"/>
        <v>4.6452E-6</v>
      </c>
      <c r="O121" s="83">
        <f>G121*'2. Emissions Units &amp; Activities'!M19</f>
        <v>9.2904E-6</v>
      </c>
    </row>
    <row r="122" spans="1:15" x14ac:dyDescent="0.35">
      <c r="A122" s="79" t="s">
        <v>1400</v>
      </c>
      <c r="B122" s="100" t="s">
        <v>1076</v>
      </c>
      <c r="C122" s="81" t="s">
        <v>1077</v>
      </c>
      <c r="D122" s="115"/>
      <c r="E122" s="101">
        <v>0</v>
      </c>
      <c r="F122" s="102">
        <f>(0.0553*0.0000003)</f>
        <v>1.6589999999999998E-8</v>
      </c>
      <c r="G122" s="103">
        <f t="shared" si="8"/>
        <v>1.6589999999999998E-8</v>
      </c>
      <c r="H122" s="83" t="s">
        <v>1397</v>
      </c>
      <c r="I122" s="104" t="s">
        <v>1464</v>
      </c>
      <c r="J122" s="102">
        <f>F122*'2. Emissions Units &amp; Activities'!H19</f>
        <v>7.2664199999999995E-5</v>
      </c>
      <c r="K122" s="105">
        <f t="shared" si="5"/>
        <v>7.2664199999999995E-5</v>
      </c>
      <c r="L122" s="83">
        <f>F122*'2. Emissions Units &amp; Activities'!J19</f>
        <v>1.4532839999999999E-4</v>
      </c>
      <c r="M122" s="102">
        <f>G122*'2. Emissions Units &amp; Activities'!K19</f>
        <v>1.9907999999999998E-7</v>
      </c>
      <c r="N122" s="105">
        <f t="shared" si="9"/>
        <v>1.9907999999999998E-7</v>
      </c>
      <c r="O122" s="83">
        <f>G122*'2. Emissions Units &amp; Activities'!M19</f>
        <v>3.9815999999999996E-7</v>
      </c>
    </row>
    <row r="123" spans="1:15" x14ac:dyDescent="0.35">
      <c r="A123" s="79" t="s">
        <v>1401</v>
      </c>
      <c r="B123" s="100" t="s">
        <v>949</v>
      </c>
      <c r="C123" s="81" t="str">
        <f>IFERROR(IF(B123="No CAS","",INDEX('DEQ Pollutant List'!$C$7:$C$611,MATCH('3. Pollutant Emissions - EF'!B123,'DEQ Pollutant List'!$B$7:$B$611,0))),"")</f>
        <v>Silica, crystalline (respirable)</v>
      </c>
      <c r="D123" s="115">
        <f>IFERROR(IF(OR($B123="",$B123="No CAS"),INDEX('DEQ Pollutant List'!$A$7:$A$611,MATCH($C123,'DEQ Pollutant List'!$C$7:$C$611,0)),INDEX('DEQ Pollutant List'!$A$7:$A$611,MATCH($B123,'DEQ Pollutant List'!$B$7:$B$611,0))),"")</f>
        <v>579</v>
      </c>
      <c r="E123" s="101">
        <v>0</v>
      </c>
      <c r="F123" s="102">
        <f>0.0298*1.5%</f>
        <v>4.4699999999999997E-4</v>
      </c>
      <c r="G123" s="103">
        <f t="shared" si="8"/>
        <v>4.4699999999999997E-4</v>
      </c>
      <c r="H123" s="83" t="s">
        <v>1397</v>
      </c>
      <c r="I123" s="104" t="s">
        <v>1407</v>
      </c>
      <c r="J123" s="102">
        <f>F123*'2. Emissions Units &amp; Activities'!H20</f>
        <v>1.9578599999999999</v>
      </c>
      <c r="K123" s="105">
        <f t="shared" si="5"/>
        <v>1.9578599999999999</v>
      </c>
      <c r="L123" s="83">
        <f>F123*'2. Emissions Units &amp; Activities'!J20</f>
        <v>3.9157199999999999</v>
      </c>
      <c r="M123" s="102">
        <f>G123*'2. Emissions Units &amp; Activities'!K20</f>
        <v>5.3639999999999998E-3</v>
      </c>
      <c r="N123" s="105">
        <f t="shared" si="9"/>
        <v>5.3639999999999998E-3</v>
      </c>
      <c r="O123" s="83">
        <f>G123*'2. Emissions Units &amp; Activities'!M20</f>
        <v>1.0728E-2</v>
      </c>
    </row>
    <row r="124" spans="1:15" x14ac:dyDescent="0.35">
      <c r="A124" s="79" t="s">
        <v>1402</v>
      </c>
      <c r="B124" s="100" t="s">
        <v>949</v>
      </c>
      <c r="C124" s="81" t="str">
        <f>IFERROR(IF(B124="No CAS","",INDEX('DEQ Pollutant List'!$C$7:$C$611,MATCH('3. Pollutant Emissions - EF'!B124,'DEQ Pollutant List'!$B$7:$B$611,0))),"")</f>
        <v>Silica, crystalline (respirable)</v>
      </c>
      <c r="D124" s="115">
        <f>IFERROR(IF(OR($B124="",$B124="No CAS"),INDEX('DEQ Pollutant List'!$A$7:$A$611,MATCH($C124,'DEQ Pollutant List'!$C$7:$C$611,0)),INDEX('DEQ Pollutant List'!$A$7:$A$611,MATCH($B124,'DEQ Pollutant List'!$B$7:$B$611,0))),"")</f>
        <v>579</v>
      </c>
      <c r="E124" s="101">
        <v>0</v>
      </c>
      <c r="F124" s="102">
        <f>0.0298*1.5%</f>
        <v>4.4699999999999997E-4</v>
      </c>
      <c r="G124" s="103">
        <f t="shared" si="8"/>
        <v>4.4699999999999997E-4</v>
      </c>
      <c r="H124" s="83" t="s">
        <v>1397</v>
      </c>
      <c r="I124" s="104" t="s">
        <v>1407</v>
      </c>
      <c r="J124" s="102">
        <f>F124*'2. Emissions Units &amp; Activities'!H21</f>
        <v>1.9578599999999999</v>
      </c>
      <c r="K124" s="105">
        <f t="shared" si="5"/>
        <v>1.9578599999999999</v>
      </c>
      <c r="L124" s="83">
        <f>F124*'2. Emissions Units &amp; Activities'!J21</f>
        <v>3.9157199999999999</v>
      </c>
      <c r="M124" s="102">
        <f>G124*'2. Emissions Units &amp; Activities'!K21</f>
        <v>5.3639999999999998E-3</v>
      </c>
      <c r="N124" s="105">
        <f t="shared" si="9"/>
        <v>5.3639999999999998E-3</v>
      </c>
      <c r="O124" s="83">
        <f>G124*'2. Emissions Units &amp; Activities'!M21</f>
        <v>1.0728E-2</v>
      </c>
    </row>
    <row r="125" spans="1:15" x14ac:dyDescent="0.35">
      <c r="A125" s="79" t="s">
        <v>1408</v>
      </c>
      <c r="B125" s="100" t="s">
        <v>949</v>
      </c>
      <c r="C125" s="81" t="str">
        <f>IFERROR(IF(B125="No CAS","",INDEX('DEQ Pollutant List'!$C$7:$C$611,MATCH('3. Pollutant Emissions - EF'!B125,'DEQ Pollutant List'!$B$7:$B$611,0))),"")</f>
        <v>Silica, crystalline (respirable)</v>
      </c>
      <c r="D125" s="115">
        <f>IFERROR(IF(OR($B125="",$B125="No CAS"),INDEX('DEQ Pollutant List'!$A$7:$A$611,MATCH($C125,'DEQ Pollutant List'!$C$7:$C$611,0)),INDEX('DEQ Pollutant List'!$A$7:$A$611,MATCH($B125,'DEQ Pollutant List'!$B$7:$B$611,0))),"")</f>
        <v>579</v>
      </c>
      <c r="E125" s="101">
        <v>0</v>
      </c>
      <c r="F125" s="102">
        <f>0.0363*3.5%</f>
        <v>1.2705000000000001E-3</v>
      </c>
      <c r="G125" s="103">
        <f t="shared" si="8"/>
        <v>1.2705000000000001E-3</v>
      </c>
      <c r="H125" s="83" t="s">
        <v>1397</v>
      </c>
      <c r="I125" s="104" t="s">
        <v>1417</v>
      </c>
      <c r="J125" s="102">
        <f>F125*'2. Emissions Units &amp; Activities'!H22</f>
        <v>3.7098600000000004</v>
      </c>
      <c r="K125" s="105">
        <f t="shared" si="5"/>
        <v>3.7098600000000004</v>
      </c>
      <c r="L125" s="83">
        <f>F125*'2. Emissions Units &amp; Activities'!J22</f>
        <v>11.129580000000001</v>
      </c>
      <c r="M125" s="102">
        <f>G125*'2. Emissions Units &amp; Activities'!K22</f>
        <v>1.0164000000000001E-2</v>
      </c>
      <c r="N125" s="105">
        <f t="shared" si="9"/>
        <v>1.0164000000000001E-2</v>
      </c>
      <c r="O125" s="83">
        <f>G125*'2. Emissions Units &amp; Activities'!M22</f>
        <v>3.0492000000000005E-2</v>
      </c>
    </row>
    <row r="126" spans="1:15" x14ac:dyDescent="0.35">
      <c r="A126" s="79" t="s">
        <v>1408</v>
      </c>
      <c r="B126" s="100" t="s">
        <v>40</v>
      </c>
      <c r="C126" s="81" t="str">
        <f>IFERROR(IF(B126="No CAS","",INDEX('DEQ Pollutant List'!$C$7:$C$611,MATCH('3. Pollutant Emissions - EF'!B126,'DEQ Pollutant List'!$B$7:$B$611,0))),"")</f>
        <v>Aluminum and compounds</v>
      </c>
      <c r="D126" s="115">
        <f>IFERROR(IF(OR($B126="",$B126="No CAS"),INDEX('DEQ Pollutant List'!$A$7:$A$611,MATCH($C126,'DEQ Pollutant List'!$C$7:$C$611,0)),INDEX('DEQ Pollutant List'!$A$7:$A$611,MATCH($B126,'DEQ Pollutant List'!$B$7:$B$611,0))),"")</f>
        <v>13</v>
      </c>
      <c r="E126" s="101">
        <v>0</v>
      </c>
      <c r="F126" s="102">
        <f>(0.0363*6.5%)*0.265</f>
        <v>6.2526750000000005E-4</v>
      </c>
      <c r="G126" s="103">
        <f t="shared" si="8"/>
        <v>6.2526750000000005E-4</v>
      </c>
      <c r="H126" s="83" t="s">
        <v>1397</v>
      </c>
      <c r="I126" s="104" t="s">
        <v>1418</v>
      </c>
      <c r="J126" s="102">
        <f>F126*'2. Emissions Units &amp; Activities'!H22</f>
        <v>1.8257811000000002</v>
      </c>
      <c r="K126" s="105">
        <f t="shared" si="5"/>
        <v>1.8257811000000002</v>
      </c>
      <c r="L126" s="83">
        <f>F126*'2. Emissions Units &amp; Activities'!J22</f>
        <v>5.4773433000000002</v>
      </c>
      <c r="M126" s="102">
        <f>G126*'2. Emissions Units &amp; Activities'!K22</f>
        <v>5.0021400000000004E-3</v>
      </c>
      <c r="N126" s="105">
        <f t="shared" si="9"/>
        <v>5.0021400000000004E-3</v>
      </c>
      <c r="O126" s="83">
        <f>G126*'2. Emissions Units &amp; Activities'!M22</f>
        <v>1.5006420000000001E-2</v>
      </c>
    </row>
    <row r="127" spans="1:15" x14ac:dyDescent="0.35">
      <c r="A127" s="79" t="s">
        <v>1408</v>
      </c>
      <c r="B127" s="100" t="s">
        <v>81</v>
      </c>
      <c r="C127" s="81" t="s">
        <v>82</v>
      </c>
      <c r="D127" s="115"/>
      <c r="E127" s="101">
        <v>0</v>
      </c>
      <c r="F127" s="102">
        <f>(0.0363*0.0000316)</f>
        <v>1.1470800000000001E-6</v>
      </c>
      <c r="G127" s="103">
        <f t="shared" si="8"/>
        <v>1.1470800000000001E-6</v>
      </c>
      <c r="H127" s="83" t="s">
        <v>1397</v>
      </c>
      <c r="I127" s="104" t="s">
        <v>1464</v>
      </c>
      <c r="J127" s="102">
        <f>F127*'2. Emissions Units &amp; Activities'!H22</f>
        <v>3.3494736000000002E-3</v>
      </c>
      <c r="K127" s="105">
        <f t="shared" si="5"/>
        <v>3.3494736000000002E-3</v>
      </c>
      <c r="L127" s="83">
        <f>F127*'2. Emissions Units &amp; Activities'!J22</f>
        <v>1.0048420800000001E-2</v>
      </c>
      <c r="M127" s="102">
        <f>G127*'2. Emissions Units &amp; Activities'!K22</f>
        <v>9.1766400000000006E-6</v>
      </c>
      <c r="N127" s="105">
        <f t="shared" si="9"/>
        <v>9.1766400000000006E-6</v>
      </c>
      <c r="O127" s="83">
        <f>G127*'2. Emissions Units &amp; Activities'!M22</f>
        <v>2.7529920000000004E-5</v>
      </c>
    </row>
    <row r="128" spans="1:15" x14ac:dyDescent="0.35">
      <c r="A128" s="79" t="s">
        <v>1408</v>
      </c>
      <c r="B128" s="100" t="s">
        <v>96</v>
      </c>
      <c r="C128" s="81" t="s">
        <v>97</v>
      </c>
      <c r="D128" s="115"/>
      <c r="E128" s="101">
        <v>0</v>
      </c>
      <c r="F128" s="102">
        <f>(0.0363*0.0000271)</f>
        <v>9.8372999999999998E-7</v>
      </c>
      <c r="G128" s="103">
        <f t="shared" si="8"/>
        <v>9.8372999999999998E-7</v>
      </c>
      <c r="H128" s="83" t="s">
        <v>1397</v>
      </c>
      <c r="I128" s="104" t="s">
        <v>1464</v>
      </c>
      <c r="J128" s="102">
        <f>F128*'2. Emissions Units &amp; Activities'!H22</f>
        <v>2.8724915999999998E-3</v>
      </c>
      <c r="K128" s="105">
        <f t="shared" si="5"/>
        <v>2.8724915999999998E-3</v>
      </c>
      <c r="L128" s="83">
        <f>F128*'2. Emissions Units &amp; Activities'!J22</f>
        <v>8.6174748000000002E-3</v>
      </c>
      <c r="M128" s="102">
        <f>G128*'2. Emissions Units &amp; Activities'!K22</f>
        <v>7.8698399999999999E-6</v>
      </c>
      <c r="N128" s="105">
        <f t="shared" si="9"/>
        <v>7.8698399999999999E-6</v>
      </c>
      <c r="O128" s="83">
        <f>G128*'2. Emissions Units &amp; Activities'!M22</f>
        <v>2.360952E-5</v>
      </c>
    </row>
    <row r="129" spans="1:15" x14ac:dyDescent="0.35">
      <c r="A129" s="79" t="s">
        <v>1408</v>
      </c>
      <c r="B129" s="100" t="s">
        <v>154</v>
      </c>
      <c r="C129" s="81" t="s">
        <v>155</v>
      </c>
      <c r="D129" s="115"/>
      <c r="E129" s="101">
        <v>0</v>
      </c>
      <c r="F129" s="102">
        <f>(0.0363*0.00000007)</f>
        <v>2.5410000000000002E-9</v>
      </c>
      <c r="G129" s="103">
        <f t="shared" si="8"/>
        <v>2.5410000000000002E-9</v>
      </c>
      <c r="H129" s="83" t="s">
        <v>1397</v>
      </c>
      <c r="I129" s="104" t="s">
        <v>1464</v>
      </c>
      <c r="J129" s="102">
        <f>F129*'2. Emissions Units &amp; Activities'!H22</f>
        <v>7.4197200000000009E-6</v>
      </c>
      <c r="K129" s="105">
        <f t="shared" si="5"/>
        <v>7.4197200000000009E-6</v>
      </c>
      <c r="L129" s="83">
        <f>F129*'2. Emissions Units &amp; Activities'!J22</f>
        <v>2.2259160000000003E-5</v>
      </c>
      <c r="M129" s="102">
        <f>G129*'2. Emissions Units &amp; Activities'!K22</f>
        <v>2.0328000000000002E-8</v>
      </c>
      <c r="N129" s="105">
        <f t="shared" si="9"/>
        <v>2.0328000000000002E-8</v>
      </c>
      <c r="O129" s="83">
        <f>G129*'2. Emissions Units &amp; Activities'!M22</f>
        <v>6.0984000000000012E-8</v>
      </c>
    </row>
    <row r="130" spans="1:15" x14ac:dyDescent="0.35">
      <c r="A130" s="79" t="s">
        <v>1408</v>
      </c>
      <c r="B130" s="100" t="s">
        <v>512</v>
      </c>
      <c r="C130" s="81" t="s">
        <v>513</v>
      </c>
      <c r="D130" s="115"/>
      <c r="E130" s="101">
        <v>0</v>
      </c>
      <c r="F130" s="102">
        <f>(0.0363*0.000001)</f>
        <v>3.6299999999999994E-8</v>
      </c>
      <c r="G130" s="103">
        <f t="shared" si="8"/>
        <v>3.6299999999999994E-8</v>
      </c>
      <c r="H130" s="83" t="s">
        <v>1397</v>
      </c>
      <c r="I130" s="104" t="s">
        <v>1464</v>
      </c>
      <c r="J130" s="102">
        <f>F130*'2. Emissions Units &amp; Activities'!H22</f>
        <v>1.0599599999999998E-4</v>
      </c>
      <c r="K130" s="105">
        <f t="shared" si="5"/>
        <v>1.0599599999999998E-4</v>
      </c>
      <c r="L130" s="83">
        <f>F130*'2. Emissions Units &amp; Activities'!J22</f>
        <v>3.1798799999999995E-4</v>
      </c>
      <c r="M130" s="102">
        <f>G130*'2. Emissions Units &amp; Activities'!K22</f>
        <v>2.9039999999999995E-7</v>
      </c>
      <c r="N130" s="105">
        <f t="shared" si="9"/>
        <v>2.9039999999999995E-7</v>
      </c>
      <c r="O130" s="83">
        <f>G130*'2. Emissions Units &amp; Activities'!M22</f>
        <v>8.7119999999999981E-7</v>
      </c>
    </row>
    <row r="131" spans="1:15" x14ac:dyDescent="0.35">
      <c r="A131" s="79" t="s">
        <v>1408</v>
      </c>
      <c r="B131" s="100" t="s">
        <v>518</v>
      </c>
      <c r="C131" s="81" t="s">
        <v>519</v>
      </c>
      <c r="D131" s="115"/>
      <c r="E131" s="101">
        <v>0</v>
      </c>
      <c r="F131" s="102">
        <f>(0.0363*0.0000851)</f>
        <v>3.0891299999999998E-6</v>
      </c>
      <c r="G131" s="103">
        <f t="shared" si="8"/>
        <v>3.0891299999999998E-6</v>
      </c>
      <c r="H131" s="83" t="s">
        <v>1397</v>
      </c>
      <c r="I131" s="104" t="s">
        <v>1464</v>
      </c>
      <c r="J131" s="102">
        <f>F131*'2. Emissions Units &amp; Activities'!H22</f>
        <v>9.0202595999999986E-3</v>
      </c>
      <c r="K131" s="105">
        <f t="shared" si="5"/>
        <v>9.0202595999999986E-3</v>
      </c>
      <c r="L131" s="83">
        <f>F131*'2. Emissions Units &amp; Activities'!J22</f>
        <v>2.7060778799999997E-2</v>
      </c>
      <c r="M131" s="102">
        <f>G131*'2. Emissions Units &amp; Activities'!K22</f>
        <v>2.4713039999999998E-5</v>
      </c>
      <c r="N131" s="105">
        <f t="shared" si="9"/>
        <v>2.4713039999999998E-5</v>
      </c>
      <c r="O131" s="83">
        <f>G131*'2. Emissions Units &amp; Activities'!M22</f>
        <v>7.4139119999999998E-5</v>
      </c>
    </row>
    <row r="132" spans="1:15" x14ac:dyDescent="0.35">
      <c r="A132" s="79" t="s">
        <v>1408</v>
      </c>
      <c r="B132" s="100" t="s">
        <v>524</v>
      </c>
      <c r="C132" s="81" t="s">
        <v>525</v>
      </c>
      <c r="D132" s="115"/>
      <c r="E132" s="101">
        <v>0</v>
      </c>
      <c r="F132" s="102">
        <f>(0.0363*0.0000000057)</f>
        <v>2.0690999999999999E-10</v>
      </c>
      <c r="G132" s="103">
        <f t="shared" si="8"/>
        <v>2.0690999999999999E-10</v>
      </c>
      <c r="H132" s="83" t="s">
        <v>1397</v>
      </c>
      <c r="I132" s="104" t="s">
        <v>1464</v>
      </c>
      <c r="J132" s="102">
        <f>F132*'2. Emissions Units &amp; Activities'!H22</f>
        <v>6.0417719999999996E-7</v>
      </c>
      <c r="K132" s="105">
        <f t="shared" si="5"/>
        <v>6.0417719999999996E-7</v>
      </c>
      <c r="L132" s="83">
        <f>F132*'2. Emissions Units &amp; Activities'!J22</f>
        <v>1.8125315999999999E-6</v>
      </c>
      <c r="M132" s="102">
        <f>G132*'2. Emissions Units &amp; Activities'!K22</f>
        <v>1.6552799999999999E-9</v>
      </c>
      <c r="N132" s="105">
        <f t="shared" si="9"/>
        <v>1.6552799999999999E-9</v>
      </c>
      <c r="O132" s="83">
        <f>G132*'2. Emissions Units &amp; Activities'!M22</f>
        <v>4.9658399999999999E-9</v>
      </c>
    </row>
    <row r="133" spans="1:15" x14ac:dyDescent="0.35">
      <c r="A133" s="79" t="s">
        <v>1408</v>
      </c>
      <c r="B133" s="100" t="s">
        <v>583</v>
      </c>
      <c r="C133" s="81" t="s">
        <v>584</v>
      </c>
      <c r="D133" s="115"/>
      <c r="E133" s="101">
        <v>0</v>
      </c>
      <c r="F133" s="102">
        <f>(0.0363*0.0000002)</f>
        <v>7.2599999999999993E-9</v>
      </c>
      <c r="G133" s="103">
        <f t="shared" si="8"/>
        <v>7.2599999999999993E-9</v>
      </c>
      <c r="H133" s="83" t="s">
        <v>1397</v>
      </c>
      <c r="I133" s="104" t="s">
        <v>1464</v>
      </c>
      <c r="J133" s="102">
        <f>F133*'2. Emissions Units &amp; Activities'!H22</f>
        <v>2.1199199999999999E-5</v>
      </c>
      <c r="K133" s="105">
        <f t="shared" si="5"/>
        <v>2.1199199999999999E-5</v>
      </c>
      <c r="L133" s="83">
        <f>F133*'2. Emissions Units &amp; Activities'!J22</f>
        <v>6.3597599999999996E-5</v>
      </c>
      <c r="M133" s="102">
        <f>G133*'2. Emissions Units &amp; Activities'!K22</f>
        <v>5.8079999999999995E-8</v>
      </c>
      <c r="N133" s="105">
        <f t="shared" si="9"/>
        <v>5.8079999999999995E-8</v>
      </c>
      <c r="O133" s="83">
        <f>G133*'2. Emissions Units &amp; Activities'!M22</f>
        <v>1.7423999999999998E-7</v>
      </c>
    </row>
    <row r="134" spans="1:15" x14ac:dyDescent="0.35">
      <c r="A134" s="79" t="s">
        <v>1408</v>
      </c>
      <c r="B134" s="100" t="s">
        <v>945</v>
      </c>
      <c r="C134" s="81" t="s">
        <v>946</v>
      </c>
      <c r="D134" s="115"/>
      <c r="E134" s="101">
        <v>0</v>
      </c>
      <c r="F134" s="102">
        <f>(0.0363*0.000007)</f>
        <v>2.5409999999999998E-7</v>
      </c>
      <c r="G134" s="103">
        <f t="shared" si="8"/>
        <v>2.5409999999999998E-7</v>
      </c>
      <c r="H134" s="83" t="s">
        <v>1397</v>
      </c>
      <c r="I134" s="104" t="s">
        <v>1464</v>
      </c>
      <c r="J134" s="102">
        <f>F134*'2. Emissions Units &amp; Activities'!H22</f>
        <v>7.4197199999999992E-4</v>
      </c>
      <c r="K134" s="105">
        <f t="shared" si="5"/>
        <v>7.4197199999999992E-4</v>
      </c>
      <c r="L134" s="83">
        <f>F134*'2. Emissions Units &amp; Activities'!J22</f>
        <v>2.2259159999999997E-3</v>
      </c>
      <c r="M134" s="102">
        <f>G134*'2. Emissions Units &amp; Activities'!K22</f>
        <v>2.0327999999999998E-6</v>
      </c>
      <c r="N134" s="105">
        <f t="shared" si="9"/>
        <v>2.0327999999999998E-6</v>
      </c>
      <c r="O134" s="83">
        <f>G134*'2. Emissions Units &amp; Activities'!M22</f>
        <v>6.0983999999999991E-6</v>
      </c>
    </row>
    <row r="135" spans="1:15" x14ac:dyDescent="0.35">
      <c r="A135" s="79" t="s">
        <v>1408</v>
      </c>
      <c r="B135" s="100" t="s">
        <v>1076</v>
      </c>
      <c r="C135" s="81" t="s">
        <v>1077</v>
      </c>
      <c r="D135" s="115"/>
      <c r="E135" s="101">
        <v>0</v>
      </c>
      <c r="F135" s="102">
        <f>(0.0363*0.0000003)</f>
        <v>1.0889999999999999E-8</v>
      </c>
      <c r="G135" s="103">
        <f t="shared" si="8"/>
        <v>1.0889999999999999E-8</v>
      </c>
      <c r="H135" s="83" t="s">
        <v>1397</v>
      </c>
      <c r="I135" s="104" t="s">
        <v>1464</v>
      </c>
      <c r="J135" s="102">
        <f>F135*'2. Emissions Units &amp; Activities'!H22</f>
        <v>3.1798799999999998E-5</v>
      </c>
      <c r="K135" s="105">
        <f t="shared" si="5"/>
        <v>3.1798799999999998E-5</v>
      </c>
      <c r="L135" s="83">
        <f>F135*'2. Emissions Units &amp; Activities'!J22</f>
        <v>9.5396399999999994E-5</v>
      </c>
      <c r="M135" s="102">
        <f>G135*'2. Emissions Units &amp; Activities'!K22</f>
        <v>8.7119999999999989E-8</v>
      </c>
      <c r="N135" s="105">
        <f t="shared" si="9"/>
        <v>8.7119999999999989E-8</v>
      </c>
      <c r="O135" s="83">
        <f>G135*'2. Emissions Units &amp; Activities'!M22</f>
        <v>2.6135999999999995E-7</v>
      </c>
    </row>
    <row r="136" spans="1:15" x14ac:dyDescent="0.35">
      <c r="A136" s="79" t="s">
        <v>1412</v>
      </c>
      <c r="B136" s="100" t="s">
        <v>949</v>
      </c>
      <c r="C136" s="81" t="str">
        <f>IFERROR(IF(B136="No CAS","",INDEX('DEQ Pollutant List'!$C$7:$C$611,MATCH('3. Pollutant Emissions - EF'!B136,'DEQ Pollutant List'!$B$7:$B$611,0))),"")</f>
        <v>Silica, crystalline (respirable)</v>
      </c>
      <c r="D136" s="115">
        <f>IFERROR(IF(OR($B136="",$B136="No CAS"),INDEX('DEQ Pollutant List'!$A$7:$A$611,MATCH($C136,'DEQ Pollutant List'!$C$7:$C$611,0)),INDEX('DEQ Pollutant List'!$A$7:$A$611,MATCH($B136,'DEQ Pollutant List'!$B$7:$B$611,0))),"")</f>
        <v>579</v>
      </c>
      <c r="E136" s="101">
        <v>0</v>
      </c>
      <c r="F136" s="102">
        <f>0.0363*3.5%</f>
        <v>1.2705000000000001E-3</v>
      </c>
      <c r="G136" s="103">
        <f t="shared" si="8"/>
        <v>1.2705000000000001E-3</v>
      </c>
      <c r="H136" s="83" t="s">
        <v>1397</v>
      </c>
      <c r="I136" s="104" t="s">
        <v>1417</v>
      </c>
      <c r="J136" s="102">
        <f>F136*'2. Emissions Units &amp; Activities'!H23</f>
        <v>3.7098600000000004</v>
      </c>
      <c r="K136" s="105">
        <f t="shared" si="5"/>
        <v>3.7098600000000004</v>
      </c>
      <c r="L136" s="83">
        <f>F136*'2. Emissions Units &amp; Activities'!J23</f>
        <v>11.129580000000001</v>
      </c>
      <c r="M136" s="102">
        <f>G136*'2. Emissions Units &amp; Activities'!K23</f>
        <v>1.0164000000000001E-2</v>
      </c>
      <c r="N136" s="105">
        <f t="shared" si="9"/>
        <v>1.0164000000000001E-2</v>
      </c>
      <c r="O136" s="83">
        <f>G136*'2. Emissions Units &amp; Activities'!M23</f>
        <v>3.0492000000000005E-2</v>
      </c>
    </row>
    <row r="137" spans="1:15" x14ac:dyDescent="0.35">
      <c r="A137" s="79" t="s">
        <v>1412</v>
      </c>
      <c r="B137" s="100" t="s">
        <v>40</v>
      </c>
      <c r="C137" s="81" t="str">
        <f>IFERROR(IF(B137="No CAS","",INDEX('DEQ Pollutant List'!$C$7:$C$611,MATCH('3. Pollutant Emissions - EF'!B137,'DEQ Pollutant List'!$B$7:$B$611,0))),"")</f>
        <v>Aluminum and compounds</v>
      </c>
      <c r="D137" s="115">
        <f>IFERROR(IF(OR($B137="",$B137="No CAS"),INDEX('DEQ Pollutant List'!$A$7:$A$611,MATCH($C137,'DEQ Pollutant List'!$C$7:$C$611,0)),INDEX('DEQ Pollutant List'!$A$7:$A$611,MATCH($B137,'DEQ Pollutant List'!$B$7:$B$611,0))),"")</f>
        <v>13</v>
      </c>
      <c r="E137" s="101">
        <v>0</v>
      </c>
      <c r="F137" s="102">
        <f>(0.0363*6.5%)*0.265</f>
        <v>6.2526750000000005E-4</v>
      </c>
      <c r="G137" s="103">
        <f t="shared" si="8"/>
        <v>6.2526750000000005E-4</v>
      </c>
      <c r="H137" s="83" t="s">
        <v>1397</v>
      </c>
      <c r="I137" s="104" t="s">
        <v>1418</v>
      </c>
      <c r="J137" s="102">
        <f>F137*'2. Emissions Units &amp; Activities'!H23</f>
        <v>1.8257811000000002</v>
      </c>
      <c r="K137" s="105">
        <f t="shared" si="5"/>
        <v>1.8257811000000002</v>
      </c>
      <c r="L137" s="83">
        <f>F137*'2. Emissions Units &amp; Activities'!J23</f>
        <v>5.4773433000000002</v>
      </c>
      <c r="M137" s="102">
        <f>G137*'2. Emissions Units &amp; Activities'!K23</f>
        <v>5.0021400000000004E-3</v>
      </c>
      <c r="N137" s="105">
        <f t="shared" si="9"/>
        <v>5.0021400000000004E-3</v>
      </c>
      <c r="O137" s="83">
        <f>G137*'2. Emissions Units &amp; Activities'!M23</f>
        <v>1.5006420000000001E-2</v>
      </c>
    </row>
    <row r="138" spans="1:15" x14ac:dyDescent="0.35">
      <c r="A138" s="79" t="s">
        <v>1412</v>
      </c>
      <c r="B138" s="100" t="s">
        <v>81</v>
      </c>
      <c r="C138" s="81" t="s">
        <v>82</v>
      </c>
      <c r="D138" s="115"/>
      <c r="E138" s="101">
        <v>0</v>
      </c>
      <c r="F138" s="102">
        <f>(0.0363*0.0000316)</f>
        <v>1.1470800000000001E-6</v>
      </c>
      <c r="G138" s="103">
        <f t="shared" si="8"/>
        <v>1.1470800000000001E-6</v>
      </c>
      <c r="H138" s="83" t="s">
        <v>1397</v>
      </c>
      <c r="I138" s="104" t="s">
        <v>1464</v>
      </c>
      <c r="J138" s="102">
        <f>F138*'2. Emissions Units &amp; Activities'!H23</f>
        <v>3.3494736000000002E-3</v>
      </c>
      <c r="K138" s="105">
        <f t="shared" si="5"/>
        <v>3.3494736000000002E-3</v>
      </c>
      <c r="L138" s="83">
        <f>F138*'2. Emissions Units &amp; Activities'!J23</f>
        <v>1.0048420800000001E-2</v>
      </c>
      <c r="M138" s="102">
        <f>G138*'2. Emissions Units &amp; Activities'!K23</f>
        <v>9.1766400000000006E-6</v>
      </c>
      <c r="N138" s="105">
        <f t="shared" si="9"/>
        <v>9.1766400000000006E-6</v>
      </c>
      <c r="O138" s="83">
        <f>G138*'2. Emissions Units &amp; Activities'!M23</f>
        <v>2.7529920000000004E-5</v>
      </c>
    </row>
    <row r="139" spans="1:15" x14ac:dyDescent="0.35">
      <c r="A139" s="79" t="s">
        <v>1412</v>
      </c>
      <c r="B139" s="100" t="s">
        <v>96</v>
      </c>
      <c r="C139" s="81" t="s">
        <v>97</v>
      </c>
      <c r="D139" s="115"/>
      <c r="E139" s="101">
        <v>0</v>
      </c>
      <c r="F139" s="102">
        <f>(0.0363*0.0000271)</f>
        <v>9.8372999999999998E-7</v>
      </c>
      <c r="G139" s="103">
        <f t="shared" si="8"/>
        <v>9.8372999999999998E-7</v>
      </c>
      <c r="H139" s="83" t="s">
        <v>1397</v>
      </c>
      <c r="I139" s="104" t="s">
        <v>1464</v>
      </c>
      <c r="J139" s="102">
        <f>F139*'2. Emissions Units &amp; Activities'!H23</f>
        <v>2.8724915999999998E-3</v>
      </c>
      <c r="K139" s="105">
        <f t="shared" si="5"/>
        <v>2.8724915999999998E-3</v>
      </c>
      <c r="L139" s="83">
        <f>F139*'2. Emissions Units &amp; Activities'!J23</f>
        <v>8.6174748000000002E-3</v>
      </c>
      <c r="M139" s="102">
        <f>G139*'2. Emissions Units &amp; Activities'!K23</f>
        <v>7.8698399999999999E-6</v>
      </c>
      <c r="N139" s="105">
        <f t="shared" si="9"/>
        <v>7.8698399999999999E-6</v>
      </c>
      <c r="O139" s="83">
        <f>G139*'2. Emissions Units &amp; Activities'!M23</f>
        <v>2.360952E-5</v>
      </c>
    </row>
    <row r="140" spans="1:15" x14ac:dyDescent="0.35">
      <c r="A140" s="79" t="s">
        <v>1412</v>
      </c>
      <c r="B140" s="100" t="s">
        <v>154</v>
      </c>
      <c r="C140" s="81" t="s">
        <v>155</v>
      </c>
      <c r="D140" s="115"/>
      <c r="E140" s="101">
        <v>0</v>
      </c>
      <c r="F140" s="102">
        <f>(0.0363*0.00000007)</f>
        <v>2.5410000000000002E-9</v>
      </c>
      <c r="G140" s="103">
        <f t="shared" si="8"/>
        <v>2.5410000000000002E-9</v>
      </c>
      <c r="H140" s="83" t="s">
        <v>1397</v>
      </c>
      <c r="I140" s="104" t="s">
        <v>1464</v>
      </c>
      <c r="J140" s="102">
        <f>F140*'2. Emissions Units &amp; Activities'!H23</f>
        <v>7.4197200000000009E-6</v>
      </c>
      <c r="K140" s="105">
        <f t="shared" si="5"/>
        <v>7.4197200000000009E-6</v>
      </c>
      <c r="L140" s="83">
        <f>F140*'2. Emissions Units &amp; Activities'!J23</f>
        <v>2.2259160000000003E-5</v>
      </c>
      <c r="M140" s="102">
        <f>G140*'2. Emissions Units &amp; Activities'!K23</f>
        <v>2.0328000000000002E-8</v>
      </c>
      <c r="N140" s="105">
        <f t="shared" si="9"/>
        <v>2.0328000000000002E-8</v>
      </c>
      <c r="O140" s="83">
        <f>G140*'2. Emissions Units &amp; Activities'!M23</f>
        <v>6.0984000000000012E-8</v>
      </c>
    </row>
    <row r="141" spans="1:15" x14ac:dyDescent="0.35">
      <c r="A141" s="79" t="s">
        <v>1412</v>
      </c>
      <c r="B141" s="100" t="s">
        <v>512</v>
      </c>
      <c r="C141" s="81" t="s">
        <v>513</v>
      </c>
      <c r="D141" s="115"/>
      <c r="E141" s="101">
        <v>0</v>
      </c>
      <c r="F141" s="102">
        <f>(0.0363*0.000001)</f>
        <v>3.6299999999999994E-8</v>
      </c>
      <c r="G141" s="103">
        <f t="shared" si="8"/>
        <v>3.6299999999999994E-8</v>
      </c>
      <c r="H141" s="83" t="s">
        <v>1397</v>
      </c>
      <c r="I141" s="104" t="s">
        <v>1464</v>
      </c>
      <c r="J141" s="102">
        <f>F141*'2. Emissions Units &amp; Activities'!H23</f>
        <v>1.0599599999999998E-4</v>
      </c>
      <c r="K141" s="105">
        <f t="shared" si="5"/>
        <v>1.0599599999999998E-4</v>
      </c>
      <c r="L141" s="83">
        <f>F141*'2. Emissions Units &amp; Activities'!J23</f>
        <v>3.1798799999999995E-4</v>
      </c>
      <c r="M141" s="102">
        <f>G141*'2. Emissions Units &amp; Activities'!K23</f>
        <v>2.9039999999999995E-7</v>
      </c>
      <c r="N141" s="105">
        <f t="shared" si="9"/>
        <v>2.9039999999999995E-7</v>
      </c>
      <c r="O141" s="83">
        <f>G141*'2. Emissions Units &amp; Activities'!M23</f>
        <v>8.7119999999999981E-7</v>
      </c>
    </row>
    <row r="142" spans="1:15" x14ac:dyDescent="0.35">
      <c r="A142" s="79" t="s">
        <v>1412</v>
      </c>
      <c r="B142" s="100" t="s">
        <v>518</v>
      </c>
      <c r="C142" s="81" t="s">
        <v>519</v>
      </c>
      <c r="D142" s="115"/>
      <c r="E142" s="101">
        <v>0</v>
      </c>
      <c r="F142" s="102">
        <f>(0.0363*0.0000851)</f>
        <v>3.0891299999999998E-6</v>
      </c>
      <c r="G142" s="103">
        <f t="shared" si="8"/>
        <v>3.0891299999999998E-6</v>
      </c>
      <c r="H142" s="83" t="s">
        <v>1397</v>
      </c>
      <c r="I142" s="104" t="s">
        <v>1464</v>
      </c>
      <c r="J142" s="102">
        <f>F142*'2. Emissions Units &amp; Activities'!H23</f>
        <v>9.0202595999999986E-3</v>
      </c>
      <c r="K142" s="105">
        <f t="shared" si="5"/>
        <v>9.0202595999999986E-3</v>
      </c>
      <c r="L142" s="83">
        <f>F142*'2. Emissions Units &amp; Activities'!J23</f>
        <v>2.7060778799999997E-2</v>
      </c>
      <c r="M142" s="102">
        <f>G142*'2. Emissions Units &amp; Activities'!K23</f>
        <v>2.4713039999999998E-5</v>
      </c>
      <c r="N142" s="105">
        <f t="shared" si="9"/>
        <v>2.4713039999999998E-5</v>
      </c>
      <c r="O142" s="83">
        <f>G142*'2. Emissions Units &amp; Activities'!M23</f>
        <v>7.4139119999999998E-5</v>
      </c>
    </row>
    <row r="143" spans="1:15" x14ac:dyDescent="0.35">
      <c r="A143" s="79" t="s">
        <v>1412</v>
      </c>
      <c r="B143" s="100" t="s">
        <v>524</v>
      </c>
      <c r="C143" s="81" t="s">
        <v>525</v>
      </c>
      <c r="D143" s="115"/>
      <c r="E143" s="101">
        <v>0</v>
      </c>
      <c r="F143" s="102">
        <f>(0.0363*0.0000000057)</f>
        <v>2.0690999999999999E-10</v>
      </c>
      <c r="G143" s="103">
        <f t="shared" si="8"/>
        <v>2.0690999999999999E-10</v>
      </c>
      <c r="H143" s="83" t="s">
        <v>1397</v>
      </c>
      <c r="I143" s="104" t="s">
        <v>1464</v>
      </c>
      <c r="J143" s="102">
        <f>F143*'2. Emissions Units &amp; Activities'!H23</f>
        <v>6.0417719999999996E-7</v>
      </c>
      <c r="K143" s="105">
        <f t="shared" si="5"/>
        <v>6.0417719999999996E-7</v>
      </c>
      <c r="L143" s="83">
        <f>F143*'2. Emissions Units &amp; Activities'!J23</f>
        <v>1.8125315999999999E-6</v>
      </c>
      <c r="M143" s="102">
        <f>G143*'2. Emissions Units &amp; Activities'!K23</f>
        <v>1.6552799999999999E-9</v>
      </c>
      <c r="N143" s="105">
        <f t="shared" si="9"/>
        <v>1.6552799999999999E-9</v>
      </c>
      <c r="O143" s="83">
        <f>G143*'2. Emissions Units &amp; Activities'!M23</f>
        <v>4.9658399999999999E-9</v>
      </c>
    </row>
    <row r="144" spans="1:15" x14ac:dyDescent="0.35">
      <c r="A144" s="79" t="s">
        <v>1412</v>
      </c>
      <c r="B144" s="100" t="s">
        <v>583</v>
      </c>
      <c r="C144" s="81" t="s">
        <v>584</v>
      </c>
      <c r="D144" s="115"/>
      <c r="E144" s="101">
        <v>0</v>
      </c>
      <c r="F144" s="102">
        <f>(0.0363*0.0000002)</f>
        <v>7.2599999999999993E-9</v>
      </c>
      <c r="G144" s="103">
        <f t="shared" si="8"/>
        <v>7.2599999999999993E-9</v>
      </c>
      <c r="H144" s="83" t="s">
        <v>1397</v>
      </c>
      <c r="I144" s="104" t="s">
        <v>1464</v>
      </c>
      <c r="J144" s="102">
        <f>F144*'2. Emissions Units &amp; Activities'!H23</f>
        <v>2.1199199999999999E-5</v>
      </c>
      <c r="K144" s="105">
        <f t="shared" si="5"/>
        <v>2.1199199999999999E-5</v>
      </c>
      <c r="L144" s="83">
        <f>F144*'2. Emissions Units &amp; Activities'!J23</f>
        <v>6.3597599999999996E-5</v>
      </c>
      <c r="M144" s="102">
        <f>G144*'2. Emissions Units &amp; Activities'!K23</f>
        <v>5.8079999999999995E-8</v>
      </c>
      <c r="N144" s="105">
        <f t="shared" si="9"/>
        <v>5.8079999999999995E-8</v>
      </c>
      <c r="O144" s="83">
        <f>G144*'2. Emissions Units &amp; Activities'!M23</f>
        <v>1.7423999999999998E-7</v>
      </c>
    </row>
    <row r="145" spans="1:15" x14ac:dyDescent="0.35">
      <c r="A145" s="79" t="s">
        <v>1412</v>
      </c>
      <c r="B145" s="100" t="s">
        <v>945</v>
      </c>
      <c r="C145" s="81" t="s">
        <v>946</v>
      </c>
      <c r="D145" s="115"/>
      <c r="E145" s="101">
        <v>0</v>
      </c>
      <c r="F145" s="102">
        <f>(0.0363*0.000007)</f>
        <v>2.5409999999999998E-7</v>
      </c>
      <c r="G145" s="103">
        <f t="shared" si="8"/>
        <v>2.5409999999999998E-7</v>
      </c>
      <c r="H145" s="83" t="s">
        <v>1397</v>
      </c>
      <c r="I145" s="104" t="s">
        <v>1464</v>
      </c>
      <c r="J145" s="102">
        <f>F145*'2. Emissions Units &amp; Activities'!H23</f>
        <v>7.4197199999999992E-4</v>
      </c>
      <c r="K145" s="105">
        <f t="shared" si="5"/>
        <v>7.4197199999999992E-4</v>
      </c>
      <c r="L145" s="83">
        <f>F145*'2. Emissions Units &amp; Activities'!J23</f>
        <v>2.2259159999999997E-3</v>
      </c>
      <c r="M145" s="102">
        <f>G145*'2. Emissions Units &amp; Activities'!K23</f>
        <v>2.0327999999999998E-6</v>
      </c>
      <c r="N145" s="105">
        <f t="shared" si="9"/>
        <v>2.0327999999999998E-6</v>
      </c>
      <c r="O145" s="83">
        <f>G145*'2. Emissions Units &amp; Activities'!M23</f>
        <v>6.0983999999999991E-6</v>
      </c>
    </row>
    <row r="146" spans="1:15" x14ac:dyDescent="0.35">
      <c r="A146" s="79" t="s">
        <v>1412</v>
      </c>
      <c r="B146" s="100" t="s">
        <v>1076</v>
      </c>
      <c r="C146" s="81" t="s">
        <v>1077</v>
      </c>
      <c r="D146" s="115"/>
      <c r="E146" s="101">
        <v>0</v>
      </c>
      <c r="F146" s="102">
        <f>(0.0363*0.0000003)</f>
        <v>1.0889999999999999E-8</v>
      </c>
      <c r="G146" s="103">
        <f t="shared" si="8"/>
        <v>1.0889999999999999E-8</v>
      </c>
      <c r="H146" s="83" t="s">
        <v>1397</v>
      </c>
      <c r="I146" s="104" t="s">
        <v>1464</v>
      </c>
      <c r="J146" s="102">
        <f>F146*'2. Emissions Units &amp; Activities'!H23</f>
        <v>3.1798799999999998E-5</v>
      </c>
      <c r="K146" s="105">
        <f t="shared" si="5"/>
        <v>3.1798799999999998E-5</v>
      </c>
      <c r="L146" s="83">
        <f>F146*'2. Emissions Units &amp; Activities'!J23</f>
        <v>9.5396399999999994E-5</v>
      </c>
      <c r="M146" s="102">
        <f>G146*'2. Emissions Units &amp; Activities'!K23</f>
        <v>8.7119999999999989E-8</v>
      </c>
      <c r="N146" s="105">
        <f t="shared" si="9"/>
        <v>8.7119999999999989E-8</v>
      </c>
      <c r="O146" s="83">
        <f>G146*'2. Emissions Units &amp; Activities'!M23</f>
        <v>2.6135999999999995E-7</v>
      </c>
    </row>
    <row r="147" spans="1:15" x14ac:dyDescent="0.35">
      <c r="A147" s="79" t="s">
        <v>1413</v>
      </c>
      <c r="B147" s="100" t="s">
        <v>949</v>
      </c>
      <c r="C147" s="81" t="str">
        <f>IFERROR(IF(B147="No CAS","",INDEX('DEQ Pollutant List'!$C$7:$C$611,MATCH('3. Pollutant Emissions - EF'!B147,'DEQ Pollutant List'!$B$7:$B$611,0))),"")</f>
        <v>Silica, crystalline (respirable)</v>
      </c>
      <c r="D147" s="115">
        <f>IFERROR(IF(OR($B147="",$B147="No CAS"),INDEX('DEQ Pollutant List'!$A$7:$A$611,MATCH($C147,'DEQ Pollutant List'!$C$7:$C$611,0)),INDEX('DEQ Pollutant List'!$A$7:$A$611,MATCH($B147,'DEQ Pollutant List'!$B$7:$B$611,0))),"")</f>
        <v>579</v>
      </c>
      <c r="E147" s="101">
        <v>0</v>
      </c>
      <c r="F147" s="102">
        <f>0.0363*3.5%</f>
        <v>1.2705000000000001E-3</v>
      </c>
      <c r="G147" s="103">
        <f t="shared" ref="G147:G247" si="10">F147</f>
        <v>1.2705000000000001E-3</v>
      </c>
      <c r="H147" s="83" t="s">
        <v>1397</v>
      </c>
      <c r="I147" s="104" t="s">
        <v>1417</v>
      </c>
      <c r="J147" s="102">
        <f>F147*'2. Emissions Units &amp; Activities'!H24</f>
        <v>3.7098600000000004</v>
      </c>
      <c r="K147" s="105">
        <f t="shared" si="5"/>
        <v>3.7098600000000004</v>
      </c>
      <c r="L147" s="83">
        <f>F147*'2. Emissions Units &amp; Activities'!J24</f>
        <v>11.129580000000001</v>
      </c>
      <c r="M147" s="102">
        <f>G147*'2. Emissions Units &amp; Activities'!K24</f>
        <v>1.0164000000000001E-2</v>
      </c>
      <c r="N147" s="105">
        <f t="shared" si="9"/>
        <v>1.0164000000000001E-2</v>
      </c>
      <c r="O147" s="83">
        <f>G147*'2. Emissions Units &amp; Activities'!M24</f>
        <v>3.0492000000000005E-2</v>
      </c>
    </row>
    <row r="148" spans="1:15" x14ac:dyDescent="0.35">
      <c r="A148" s="79" t="s">
        <v>1413</v>
      </c>
      <c r="B148" s="100" t="s">
        <v>40</v>
      </c>
      <c r="C148" s="81" t="str">
        <f>IFERROR(IF(B148="No CAS","",INDEX('DEQ Pollutant List'!$C$7:$C$611,MATCH('3. Pollutant Emissions - EF'!B148,'DEQ Pollutant List'!$B$7:$B$611,0))),"")</f>
        <v>Aluminum and compounds</v>
      </c>
      <c r="D148" s="115">
        <f>IFERROR(IF(OR($B148="",$B148="No CAS"),INDEX('DEQ Pollutant List'!$A$7:$A$611,MATCH($C148,'DEQ Pollutant List'!$C$7:$C$611,0)),INDEX('DEQ Pollutant List'!$A$7:$A$611,MATCH($B148,'DEQ Pollutant List'!$B$7:$B$611,0))),"")</f>
        <v>13</v>
      </c>
      <c r="E148" s="101">
        <v>0</v>
      </c>
      <c r="F148" s="102">
        <f>(0.0363*6.5%)*0.265</f>
        <v>6.2526750000000005E-4</v>
      </c>
      <c r="G148" s="103">
        <f t="shared" si="10"/>
        <v>6.2526750000000005E-4</v>
      </c>
      <c r="H148" s="83" t="s">
        <v>1397</v>
      </c>
      <c r="I148" s="104" t="s">
        <v>1418</v>
      </c>
      <c r="J148" s="102">
        <f>F148*'2. Emissions Units &amp; Activities'!H24</f>
        <v>1.8257811000000002</v>
      </c>
      <c r="K148" s="105">
        <f t="shared" si="5"/>
        <v>1.8257811000000002</v>
      </c>
      <c r="L148" s="83">
        <f>F148*'2. Emissions Units &amp; Activities'!J24</f>
        <v>5.4773433000000002</v>
      </c>
      <c r="M148" s="102">
        <f>G148*'2. Emissions Units &amp; Activities'!K24</f>
        <v>5.0021400000000004E-3</v>
      </c>
      <c r="N148" s="105">
        <f t="shared" si="9"/>
        <v>5.0021400000000004E-3</v>
      </c>
      <c r="O148" s="83">
        <f>G148*'2. Emissions Units &amp; Activities'!M24</f>
        <v>1.5006420000000001E-2</v>
      </c>
    </row>
    <row r="149" spans="1:15" x14ac:dyDescent="0.35">
      <c r="A149" s="79" t="s">
        <v>1413</v>
      </c>
      <c r="B149" s="100" t="s">
        <v>81</v>
      </c>
      <c r="C149" s="81" t="s">
        <v>82</v>
      </c>
      <c r="D149" s="115"/>
      <c r="E149" s="101">
        <v>0</v>
      </c>
      <c r="F149" s="102">
        <f>(0.0363*0.0000316)</f>
        <v>1.1470800000000001E-6</v>
      </c>
      <c r="G149" s="103">
        <f t="shared" si="10"/>
        <v>1.1470800000000001E-6</v>
      </c>
      <c r="H149" s="83" t="s">
        <v>1397</v>
      </c>
      <c r="I149" s="104" t="s">
        <v>1464</v>
      </c>
      <c r="J149" s="102">
        <f>F149*'2. Emissions Units &amp; Activities'!H24</f>
        <v>3.3494736000000002E-3</v>
      </c>
      <c r="K149" s="105">
        <f t="shared" si="5"/>
        <v>3.3494736000000002E-3</v>
      </c>
      <c r="L149" s="83">
        <f>F149*'2. Emissions Units &amp; Activities'!J24</f>
        <v>1.0048420800000001E-2</v>
      </c>
      <c r="M149" s="102">
        <f>G149*'2. Emissions Units &amp; Activities'!K24</f>
        <v>9.1766400000000006E-6</v>
      </c>
      <c r="N149" s="105">
        <f t="shared" si="9"/>
        <v>9.1766400000000006E-6</v>
      </c>
      <c r="O149" s="83">
        <f>G149*'2. Emissions Units &amp; Activities'!M24</f>
        <v>2.7529920000000004E-5</v>
      </c>
    </row>
    <row r="150" spans="1:15" x14ac:dyDescent="0.35">
      <c r="A150" s="79" t="s">
        <v>1413</v>
      </c>
      <c r="B150" s="100" t="s">
        <v>96</v>
      </c>
      <c r="C150" s="81" t="s">
        <v>97</v>
      </c>
      <c r="D150" s="115"/>
      <c r="E150" s="101">
        <v>0</v>
      </c>
      <c r="F150" s="102">
        <f>(0.0363*0.0000271)</f>
        <v>9.8372999999999998E-7</v>
      </c>
      <c r="G150" s="103">
        <f t="shared" si="10"/>
        <v>9.8372999999999998E-7</v>
      </c>
      <c r="H150" s="83" t="s">
        <v>1397</v>
      </c>
      <c r="I150" s="104" t="s">
        <v>1464</v>
      </c>
      <c r="J150" s="102">
        <f>F150*'2. Emissions Units &amp; Activities'!H24</f>
        <v>2.8724915999999998E-3</v>
      </c>
      <c r="K150" s="105">
        <f t="shared" si="5"/>
        <v>2.8724915999999998E-3</v>
      </c>
      <c r="L150" s="83">
        <f>F150*'2. Emissions Units &amp; Activities'!J24</f>
        <v>8.6174748000000002E-3</v>
      </c>
      <c r="M150" s="102">
        <f>G150*'2. Emissions Units &amp; Activities'!K24</f>
        <v>7.8698399999999999E-6</v>
      </c>
      <c r="N150" s="105">
        <f t="shared" si="9"/>
        <v>7.8698399999999999E-6</v>
      </c>
      <c r="O150" s="83">
        <f>G150*'2. Emissions Units &amp; Activities'!M24</f>
        <v>2.360952E-5</v>
      </c>
    </row>
    <row r="151" spans="1:15" x14ac:dyDescent="0.35">
      <c r="A151" s="79" t="s">
        <v>1413</v>
      </c>
      <c r="B151" s="100" t="s">
        <v>154</v>
      </c>
      <c r="C151" s="81" t="s">
        <v>155</v>
      </c>
      <c r="D151" s="115"/>
      <c r="E151" s="101">
        <v>0</v>
      </c>
      <c r="F151" s="102">
        <f>(0.0363*0.00000007)</f>
        <v>2.5410000000000002E-9</v>
      </c>
      <c r="G151" s="103">
        <f t="shared" si="10"/>
        <v>2.5410000000000002E-9</v>
      </c>
      <c r="H151" s="83" t="s">
        <v>1397</v>
      </c>
      <c r="I151" s="104" t="s">
        <v>1464</v>
      </c>
      <c r="J151" s="102">
        <f>F151*'2. Emissions Units &amp; Activities'!H24</f>
        <v>7.4197200000000009E-6</v>
      </c>
      <c r="K151" s="105">
        <f t="shared" si="5"/>
        <v>7.4197200000000009E-6</v>
      </c>
      <c r="L151" s="83">
        <f>F151*'2. Emissions Units &amp; Activities'!J24</f>
        <v>2.2259160000000003E-5</v>
      </c>
      <c r="M151" s="102">
        <f>G151*'2. Emissions Units &amp; Activities'!K24</f>
        <v>2.0328000000000002E-8</v>
      </c>
      <c r="N151" s="105">
        <f t="shared" si="9"/>
        <v>2.0328000000000002E-8</v>
      </c>
      <c r="O151" s="83">
        <f>G151*'2. Emissions Units &amp; Activities'!M24</f>
        <v>6.0984000000000012E-8</v>
      </c>
    </row>
    <row r="152" spans="1:15" x14ac:dyDescent="0.35">
      <c r="A152" s="79" t="s">
        <v>1413</v>
      </c>
      <c r="B152" s="100" t="s">
        <v>512</v>
      </c>
      <c r="C152" s="81" t="s">
        <v>513</v>
      </c>
      <c r="D152" s="115"/>
      <c r="E152" s="101">
        <v>0</v>
      </c>
      <c r="F152" s="102">
        <f>(0.0363*0.000001)</f>
        <v>3.6299999999999994E-8</v>
      </c>
      <c r="G152" s="103">
        <f t="shared" si="10"/>
        <v>3.6299999999999994E-8</v>
      </c>
      <c r="H152" s="83" t="s">
        <v>1397</v>
      </c>
      <c r="I152" s="104" t="s">
        <v>1464</v>
      </c>
      <c r="J152" s="102">
        <f>F152*'2. Emissions Units &amp; Activities'!H24</f>
        <v>1.0599599999999998E-4</v>
      </c>
      <c r="K152" s="105">
        <f t="shared" si="5"/>
        <v>1.0599599999999998E-4</v>
      </c>
      <c r="L152" s="83">
        <f>F152*'2. Emissions Units &amp; Activities'!J24</f>
        <v>3.1798799999999995E-4</v>
      </c>
      <c r="M152" s="102">
        <f>G152*'2. Emissions Units &amp; Activities'!K24</f>
        <v>2.9039999999999995E-7</v>
      </c>
      <c r="N152" s="105">
        <f t="shared" si="9"/>
        <v>2.9039999999999995E-7</v>
      </c>
      <c r="O152" s="83">
        <f>G152*'2. Emissions Units &amp; Activities'!M24</f>
        <v>8.7119999999999981E-7</v>
      </c>
    </row>
    <row r="153" spans="1:15" x14ac:dyDescent="0.35">
      <c r="A153" s="79" t="s">
        <v>1413</v>
      </c>
      <c r="B153" s="100" t="s">
        <v>518</v>
      </c>
      <c r="C153" s="81" t="s">
        <v>519</v>
      </c>
      <c r="D153" s="115"/>
      <c r="E153" s="101">
        <v>0</v>
      </c>
      <c r="F153" s="102">
        <f>(0.0363*0.0000851)</f>
        <v>3.0891299999999998E-6</v>
      </c>
      <c r="G153" s="103">
        <f t="shared" si="10"/>
        <v>3.0891299999999998E-6</v>
      </c>
      <c r="H153" s="83" t="s">
        <v>1397</v>
      </c>
      <c r="I153" s="104" t="s">
        <v>1464</v>
      </c>
      <c r="J153" s="102">
        <f>F153*'2. Emissions Units &amp; Activities'!H24</f>
        <v>9.0202595999999986E-3</v>
      </c>
      <c r="K153" s="105">
        <f t="shared" si="5"/>
        <v>9.0202595999999986E-3</v>
      </c>
      <c r="L153" s="83">
        <f>F153*'2. Emissions Units &amp; Activities'!J24</f>
        <v>2.7060778799999997E-2</v>
      </c>
      <c r="M153" s="102">
        <f>G153*'2. Emissions Units &amp; Activities'!K24</f>
        <v>2.4713039999999998E-5</v>
      </c>
      <c r="N153" s="105">
        <f t="shared" si="9"/>
        <v>2.4713039999999998E-5</v>
      </c>
      <c r="O153" s="83">
        <f>G153*'2. Emissions Units &amp; Activities'!M24</f>
        <v>7.4139119999999998E-5</v>
      </c>
    </row>
    <row r="154" spans="1:15" x14ac:dyDescent="0.35">
      <c r="A154" s="79" t="s">
        <v>1413</v>
      </c>
      <c r="B154" s="100" t="s">
        <v>524</v>
      </c>
      <c r="C154" s="81" t="s">
        <v>525</v>
      </c>
      <c r="D154" s="115"/>
      <c r="E154" s="101">
        <v>0</v>
      </c>
      <c r="F154" s="102">
        <f>(0.0363*0.0000000057)</f>
        <v>2.0690999999999999E-10</v>
      </c>
      <c r="G154" s="103">
        <f t="shared" si="10"/>
        <v>2.0690999999999999E-10</v>
      </c>
      <c r="H154" s="83" t="s">
        <v>1397</v>
      </c>
      <c r="I154" s="104" t="s">
        <v>1464</v>
      </c>
      <c r="J154" s="102">
        <f>F154*'2. Emissions Units &amp; Activities'!H24</f>
        <v>6.0417719999999996E-7</v>
      </c>
      <c r="K154" s="105">
        <f t="shared" si="5"/>
        <v>6.0417719999999996E-7</v>
      </c>
      <c r="L154" s="83">
        <f>F154*'2. Emissions Units &amp; Activities'!J24</f>
        <v>1.8125315999999999E-6</v>
      </c>
      <c r="M154" s="102">
        <f>G154*'2. Emissions Units &amp; Activities'!K24</f>
        <v>1.6552799999999999E-9</v>
      </c>
      <c r="N154" s="105">
        <f t="shared" si="9"/>
        <v>1.6552799999999999E-9</v>
      </c>
      <c r="O154" s="83">
        <f>G154*'2. Emissions Units &amp; Activities'!M24</f>
        <v>4.9658399999999999E-9</v>
      </c>
    </row>
    <row r="155" spans="1:15" x14ac:dyDescent="0.35">
      <c r="A155" s="79" t="s">
        <v>1413</v>
      </c>
      <c r="B155" s="100" t="s">
        <v>583</v>
      </c>
      <c r="C155" s="81" t="s">
        <v>584</v>
      </c>
      <c r="D155" s="115"/>
      <c r="E155" s="101">
        <v>0</v>
      </c>
      <c r="F155" s="102">
        <f>(0.0363*0.0000002)</f>
        <v>7.2599999999999993E-9</v>
      </c>
      <c r="G155" s="103">
        <f t="shared" si="10"/>
        <v>7.2599999999999993E-9</v>
      </c>
      <c r="H155" s="83" t="s">
        <v>1397</v>
      </c>
      <c r="I155" s="104" t="s">
        <v>1464</v>
      </c>
      <c r="J155" s="102">
        <f>F155*'2. Emissions Units &amp; Activities'!H24</f>
        <v>2.1199199999999999E-5</v>
      </c>
      <c r="K155" s="105">
        <f t="shared" si="5"/>
        <v>2.1199199999999999E-5</v>
      </c>
      <c r="L155" s="83">
        <f>F155*'2. Emissions Units &amp; Activities'!J24</f>
        <v>6.3597599999999996E-5</v>
      </c>
      <c r="M155" s="102">
        <f>G155*'2. Emissions Units &amp; Activities'!K24</f>
        <v>5.8079999999999995E-8</v>
      </c>
      <c r="N155" s="105">
        <f t="shared" si="9"/>
        <v>5.8079999999999995E-8</v>
      </c>
      <c r="O155" s="83">
        <f>G155*'2. Emissions Units &amp; Activities'!M24</f>
        <v>1.7423999999999998E-7</v>
      </c>
    </row>
    <row r="156" spans="1:15" x14ac:dyDescent="0.35">
      <c r="A156" s="79" t="s">
        <v>1413</v>
      </c>
      <c r="B156" s="100" t="s">
        <v>945</v>
      </c>
      <c r="C156" s="81" t="s">
        <v>946</v>
      </c>
      <c r="D156" s="115"/>
      <c r="E156" s="101">
        <v>0</v>
      </c>
      <c r="F156" s="102">
        <f>(0.0363*0.000007)</f>
        <v>2.5409999999999998E-7</v>
      </c>
      <c r="G156" s="103">
        <f t="shared" si="10"/>
        <v>2.5409999999999998E-7</v>
      </c>
      <c r="H156" s="83" t="s">
        <v>1397</v>
      </c>
      <c r="I156" s="104" t="s">
        <v>1464</v>
      </c>
      <c r="J156" s="102">
        <f>F156*'2. Emissions Units &amp; Activities'!H24</f>
        <v>7.4197199999999992E-4</v>
      </c>
      <c r="K156" s="105">
        <f t="shared" si="5"/>
        <v>7.4197199999999992E-4</v>
      </c>
      <c r="L156" s="83">
        <f>F156*'2. Emissions Units &amp; Activities'!J24</f>
        <v>2.2259159999999997E-3</v>
      </c>
      <c r="M156" s="102">
        <f>G156*'2. Emissions Units &amp; Activities'!K24</f>
        <v>2.0327999999999998E-6</v>
      </c>
      <c r="N156" s="105">
        <f t="shared" si="9"/>
        <v>2.0327999999999998E-6</v>
      </c>
      <c r="O156" s="83">
        <f>G156*'2. Emissions Units &amp; Activities'!M24</f>
        <v>6.0983999999999991E-6</v>
      </c>
    </row>
    <row r="157" spans="1:15" x14ac:dyDescent="0.35">
      <c r="A157" s="79" t="s">
        <v>1413</v>
      </c>
      <c r="B157" s="100" t="s">
        <v>1076</v>
      </c>
      <c r="C157" s="81" t="s">
        <v>1077</v>
      </c>
      <c r="D157" s="115"/>
      <c r="E157" s="101">
        <v>0</v>
      </c>
      <c r="F157" s="102">
        <f>(0.0363*0.0000003)</f>
        <v>1.0889999999999999E-8</v>
      </c>
      <c r="G157" s="103">
        <f t="shared" si="10"/>
        <v>1.0889999999999999E-8</v>
      </c>
      <c r="H157" s="83" t="s">
        <v>1397</v>
      </c>
      <c r="I157" s="104" t="s">
        <v>1464</v>
      </c>
      <c r="J157" s="102">
        <f>F157*'2. Emissions Units &amp; Activities'!H24</f>
        <v>3.1798799999999998E-5</v>
      </c>
      <c r="K157" s="105">
        <f t="shared" si="5"/>
        <v>3.1798799999999998E-5</v>
      </c>
      <c r="L157" s="83">
        <f>F157*'2. Emissions Units &amp; Activities'!J24</f>
        <v>9.5396399999999994E-5</v>
      </c>
      <c r="M157" s="102">
        <f>G157*'2. Emissions Units &amp; Activities'!K24</f>
        <v>8.7119999999999989E-8</v>
      </c>
      <c r="N157" s="105">
        <f t="shared" si="9"/>
        <v>8.7119999999999989E-8</v>
      </c>
      <c r="O157" s="83">
        <f>G157*'2. Emissions Units &amp; Activities'!M24</f>
        <v>2.6135999999999995E-7</v>
      </c>
    </row>
    <row r="158" spans="1:15" x14ac:dyDescent="0.35">
      <c r="A158" s="79" t="s">
        <v>1419</v>
      </c>
      <c r="B158" s="100" t="s">
        <v>949</v>
      </c>
      <c r="C158" s="81" t="str">
        <f>IFERROR(IF(B158="No CAS","",INDEX('DEQ Pollutant List'!$C$7:$C$611,MATCH('3. Pollutant Emissions - EF'!B158,'DEQ Pollutant List'!$B$7:$B$611,0))),"")</f>
        <v>Silica, crystalline (respirable)</v>
      </c>
      <c r="D158" s="115">
        <f>IFERROR(IF(OR($B158="",$B158="No CAS"),INDEX('DEQ Pollutant List'!$A$7:$A$611,MATCH($C158,'DEQ Pollutant List'!$C$7:$C$611,0)),INDEX('DEQ Pollutant List'!$A$7:$A$611,MATCH($B158,'DEQ Pollutant List'!$B$7:$B$611,0))),"")</f>
        <v>579</v>
      </c>
      <c r="E158" s="101">
        <v>0</v>
      </c>
      <c r="F158" s="102">
        <f>0.0296*3.5%</f>
        <v>1.0360000000000002E-3</v>
      </c>
      <c r="G158" s="103">
        <f t="shared" si="10"/>
        <v>1.0360000000000002E-3</v>
      </c>
      <c r="H158" s="83" t="s">
        <v>1397</v>
      </c>
      <c r="I158" s="104" t="s">
        <v>1417</v>
      </c>
      <c r="J158" s="102">
        <f>F158*'2. Emissions Units &amp; Activities'!H25</f>
        <v>9.0753600000000016</v>
      </c>
      <c r="K158" s="105">
        <f t="shared" si="5"/>
        <v>9.0753600000000016</v>
      </c>
      <c r="L158" s="83">
        <f>F158*'2. Emissions Units &amp; Activities'!J25</f>
        <v>9.0753600000000016</v>
      </c>
      <c r="M158" s="102">
        <f>G158*'2. Emissions Units &amp; Activities'!K25</f>
        <v>2.4864000000000004E-2</v>
      </c>
      <c r="N158" s="105">
        <f t="shared" si="9"/>
        <v>2.4864000000000004E-2</v>
      </c>
      <c r="O158" s="83">
        <f>G158*'2. Emissions Units &amp; Activities'!M25</f>
        <v>2.4864000000000004E-2</v>
      </c>
    </row>
    <row r="159" spans="1:15" x14ac:dyDescent="0.35">
      <c r="A159" s="79" t="s">
        <v>1419</v>
      </c>
      <c r="B159" s="100" t="s">
        <v>40</v>
      </c>
      <c r="C159" s="81" t="str">
        <f>IFERROR(IF(B159="No CAS","",INDEX('DEQ Pollutant List'!$C$7:$C$611,MATCH('3. Pollutant Emissions - EF'!B159,'DEQ Pollutant List'!$B$7:$B$611,0))),"")</f>
        <v>Aluminum and compounds</v>
      </c>
      <c r="D159" s="115">
        <f>IFERROR(IF(OR($B159="",$B159="No CAS"),INDEX('DEQ Pollutant List'!$A$7:$A$611,MATCH($C159,'DEQ Pollutant List'!$C$7:$C$611,0)),INDEX('DEQ Pollutant List'!$A$7:$A$611,MATCH($B159,'DEQ Pollutant List'!$B$7:$B$611,0))),"")</f>
        <v>13</v>
      </c>
      <c r="E159" s="101">
        <v>0</v>
      </c>
      <c r="F159" s="102">
        <f>(0.0296*6.5%)*0.265</f>
        <v>5.0986000000000011E-4</v>
      </c>
      <c r="G159" s="103">
        <f t="shared" si="10"/>
        <v>5.0986000000000011E-4</v>
      </c>
      <c r="H159" s="83" t="s">
        <v>1397</v>
      </c>
      <c r="I159" s="104" t="s">
        <v>1418</v>
      </c>
      <c r="J159" s="102">
        <f>F159*'2. Emissions Units &amp; Activities'!H25</f>
        <v>4.4663736000000007</v>
      </c>
      <c r="K159" s="105">
        <f t="shared" si="5"/>
        <v>4.4663736000000007</v>
      </c>
      <c r="L159" s="83">
        <f>F159*'2. Emissions Units &amp; Activities'!J25</f>
        <v>4.4663736000000007</v>
      </c>
      <c r="M159" s="102">
        <f>G159*'2. Emissions Units &amp; Activities'!K25</f>
        <v>1.2236640000000003E-2</v>
      </c>
      <c r="N159" s="105">
        <f t="shared" si="9"/>
        <v>1.2236640000000003E-2</v>
      </c>
      <c r="O159" s="83">
        <f>G159*'2. Emissions Units &amp; Activities'!M25</f>
        <v>1.2236640000000003E-2</v>
      </c>
    </row>
    <row r="160" spans="1:15" x14ac:dyDescent="0.35">
      <c r="A160" s="79" t="s">
        <v>1419</v>
      </c>
      <c r="B160" s="100" t="s">
        <v>81</v>
      </c>
      <c r="C160" s="81" t="s">
        <v>82</v>
      </c>
      <c r="D160" s="115"/>
      <c r="E160" s="101">
        <v>0</v>
      </c>
      <c r="F160" s="102">
        <f>(0.0296*0.0000316)</f>
        <v>9.3536000000000014E-7</v>
      </c>
      <c r="G160" s="103">
        <f t="shared" si="10"/>
        <v>9.3536000000000014E-7</v>
      </c>
      <c r="H160" s="83" t="s">
        <v>1397</v>
      </c>
      <c r="I160" s="104" t="s">
        <v>1464</v>
      </c>
      <c r="J160" s="102">
        <f>F160*'2. Emissions Units &amp; Activities'!H25</f>
        <v>8.1937536000000009E-3</v>
      </c>
      <c r="K160" s="105">
        <f t="shared" si="5"/>
        <v>8.1937536000000009E-3</v>
      </c>
      <c r="L160" s="83">
        <f>F160*'2. Emissions Units &amp; Activities'!J25</f>
        <v>8.1937536000000009E-3</v>
      </c>
      <c r="M160" s="102">
        <f>G160*'2. Emissions Units &amp; Activities'!K25</f>
        <v>2.2448640000000003E-5</v>
      </c>
      <c r="N160" s="105">
        <f t="shared" si="9"/>
        <v>2.2448640000000003E-5</v>
      </c>
      <c r="O160" s="83">
        <f>G160*'2. Emissions Units &amp; Activities'!M25</f>
        <v>2.2448640000000003E-5</v>
      </c>
    </row>
    <row r="161" spans="1:15" x14ac:dyDescent="0.35">
      <c r="A161" s="79" t="s">
        <v>1419</v>
      </c>
      <c r="B161" s="100" t="s">
        <v>96</v>
      </c>
      <c r="C161" s="81" t="s">
        <v>97</v>
      </c>
      <c r="D161" s="115"/>
      <c r="E161" s="101">
        <v>0</v>
      </c>
      <c r="F161" s="102">
        <f>(0.0296*0.0000271)</f>
        <v>8.0216000000000008E-7</v>
      </c>
      <c r="G161" s="103">
        <f t="shared" si="10"/>
        <v>8.0216000000000008E-7</v>
      </c>
      <c r="H161" s="83" t="s">
        <v>1397</v>
      </c>
      <c r="I161" s="104" t="s">
        <v>1464</v>
      </c>
      <c r="J161" s="102">
        <f>F161*'2. Emissions Units &amp; Activities'!H25</f>
        <v>7.0269216000000004E-3</v>
      </c>
      <c r="K161" s="105">
        <f t="shared" si="5"/>
        <v>7.0269216000000004E-3</v>
      </c>
      <c r="L161" s="83">
        <f>F161*'2. Emissions Units &amp; Activities'!J25</f>
        <v>7.0269216000000004E-3</v>
      </c>
      <c r="M161" s="102">
        <f>G161*'2. Emissions Units &amp; Activities'!K25</f>
        <v>1.925184E-5</v>
      </c>
      <c r="N161" s="105">
        <f t="shared" si="9"/>
        <v>1.925184E-5</v>
      </c>
      <c r="O161" s="83">
        <f>G161*'2. Emissions Units &amp; Activities'!M25</f>
        <v>1.925184E-5</v>
      </c>
    </row>
    <row r="162" spans="1:15" x14ac:dyDescent="0.35">
      <c r="A162" s="79" t="s">
        <v>1419</v>
      </c>
      <c r="B162" s="100" t="s">
        <v>154</v>
      </c>
      <c r="C162" s="81" t="s">
        <v>155</v>
      </c>
      <c r="D162" s="115"/>
      <c r="E162" s="101">
        <v>0</v>
      </c>
      <c r="F162" s="102">
        <f>(0.0296*0.00000007)</f>
        <v>2.0720000000000003E-9</v>
      </c>
      <c r="G162" s="103">
        <f t="shared" si="10"/>
        <v>2.0720000000000003E-9</v>
      </c>
      <c r="H162" s="83" t="s">
        <v>1397</v>
      </c>
      <c r="I162" s="104" t="s">
        <v>1464</v>
      </c>
      <c r="J162" s="102">
        <f>F162*'2. Emissions Units &amp; Activities'!H25</f>
        <v>1.8150720000000004E-5</v>
      </c>
      <c r="K162" s="105">
        <f t="shared" si="5"/>
        <v>1.8150720000000004E-5</v>
      </c>
      <c r="L162" s="83">
        <f>F162*'2. Emissions Units &amp; Activities'!J25</f>
        <v>1.8150720000000004E-5</v>
      </c>
      <c r="M162" s="102">
        <f>G162*'2. Emissions Units &amp; Activities'!K25</f>
        <v>4.9728000000000007E-8</v>
      </c>
      <c r="N162" s="105">
        <f t="shared" si="9"/>
        <v>4.9728000000000007E-8</v>
      </c>
      <c r="O162" s="83">
        <f>G162*'2. Emissions Units &amp; Activities'!M25</f>
        <v>4.9728000000000007E-8</v>
      </c>
    </row>
    <row r="163" spans="1:15" x14ac:dyDescent="0.35">
      <c r="A163" s="79" t="s">
        <v>1419</v>
      </c>
      <c r="B163" s="100" t="s">
        <v>512</v>
      </c>
      <c r="C163" s="81" t="s">
        <v>513</v>
      </c>
      <c r="D163" s="115"/>
      <c r="E163" s="101">
        <v>0</v>
      </c>
      <c r="F163" s="102">
        <f>(0.0296*0.000001)</f>
        <v>2.96E-8</v>
      </c>
      <c r="G163" s="103">
        <f t="shared" si="10"/>
        <v>2.96E-8</v>
      </c>
      <c r="H163" s="83" t="s">
        <v>1397</v>
      </c>
      <c r="I163" s="104" t="s">
        <v>1464</v>
      </c>
      <c r="J163" s="102">
        <f>F163*'2. Emissions Units &amp; Activities'!H25</f>
        <v>2.5929600000000001E-4</v>
      </c>
      <c r="K163" s="105">
        <f t="shared" si="5"/>
        <v>2.5929600000000001E-4</v>
      </c>
      <c r="L163" s="83">
        <f>F163*'2. Emissions Units &amp; Activities'!J25</f>
        <v>2.5929600000000001E-4</v>
      </c>
      <c r="M163" s="102">
        <f>G163*'2. Emissions Units &amp; Activities'!K25</f>
        <v>7.1040000000000001E-7</v>
      </c>
      <c r="N163" s="105">
        <f t="shared" si="9"/>
        <v>7.1040000000000001E-7</v>
      </c>
      <c r="O163" s="83">
        <f>G163*'2. Emissions Units &amp; Activities'!M25</f>
        <v>7.1040000000000001E-7</v>
      </c>
    </row>
    <row r="164" spans="1:15" x14ac:dyDescent="0.35">
      <c r="A164" s="79" t="s">
        <v>1419</v>
      </c>
      <c r="B164" s="100" t="s">
        <v>518</v>
      </c>
      <c r="C164" s="81" t="s">
        <v>519</v>
      </c>
      <c r="D164" s="115"/>
      <c r="E164" s="101">
        <v>0</v>
      </c>
      <c r="F164" s="102">
        <f>(0.0296*0.0000851)</f>
        <v>2.5189600000000001E-6</v>
      </c>
      <c r="G164" s="103">
        <f t="shared" si="10"/>
        <v>2.5189600000000001E-6</v>
      </c>
      <c r="H164" s="83" t="s">
        <v>1397</v>
      </c>
      <c r="I164" s="104" t="s">
        <v>1464</v>
      </c>
      <c r="J164" s="102">
        <f>F164*'2. Emissions Units &amp; Activities'!H25</f>
        <v>2.2066089600000002E-2</v>
      </c>
      <c r="K164" s="105">
        <f t="shared" si="5"/>
        <v>2.2066089600000002E-2</v>
      </c>
      <c r="L164" s="83">
        <f>F164*'2. Emissions Units &amp; Activities'!J25</f>
        <v>2.2066089600000002E-2</v>
      </c>
      <c r="M164" s="102">
        <f>G164*'2. Emissions Units &amp; Activities'!K25</f>
        <v>6.0455040000000006E-5</v>
      </c>
      <c r="N164" s="105">
        <f t="shared" si="9"/>
        <v>6.0455040000000006E-5</v>
      </c>
      <c r="O164" s="83">
        <f>G164*'2. Emissions Units &amp; Activities'!M25</f>
        <v>6.0455040000000006E-5</v>
      </c>
    </row>
    <row r="165" spans="1:15" x14ac:dyDescent="0.35">
      <c r="A165" s="79" t="s">
        <v>1419</v>
      </c>
      <c r="B165" s="100" t="s">
        <v>524</v>
      </c>
      <c r="C165" s="81" t="s">
        <v>525</v>
      </c>
      <c r="D165" s="115"/>
      <c r="E165" s="101">
        <v>0</v>
      </c>
      <c r="F165" s="102">
        <f>(0.0296*0.0000000057)</f>
        <v>1.6872000000000001E-10</v>
      </c>
      <c r="G165" s="103">
        <f t="shared" si="10"/>
        <v>1.6872000000000001E-10</v>
      </c>
      <c r="H165" s="83" t="s">
        <v>1397</v>
      </c>
      <c r="I165" s="104" t="s">
        <v>1464</v>
      </c>
      <c r="J165" s="102">
        <f>F165*'2. Emissions Units &amp; Activities'!H25</f>
        <v>1.4779872E-6</v>
      </c>
      <c r="K165" s="105">
        <f t="shared" si="5"/>
        <v>1.4779872E-6</v>
      </c>
      <c r="L165" s="83">
        <f>F165*'2. Emissions Units &amp; Activities'!J25</f>
        <v>1.4779872E-6</v>
      </c>
      <c r="M165" s="102">
        <f>G165*'2. Emissions Units &amp; Activities'!K25</f>
        <v>4.0492800000000003E-9</v>
      </c>
      <c r="N165" s="105">
        <f t="shared" si="9"/>
        <v>4.0492800000000003E-9</v>
      </c>
      <c r="O165" s="83">
        <f>G165*'2. Emissions Units &amp; Activities'!M25</f>
        <v>4.0492800000000003E-9</v>
      </c>
    </row>
    <row r="166" spans="1:15" x14ac:dyDescent="0.35">
      <c r="A166" s="79" t="s">
        <v>1419</v>
      </c>
      <c r="B166" s="100" t="s">
        <v>583</v>
      </c>
      <c r="C166" s="81" t="s">
        <v>584</v>
      </c>
      <c r="D166" s="115"/>
      <c r="E166" s="101">
        <v>0</v>
      </c>
      <c r="F166" s="102">
        <f>(0.0296*0.0000002)</f>
        <v>5.9200000000000002E-9</v>
      </c>
      <c r="G166" s="103">
        <f t="shared" si="10"/>
        <v>5.9200000000000002E-9</v>
      </c>
      <c r="H166" s="83" t="s">
        <v>1397</v>
      </c>
      <c r="I166" s="104" t="s">
        <v>1464</v>
      </c>
      <c r="J166" s="102">
        <f>F166*'2. Emissions Units &amp; Activities'!H25</f>
        <v>5.18592E-5</v>
      </c>
      <c r="K166" s="105">
        <f t="shared" si="5"/>
        <v>5.18592E-5</v>
      </c>
      <c r="L166" s="83">
        <f>F166*'2. Emissions Units &amp; Activities'!J25</f>
        <v>5.18592E-5</v>
      </c>
      <c r="M166" s="102">
        <f>G166*'2. Emissions Units &amp; Activities'!K25</f>
        <v>1.4208000000000001E-7</v>
      </c>
      <c r="N166" s="105">
        <f t="shared" si="9"/>
        <v>1.4208000000000001E-7</v>
      </c>
      <c r="O166" s="83">
        <f>G166*'2. Emissions Units &amp; Activities'!M25</f>
        <v>1.4208000000000001E-7</v>
      </c>
    </row>
    <row r="167" spans="1:15" x14ac:dyDescent="0.35">
      <c r="A167" s="79" t="s">
        <v>1419</v>
      </c>
      <c r="B167" s="100" t="s">
        <v>945</v>
      </c>
      <c r="C167" s="81" t="s">
        <v>946</v>
      </c>
      <c r="D167" s="115"/>
      <c r="E167" s="101">
        <v>0</v>
      </c>
      <c r="F167" s="102">
        <f>(0.0296*0.000007)</f>
        <v>2.072E-7</v>
      </c>
      <c r="G167" s="103">
        <f t="shared" si="10"/>
        <v>2.072E-7</v>
      </c>
      <c r="H167" s="83" t="s">
        <v>1397</v>
      </c>
      <c r="I167" s="104" t="s">
        <v>1464</v>
      </c>
      <c r="J167" s="102">
        <f>F167*'2. Emissions Units &amp; Activities'!H25</f>
        <v>1.815072E-3</v>
      </c>
      <c r="K167" s="105">
        <f t="shared" si="5"/>
        <v>1.815072E-3</v>
      </c>
      <c r="L167" s="83">
        <f>F167*'2. Emissions Units &amp; Activities'!J25</f>
        <v>1.815072E-3</v>
      </c>
      <c r="M167" s="102">
        <f>G167*'2. Emissions Units &amp; Activities'!K25</f>
        <v>4.9728000000000001E-6</v>
      </c>
      <c r="N167" s="105">
        <f t="shared" si="9"/>
        <v>4.9728000000000001E-6</v>
      </c>
      <c r="O167" s="83">
        <f>G167*'2. Emissions Units &amp; Activities'!M25</f>
        <v>4.9728000000000001E-6</v>
      </c>
    </row>
    <row r="168" spans="1:15" x14ac:dyDescent="0.35">
      <c r="A168" s="79" t="s">
        <v>1419</v>
      </c>
      <c r="B168" s="100" t="s">
        <v>1076</v>
      </c>
      <c r="C168" s="81" t="s">
        <v>1077</v>
      </c>
      <c r="D168" s="115"/>
      <c r="E168" s="101">
        <v>0</v>
      </c>
      <c r="F168" s="102">
        <f>(0.0296*0.0000003)</f>
        <v>8.8800000000000008E-9</v>
      </c>
      <c r="G168" s="103">
        <f t="shared" si="10"/>
        <v>8.8800000000000008E-9</v>
      </c>
      <c r="H168" s="83" t="s">
        <v>1397</v>
      </c>
      <c r="I168" s="104" t="s">
        <v>1464</v>
      </c>
      <c r="J168" s="102">
        <f>F168*'2. Emissions Units &amp; Activities'!H25</f>
        <v>7.778880000000001E-5</v>
      </c>
      <c r="K168" s="105">
        <f t="shared" si="5"/>
        <v>7.778880000000001E-5</v>
      </c>
      <c r="L168" s="83">
        <f>F168*'2. Emissions Units &amp; Activities'!J26</f>
        <v>7.778880000000001E-5</v>
      </c>
      <c r="M168" s="102">
        <f>G168*'2. Emissions Units &amp; Activities'!K25</f>
        <v>2.1312000000000002E-7</v>
      </c>
      <c r="N168" s="105">
        <f t="shared" si="9"/>
        <v>2.1312000000000002E-7</v>
      </c>
      <c r="O168" s="83">
        <f>G168*'2. Emissions Units &amp; Activities'!M25</f>
        <v>2.1312000000000002E-7</v>
      </c>
    </row>
    <row r="169" spans="1:15" x14ac:dyDescent="0.35">
      <c r="A169" s="79" t="s">
        <v>1420</v>
      </c>
      <c r="B169" s="100" t="s">
        <v>949</v>
      </c>
      <c r="C169" s="81" t="str">
        <f>IFERROR(IF(B169="No CAS","",INDEX('DEQ Pollutant List'!$C$7:$C$611,MATCH('3. Pollutant Emissions - EF'!B169,'DEQ Pollutant List'!$B$7:$B$611,0))),"")</f>
        <v>Silica, crystalline (respirable)</v>
      </c>
      <c r="D169" s="115">
        <f>IFERROR(IF(OR($B169="",$B169="No CAS"),INDEX('DEQ Pollutant List'!$A$7:$A$611,MATCH($C169,'DEQ Pollutant List'!$C$7:$C$611,0)),INDEX('DEQ Pollutant List'!$A$7:$A$611,MATCH($B169,'DEQ Pollutant List'!$B$7:$B$611,0))),"")</f>
        <v>579</v>
      </c>
      <c r="E169" s="101">
        <v>0</v>
      </c>
      <c r="F169" s="102">
        <f>0.0296*3.5%</f>
        <v>1.0360000000000002E-3</v>
      </c>
      <c r="G169" s="103">
        <f t="shared" si="10"/>
        <v>1.0360000000000002E-3</v>
      </c>
      <c r="H169" s="83" t="s">
        <v>1397</v>
      </c>
      <c r="I169" s="104" t="s">
        <v>1417</v>
      </c>
      <c r="J169" s="102">
        <f>F169*'2. Emissions Units &amp; Activities'!H26</f>
        <v>9.0753600000000016</v>
      </c>
      <c r="K169" s="105">
        <f t="shared" si="5"/>
        <v>9.0753600000000016</v>
      </c>
      <c r="L169" s="83">
        <f>F169*'2. Emissions Units &amp; Activities'!J26</f>
        <v>9.0753600000000016</v>
      </c>
      <c r="M169" s="102">
        <f>G169*'2. Emissions Units &amp; Activities'!K26</f>
        <v>2.4864000000000004E-2</v>
      </c>
      <c r="N169" s="105">
        <f t="shared" si="9"/>
        <v>2.4864000000000004E-2</v>
      </c>
      <c r="O169" s="83">
        <f>G169*'2. Emissions Units &amp; Activities'!M26</f>
        <v>2.4864000000000004E-2</v>
      </c>
    </row>
    <row r="170" spans="1:15" x14ac:dyDescent="0.35">
      <c r="A170" s="79" t="s">
        <v>1420</v>
      </c>
      <c r="B170" s="100" t="s">
        <v>40</v>
      </c>
      <c r="C170" s="81" t="str">
        <f>IFERROR(IF(B170="No CAS","",INDEX('DEQ Pollutant List'!$C$7:$C$611,MATCH('3. Pollutant Emissions - EF'!B170,'DEQ Pollutant List'!$B$7:$B$611,0))),"")</f>
        <v>Aluminum and compounds</v>
      </c>
      <c r="D170" s="115">
        <f>IFERROR(IF(OR($B170="",$B170="No CAS"),INDEX('DEQ Pollutant List'!$A$7:$A$611,MATCH($C170,'DEQ Pollutant List'!$C$7:$C$611,0)),INDEX('DEQ Pollutant List'!$A$7:$A$611,MATCH($B170,'DEQ Pollutant List'!$B$7:$B$611,0))),"")</f>
        <v>13</v>
      </c>
      <c r="E170" s="101">
        <v>0</v>
      </c>
      <c r="F170" s="102">
        <f>(0.0296*6.5%)*0.265</f>
        <v>5.0986000000000011E-4</v>
      </c>
      <c r="G170" s="103">
        <f t="shared" si="10"/>
        <v>5.0986000000000011E-4</v>
      </c>
      <c r="H170" s="83" t="s">
        <v>1397</v>
      </c>
      <c r="I170" s="104" t="s">
        <v>1418</v>
      </c>
      <c r="J170" s="102">
        <f>F170*'2. Emissions Units &amp; Activities'!H26</f>
        <v>4.4663736000000007</v>
      </c>
      <c r="K170" s="105">
        <f t="shared" si="5"/>
        <v>4.4663736000000007</v>
      </c>
      <c r="L170" s="83">
        <f>F170*'2. Emissions Units &amp; Activities'!J26</f>
        <v>4.4663736000000007</v>
      </c>
      <c r="M170" s="102">
        <f>G170*'2. Emissions Units &amp; Activities'!K26</f>
        <v>1.2236640000000003E-2</v>
      </c>
      <c r="N170" s="105">
        <f t="shared" si="9"/>
        <v>1.2236640000000003E-2</v>
      </c>
      <c r="O170" s="83">
        <f>G170*'2. Emissions Units &amp; Activities'!M26</f>
        <v>1.2236640000000003E-2</v>
      </c>
    </row>
    <row r="171" spans="1:15" x14ac:dyDescent="0.35">
      <c r="A171" s="79" t="s">
        <v>1420</v>
      </c>
      <c r="B171" s="100" t="s">
        <v>81</v>
      </c>
      <c r="C171" s="81" t="s">
        <v>82</v>
      </c>
      <c r="D171" s="115"/>
      <c r="E171" s="101">
        <v>0</v>
      </c>
      <c r="F171" s="102">
        <f>(0.0296*0.0000316)</f>
        <v>9.3536000000000014E-7</v>
      </c>
      <c r="G171" s="103">
        <f t="shared" ref="G171:G179" si="11">F171</f>
        <v>9.3536000000000014E-7</v>
      </c>
      <c r="H171" s="83" t="s">
        <v>1397</v>
      </c>
      <c r="I171" s="104" t="s">
        <v>1464</v>
      </c>
      <c r="J171" s="102">
        <f>F171*'2. Emissions Units &amp; Activities'!H26</f>
        <v>8.1937536000000009E-3</v>
      </c>
      <c r="K171" s="105">
        <f t="shared" ref="K171:K190" si="12">J171</f>
        <v>8.1937536000000009E-3</v>
      </c>
      <c r="L171" s="83">
        <f>F171*'2. Emissions Units &amp; Activities'!J26</f>
        <v>8.1937536000000009E-3</v>
      </c>
      <c r="M171" s="102">
        <f>G171*'2. Emissions Units &amp; Activities'!K26</f>
        <v>2.2448640000000003E-5</v>
      </c>
      <c r="N171" s="105">
        <f t="shared" ref="N171:N190" si="13">M171</f>
        <v>2.2448640000000003E-5</v>
      </c>
      <c r="O171" s="83">
        <f>G171*'2. Emissions Units &amp; Activities'!M26</f>
        <v>2.2448640000000003E-5</v>
      </c>
    </row>
    <row r="172" spans="1:15" x14ac:dyDescent="0.35">
      <c r="A172" s="79" t="s">
        <v>1420</v>
      </c>
      <c r="B172" s="100" t="s">
        <v>96</v>
      </c>
      <c r="C172" s="81" t="s">
        <v>97</v>
      </c>
      <c r="D172" s="115"/>
      <c r="E172" s="101">
        <v>0</v>
      </c>
      <c r="F172" s="102">
        <f>(0.0296*0.0000271)</f>
        <v>8.0216000000000008E-7</v>
      </c>
      <c r="G172" s="103">
        <f t="shared" si="11"/>
        <v>8.0216000000000008E-7</v>
      </c>
      <c r="H172" s="83" t="s">
        <v>1397</v>
      </c>
      <c r="I172" s="104" t="s">
        <v>1464</v>
      </c>
      <c r="J172" s="102">
        <f>F172*'2. Emissions Units &amp; Activities'!H26</f>
        <v>7.0269216000000004E-3</v>
      </c>
      <c r="K172" s="105">
        <f t="shared" si="12"/>
        <v>7.0269216000000004E-3</v>
      </c>
      <c r="L172" s="83">
        <f>F172*'2. Emissions Units &amp; Activities'!J26</f>
        <v>7.0269216000000004E-3</v>
      </c>
      <c r="M172" s="102">
        <f>G172*'2. Emissions Units &amp; Activities'!K26</f>
        <v>1.925184E-5</v>
      </c>
      <c r="N172" s="105">
        <f t="shared" si="13"/>
        <v>1.925184E-5</v>
      </c>
      <c r="O172" s="83">
        <f>G172*'2. Emissions Units &amp; Activities'!M26</f>
        <v>1.925184E-5</v>
      </c>
    </row>
    <row r="173" spans="1:15" x14ac:dyDescent="0.35">
      <c r="A173" s="79" t="s">
        <v>1420</v>
      </c>
      <c r="B173" s="100" t="s">
        <v>154</v>
      </c>
      <c r="C173" s="81" t="s">
        <v>155</v>
      </c>
      <c r="D173" s="115"/>
      <c r="E173" s="101">
        <v>0</v>
      </c>
      <c r="F173" s="102">
        <f>(0.0296*0.00000007)</f>
        <v>2.0720000000000003E-9</v>
      </c>
      <c r="G173" s="103">
        <f t="shared" si="11"/>
        <v>2.0720000000000003E-9</v>
      </c>
      <c r="H173" s="83" t="s">
        <v>1397</v>
      </c>
      <c r="I173" s="104" t="s">
        <v>1464</v>
      </c>
      <c r="J173" s="102">
        <f>F173*'2. Emissions Units &amp; Activities'!H26</f>
        <v>1.8150720000000004E-5</v>
      </c>
      <c r="K173" s="105">
        <f t="shared" si="12"/>
        <v>1.8150720000000004E-5</v>
      </c>
      <c r="L173" s="83">
        <f>F173*'2. Emissions Units &amp; Activities'!J26</f>
        <v>1.8150720000000004E-5</v>
      </c>
      <c r="M173" s="102">
        <f>G173*'2. Emissions Units &amp; Activities'!K26</f>
        <v>4.9728000000000007E-8</v>
      </c>
      <c r="N173" s="105">
        <f t="shared" si="13"/>
        <v>4.9728000000000007E-8</v>
      </c>
      <c r="O173" s="83">
        <f>G173*'2. Emissions Units &amp; Activities'!M26</f>
        <v>4.9728000000000007E-8</v>
      </c>
    </row>
    <row r="174" spans="1:15" x14ac:dyDescent="0.35">
      <c r="A174" s="79" t="s">
        <v>1420</v>
      </c>
      <c r="B174" s="100" t="s">
        <v>512</v>
      </c>
      <c r="C174" s="81" t="s">
        <v>513</v>
      </c>
      <c r="D174" s="115"/>
      <c r="E174" s="101">
        <v>0</v>
      </c>
      <c r="F174" s="102">
        <f>(0.0296*0.000001)</f>
        <v>2.96E-8</v>
      </c>
      <c r="G174" s="103">
        <f t="shared" si="11"/>
        <v>2.96E-8</v>
      </c>
      <c r="H174" s="83" t="s">
        <v>1397</v>
      </c>
      <c r="I174" s="104" t="s">
        <v>1464</v>
      </c>
      <c r="J174" s="102">
        <f>F174*'2. Emissions Units &amp; Activities'!H26</f>
        <v>2.5929600000000001E-4</v>
      </c>
      <c r="K174" s="105">
        <f t="shared" si="12"/>
        <v>2.5929600000000001E-4</v>
      </c>
      <c r="L174" s="83">
        <f>F174*'2. Emissions Units &amp; Activities'!J26</f>
        <v>2.5929600000000001E-4</v>
      </c>
      <c r="M174" s="102">
        <f>G174*'2. Emissions Units &amp; Activities'!K26</f>
        <v>7.1040000000000001E-7</v>
      </c>
      <c r="N174" s="105">
        <f t="shared" si="13"/>
        <v>7.1040000000000001E-7</v>
      </c>
      <c r="O174" s="83">
        <f>G174*'2. Emissions Units &amp; Activities'!M26</f>
        <v>7.1040000000000001E-7</v>
      </c>
    </row>
    <row r="175" spans="1:15" x14ac:dyDescent="0.35">
      <c r="A175" s="79" t="s">
        <v>1420</v>
      </c>
      <c r="B175" s="100" t="s">
        <v>518</v>
      </c>
      <c r="C175" s="81" t="s">
        <v>519</v>
      </c>
      <c r="D175" s="115"/>
      <c r="E175" s="101">
        <v>0</v>
      </c>
      <c r="F175" s="102">
        <f>(0.0296*0.0000851)</f>
        <v>2.5189600000000001E-6</v>
      </c>
      <c r="G175" s="103">
        <f t="shared" si="11"/>
        <v>2.5189600000000001E-6</v>
      </c>
      <c r="H175" s="83" t="s">
        <v>1397</v>
      </c>
      <c r="I175" s="104" t="s">
        <v>1464</v>
      </c>
      <c r="J175" s="102">
        <f>F175*'2. Emissions Units &amp; Activities'!H26</f>
        <v>2.2066089600000002E-2</v>
      </c>
      <c r="K175" s="105">
        <f t="shared" si="12"/>
        <v>2.2066089600000002E-2</v>
      </c>
      <c r="L175" s="83">
        <f>F175*'2. Emissions Units &amp; Activities'!J26</f>
        <v>2.2066089600000002E-2</v>
      </c>
      <c r="M175" s="102">
        <f>G175*'2. Emissions Units &amp; Activities'!K26</f>
        <v>6.0455040000000006E-5</v>
      </c>
      <c r="N175" s="105">
        <f t="shared" si="13"/>
        <v>6.0455040000000006E-5</v>
      </c>
      <c r="O175" s="83">
        <f>G175*'2. Emissions Units &amp; Activities'!M26</f>
        <v>6.0455040000000006E-5</v>
      </c>
    </row>
    <row r="176" spans="1:15" x14ac:dyDescent="0.35">
      <c r="A176" s="79" t="s">
        <v>1420</v>
      </c>
      <c r="B176" s="100" t="s">
        <v>524</v>
      </c>
      <c r="C176" s="81" t="s">
        <v>525</v>
      </c>
      <c r="D176" s="115"/>
      <c r="E176" s="101">
        <v>0</v>
      </c>
      <c r="F176" s="102">
        <f>(0.0296*0.0000000057)</f>
        <v>1.6872000000000001E-10</v>
      </c>
      <c r="G176" s="103">
        <f t="shared" si="11"/>
        <v>1.6872000000000001E-10</v>
      </c>
      <c r="H176" s="83" t="s">
        <v>1397</v>
      </c>
      <c r="I176" s="104" t="s">
        <v>1464</v>
      </c>
      <c r="J176" s="102">
        <f>F176*'2. Emissions Units &amp; Activities'!H26</f>
        <v>1.4779872E-6</v>
      </c>
      <c r="K176" s="105">
        <f t="shared" si="12"/>
        <v>1.4779872E-6</v>
      </c>
      <c r="L176" s="83">
        <f>F176*'2. Emissions Units &amp; Activities'!J26</f>
        <v>1.4779872E-6</v>
      </c>
      <c r="M176" s="102">
        <f>G176*'2. Emissions Units &amp; Activities'!K26</f>
        <v>4.0492800000000003E-9</v>
      </c>
      <c r="N176" s="105">
        <f t="shared" si="13"/>
        <v>4.0492800000000003E-9</v>
      </c>
      <c r="O176" s="83">
        <f>G176*'2. Emissions Units &amp; Activities'!M26</f>
        <v>4.0492800000000003E-9</v>
      </c>
    </row>
    <row r="177" spans="1:15" x14ac:dyDescent="0.35">
      <c r="A177" s="79" t="s">
        <v>1420</v>
      </c>
      <c r="B177" s="100" t="s">
        <v>583</v>
      </c>
      <c r="C177" s="81" t="s">
        <v>584</v>
      </c>
      <c r="D177" s="115"/>
      <c r="E177" s="101">
        <v>0</v>
      </c>
      <c r="F177" s="102">
        <f>(0.0296*0.0000002)</f>
        <v>5.9200000000000002E-9</v>
      </c>
      <c r="G177" s="103">
        <f t="shared" si="11"/>
        <v>5.9200000000000002E-9</v>
      </c>
      <c r="H177" s="83" t="s">
        <v>1397</v>
      </c>
      <c r="I177" s="104" t="s">
        <v>1464</v>
      </c>
      <c r="J177" s="102">
        <f>F177*'2. Emissions Units &amp; Activities'!H26</f>
        <v>5.18592E-5</v>
      </c>
      <c r="K177" s="105">
        <f t="shared" si="12"/>
        <v>5.18592E-5</v>
      </c>
      <c r="L177" s="83">
        <f>F177*'2. Emissions Units &amp; Activities'!J26</f>
        <v>5.18592E-5</v>
      </c>
      <c r="M177" s="102">
        <f>G177*'2. Emissions Units &amp; Activities'!K26</f>
        <v>1.4208000000000001E-7</v>
      </c>
      <c r="N177" s="105">
        <f t="shared" si="13"/>
        <v>1.4208000000000001E-7</v>
      </c>
      <c r="O177" s="83">
        <f>G177*'2. Emissions Units &amp; Activities'!M26</f>
        <v>1.4208000000000001E-7</v>
      </c>
    </row>
    <row r="178" spans="1:15" x14ac:dyDescent="0.35">
      <c r="A178" s="79" t="s">
        <v>1420</v>
      </c>
      <c r="B178" s="100" t="s">
        <v>945</v>
      </c>
      <c r="C178" s="81" t="s">
        <v>946</v>
      </c>
      <c r="D178" s="115"/>
      <c r="E178" s="101">
        <v>0</v>
      </c>
      <c r="F178" s="102">
        <f>(0.0296*0.000007)</f>
        <v>2.072E-7</v>
      </c>
      <c r="G178" s="103">
        <f t="shared" si="11"/>
        <v>2.072E-7</v>
      </c>
      <c r="H178" s="83" t="s">
        <v>1397</v>
      </c>
      <c r="I178" s="104" t="s">
        <v>1464</v>
      </c>
      <c r="J178" s="102">
        <f>F178*'2. Emissions Units &amp; Activities'!H26</f>
        <v>1.815072E-3</v>
      </c>
      <c r="K178" s="105">
        <f t="shared" si="12"/>
        <v>1.815072E-3</v>
      </c>
      <c r="L178" s="83">
        <f>F178*'2. Emissions Units &amp; Activities'!J26</f>
        <v>1.815072E-3</v>
      </c>
      <c r="M178" s="102">
        <f>G178*'2. Emissions Units &amp; Activities'!K26</f>
        <v>4.9728000000000001E-6</v>
      </c>
      <c r="N178" s="105">
        <f t="shared" si="13"/>
        <v>4.9728000000000001E-6</v>
      </c>
      <c r="O178" s="83">
        <f>G178*'2. Emissions Units &amp; Activities'!M26</f>
        <v>4.9728000000000001E-6</v>
      </c>
    </row>
    <row r="179" spans="1:15" x14ac:dyDescent="0.35">
      <c r="A179" s="79" t="s">
        <v>1420</v>
      </c>
      <c r="B179" s="100" t="s">
        <v>1076</v>
      </c>
      <c r="C179" s="81" t="s">
        <v>1077</v>
      </c>
      <c r="D179" s="115"/>
      <c r="E179" s="101">
        <v>0</v>
      </c>
      <c r="F179" s="102">
        <f>(0.0296*0.0000003)</f>
        <v>8.8800000000000008E-9</v>
      </c>
      <c r="G179" s="103">
        <f t="shared" si="11"/>
        <v>8.8800000000000008E-9</v>
      </c>
      <c r="H179" s="83" t="s">
        <v>1397</v>
      </c>
      <c r="I179" s="104" t="s">
        <v>1464</v>
      </c>
      <c r="J179" s="102">
        <f>F179*'2. Emissions Units &amp; Activities'!H26</f>
        <v>7.778880000000001E-5</v>
      </c>
      <c r="K179" s="105">
        <f t="shared" si="12"/>
        <v>7.778880000000001E-5</v>
      </c>
      <c r="L179" s="83">
        <f>F179*'2. Emissions Units &amp; Activities'!J27</f>
        <v>7.778880000000001E-5</v>
      </c>
      <c r="M179" s="102">
        <f>G179*'2. Emissions Units &amp; Activities'!K26</f>
        <v>2.1312000000000002E-7</v>
      </c>
      <c r="N179" s="105">
        <f t="shared" si="13"/>
        <v>2.1312000000000002E-7</v>
      </c>
      <c r="O179" s="83">
        <f>G179*'2. Emissions Units &amp; Activities'!M26</f>
        <v>2.1312000000000002E-7</v>
      </c>
    </row>
    <row r="180" spans="1:15" x14ac:dyDescent="0.35">
      <c r="A180" s="79" t="s">
        <v>1421</v>
      </c>
      <c r="B180" s="100" t="s">
        <v>949</v>
      </c>
      <c r="C180" s="81" t="str">
        <f>IFERROR(IF(B180="No CAS","",INDEX('DEQ Pollutant List'!$C$7:$C$611,MATCH('3. Pollutant Emissions - EF'!B180,'DEQ Pollutant List'!$B$7:$B$611,0))),"")</f>
        <v>Silica, crystalline (respirable)</v>
      </c>
      <c r="D180" s="115">
        <f>IFERROR(IF(OR($B180="",$B180="No CAS"),INDEX('DEQ Pollutant List'!$A$7:$A$611,MATCH($C180,'DEQ Pollutant List'!$C$7:$C$611,0)),INDEX('DEQ Pollutant List'!$A$7:$A$611,MATCH($B180,'DEQ Pollutant List'!$B$7:$B$611,0))),"")</f>
        <v>579</v>
      </c>
      <c r="E180" s="101">
        <v>0</v>
      </c>
      <c r="F180" s="102">
        <f>0.0296*3.5%</f>
        <v>1.0360000000000002E-3</v>
      </c>
      <c r="G180" s="103">
        <f t="shared" si="10"/>
        <v>1.0360000000000002E-3</v>
      </c>
      <c r="H180" s="83" t="s">
        <v>1397</v>
      </c>
      <c r="I180" s="104" t="s">
        <v>1417</v>
      </c>
      <c r="J180" s="102">
        <f>F180*'2. Emissions Units &amp; Activities'!H27</f>
        <v>9.0753600000000016</v>
      </c>
      <c r="K180" s="105">
        <f t="shared" si="12"/>
        <v>9.0753600000000016</v>
      </c>
      <c r="L180" s="83">
        <f>F180*'2. Emissions Units &amp; Activities'!J27</f>
        <v>9.0753600000000016</v>
      </c>
      <c r="M180" s="102">
        <f>G180*'2. Emissions Units &amp; Activities'!K27</f>
        <v>2.4864000000000004E-2</v>
      </c>
      <c r="N180" s="105">
        <f t="shared" si="13"/>
        <v>2.4864000000000004E-2</v>
      </c>
      <c r="O180" s="83">
        <f>G180*'2. Emissions Units &amp; Activities'!M27</f>
        <v>2.4864000000000004E-2</v>
      </c>
    </row>
    <row r="181" spans="1:15" x14ac:dyDescent="0.35">
      <c r="A181" s="79" t="s">
        <v>1421</v>
      </c>
      <c r="B181" s="100" t="s">
        <v>40</v>
      </c>
      <c r="C181" s="81" t="str">
        <f>IFERROR(IF(B181="No CAS","",INDEX('DEQ Pollutant List'!$C$7:$C$611,MATCH('3. Pollutant Emissions - EF'!B181,'DEQ Pollutant List'!$B$7:$B$611,0))),"")</f>
        <v>Aluminum and compounds</v>
      </c>
      <c r="D181" s="115">
        <f>IFERROR(IF(OR($B181="",$B181="No CAS"),INDEX('DEQ Pollutant List'!$A$7:$A$611,MATCH($C181,'DEQ Pollutant List'!$C$7:$C$611,0)),INDEX('DEQ Pollutant List'!$A$7:$A$611,MATCH($B181,'DEQ Pollutant List'!$B$7:$B$611,0))),"")</f>
        <v>13</v>
      </c>
      <c r="E181" s="101">
        <v>0</v>
      </c>
      <c r="F181" s="102">
        <f>(0.0296*6.5%)*0.265</f>
        <v>5.0986000000000011E-4</v>
      </c>
      <c r="G181" s="103">
        <f t="shared" si="10"/>
        <v>5.0986000000000011E-4</v>
      </c>
      <c r="H181" s="83" t="s">
        <v>1397</v>
      </c>
      <c r="I181" s="104" t="s">
        <v>1418</v>
      </c>
      <c r="J181" s="102">
        <f>F181*'2. Emissions Units &amp; Activities'!H27</f>
        <v>4.4663736000000007</v>
      </c>
      <c r="K181" s="105">
        <f t="shared" si="12"/>
        <v>4.4663736000000007</v>
      </c>
      <c r="L181" s="83">
        <f>F181*'2. Emissions Units &amp; Activities'!J27</f>
        <v>4.4663736000000007</v>
      </c>
      <c r="M181" s="102">
        <f>G181*'2. Emissions Units &amp; Activities'!K27</f>
        <v>1.2236640000000003E-2</v>
      </c>
      <c r="N181" s="105">
        <f t="shared" si="13"/>
        <v>1.2236640000000003E-2</v>
      </c>
      <c r="O181" s="83">
        <f>G181*'2. Emissions Units &amp; Activities'!M27</f>
        <v>1.2236640000000003E-2</v>
      </c>
    </row>
    <row r="182" spans="1:15" x14ac:dyDescent="0.35">
      <c r="A182" s="79" t="s">
        <v>1421</v>
      </c>
      <c r="B182" s="100" t="s">
        <v>81</v>
      </c>
      <c r="C182" s="81" t="s">
        <v>82</v>
      </c>
      <c r="D182" s="115"/>
      <c r="E182" s="101">
        <v>0</v>
      </c>
      <c r="F182" s="102">
        <f>(0.0296*0.0000316)</f>
        <v>9.3536000000000014E-7</v>
      </c>
      <c r="G182" s="103">
        <f t="shared" si="10"/>
        <v>9.3536000000000014E-7</v>
      </c>
      <c r="H182" s="83" t="s">
        <v>1397</v>
      </c>
      <c r="I182" s="104" t="s">
        <v>1464</v>
      </c>
      <c r="J182" s="102">
        <f>F182*'2. Emissions Units &amp; Activities'!H27</f>
        <v>8.1937536000000009E-3</v>
      </c>
      <c r="K182" s="105">
        <f t="shared" si="12"/>
        <v>8.1937536000000009E-3</v>
      </c>
      <c r="L182" s="83">
        <f>F182*'2. Emissions Units &amp; Activities'!J27</f>
        <v>8.1937536000000009E-3</v>
      </c>
      <c r="M182" s="102">
        <f>G182*'2. Emissions Units &amp; Activities'!K27</f>
        <v>2.2448640000000003E-5</v>
      </c>
      <c r="N182" s="105">
        <f t="shared" si="13"/>
        <v>2.2448640000000003E-5</v>
      </c>
      <c r="O182" s="83">
        <f>G182*'2. Emissions Units &amp; Activities'!M27</f>
        <v>2.2448640000000003E-5</v>
      </c>
    </row>
    <row r="183" spans="1:15" x14ac:dyDescent="0.35">
      <c r="A183" s="79" t="s">
        <v>1421</v>
      </c>
      <c r="B183" s="100" t="s">
        <v>96</v>
      </c>
      <c r="C183" s="81" t="s">
        <v>97</v>
      </c>
      <c r="D183" s="115"/>
      <c r="E183" s="101">
        <v>0</v>
      </c>
      <c r="F183" s="102">
        <f>(0.0296*0.0000271)</f>
        <v>8.0216000000000008E-7</v>
      </c>
      <c r="G183" s="103">
        <f t="shared" si="10"/>
        <v>8.0216000000000008E-7</v>
      </c>
      <c r="H183" s="83" t="s">
        <v>1397</v>
      </c>
      <c r="I183" s="104" t="s">
        <v>1464</v>
      </c>
      <c r="J183" s="102">
        <f>F183*'2. Emissions Units &amp; Activities'!H27</f>
        <v>7.0269216000000004E-3</v>
      </c>
      <c r="K183" s="105">
        <f t="shared" si="12"/>
        <v>7.0269216000000004E-3</v>
      </c>
      <c r="L183" s="83">
        <f>F183*'2. Emissions Units &amp; Activities'!J27</f>
        <v>7.0269216000000004E-3</v>
      </c>
      <c r="M183" s="102">
        <f>G183*'2. Emissions Units &amp; Activities'!K27</f>
        <v>1.925184E-5</v>
      </c>
      <c r="N183" s="105">
        <f t="shared" si="13"/>
        <v>1.925184E-5</v>
      </c>
      <c r="O183" s="83">
        <f>G183*'2. Emissions Units &amp; Activities'!M27</f>
        <v>1.925184E-5</v>
      </c>
    </row>
    <row r="184" spans="1:15" x14ac:dyDescent="0.35">
      <c r="A184" s="79" t="s">
        <v>1421</v>
      </c>
      <c r="B184" s="100" t="s">
        <v>154</v>
      </c>
      <c r="C184" s="81" t="s">
        <v>155</v>
      </c>
      <c r="D184" s="115"/>
      <c r="E184" s="101">
        <v>0</v>
      </c>
      <c r="F184" s="102">
        <f>(0.0296*0.00000007)</f>
        <v>2.0720000000000003E-9</v>
      </c>
      <c r="G184" s="103">
        <f t="shared" si="10"/>
        <v>2.0720000000000003E-9</v>
      </c>
      <c r="H184" s="83" t="s">
        <v>1397</v>
      </c>
      <c r="I184" s="104" t="s">
        <v>1464</v>
      </c>
      <c r="J184" s="102">
        <f>F184*'2. Emissions Units &amp; Activities'!H27</f>
        <v>1.8150720000000004E-5</v>
      </c>
      <c r="K184" s="105">
        <f t="shared" si="12"/>
        <v>1.8150720000000004E-5</v>
      </c>
      <c r="L184" s="83">
        <f>F184*'2. Emissions Units &amp; Activities'!J27</f>
        <v>1.8150720000000004E-5</v>
      </c>
      <c r="M184" s="102">
        <f>G184*'2. Emissions Units &amp; Activities'!K27</f>
        <v>4.9728000000000007E-8</v>
      </c>
      <c r="N184" s="105">
        <f t="shared" si="13"/>
        <v>4.9728000000000007E-8</v>
      </c>
      <c r="O184" s="83">
        <f>G184*'2. Emissions Units &amp; Activities'!M27</f>
        <v>4.9728000000000007E-8</v>
      </c>
    </row>
    <row r="185" spans="1:15" x14ac:dyDescent="0.35">
      <c r="A185" s="79" t="s">
        <v>1421</v>
      </c>
      <c r="B185" s="100" t="s">
        <v>512</v>
      </c>
      <c r="C185" s="81" t="s">
        <v>513</v>
      </c>
      <c r="D185" s="115"/>
      <c r="E185" s="101">
        <v>0</v>
      </c>
      <c r="F185" s="102">
        <f>(0.0296*0.000001)</f>
        <v>2.96E-8</v>
      </c>
      <c r="G185" s="103">
        <f t="shared" si="10"/>
        <v>2.96E-8</v>
      </c>
      <c r="H185" s="83" t="s">
        <v>1397</v>
      </c>
      <c r="I185" s="104" t="s">
        <v>1464</v>
      </c>
      <c r="J185" s="102">
        <f>F185*'2. Emissions Units &amp; Activities'!H27</f>
        <v>2.5929600000000001E-4</v>
      </c>
      <c r="K185" s="105">
        <f t="shared" si="12"/>
        <v>2.5929600000000001E-4</v>
      </c>
      <c r="L185" s="83">
        <f>F185*'2. Emissions Units &amp; Activities'!J27</f>
        <v>2.5929600000000001E-4</v>
      </c>
      <c r="M185" s="102">
        <f>G185*'2. Emissions Units &amp; Activities'!K27</f>
        <v>7.1040000000000001E-7</v>
      </c>
      <c r="N185" s="105">
        <f t="shared" si="13"/>
        <v>7.1040000000000001E-7</v>
      </c>
      <c r="O185" s="83">
        <f>G185*'2. Emissions Units &amp; Activities'!M27</f>
        <v>7.1040000000000001E-7</v>
      </c>
    </row>
    <row r="186" spans="1:15" x14ac:dyDescent="0.35">
      <c r="A186" s="79" t="s">
        <v>1421</v>
      </c>
      <c r="B186" s="100" t="s">
        <v>518</v>
      </c>
      <c r="C186" s="81" t="s">
        <v>519</v>
      </c>
      <c r="D186" s="115"/>
      <c r="E186" s="101">
        <v>0</v>
      </c>
      <c r="F186" s="102">
        <f>(0.0296*0.0000851)</f>
        <v>2.5189600000000001E-6</v>
      </c>
      <c r="G186" s="103">
        <f t="shared" si="10"/>
        <v>2.5189600000000001E-6</v>
      </c>
      <c r="H186" s="83" t="s">
        <v>1397</v>
      </c>
      <c r="I186" s="104" t="s">
        <v>1464</v>
      </c>
      <c r="J186" s="102">
        <f>F186*'2. Emissions Units &amp; Activities'!H27</f>
        <v>2.2066089600000002E-2</v>
      </c>
      <c r="K186" s="105">
        <f t="shared" si="12"/>
        <v>2.2066089600000002E-2</v>
      </c>
      <c r="L186" s="83">
        <f>F186*'2. Emissions Units &amp; Activities'!J27</f>
        <v>2.2066089600000002E-2</v>
      </c>
      <c r="M186" s="102">
        <f>G186*'2. Emissions Units &amp; Activities'!K27</f>
        <v>6.0455040000000006E-5</v>
      </c>
      <c r="N186" s="105">
        <f t="shared" si="13"/>
        <v>6.0455040000000006E-5</v>
      </c>
      <c r="O186" s="83">
        <f>G186*'2. Emissions Units &amp; Activities'!M27</f>
        <v>6.0455040000000006E-5</v>
      </c>
    </row>
    <row r="187" spans="1:15" x14ac:dyDescent="0.35">
      <c r="A187" s="79" t="s">
        <v>1421</v>
      </c>
      <c r="B187" s="100" t="s">
        <v>524</v>
      </c>
      <c r="C187" s="81" t="s">
        <v>525</v>
      </c>
      <c r="D187" s="115"/>
      <c r="E187" s="101">
        <v>0</v>
      </c>
      <c r="F187" s="102">
        <f>(0.0296*0.0000000057)</f>
        <v>1.6872000000000001E-10</v>
      </c>
      <c r="G187" s="103">
        <f t="shared" si="10"/>
        <v>1.6872000000000001E-10</v>
      </c>
      <c r="H187" s="83" t="s">
        <v>1397</v>
      </c>
      <c r="I187" s="104" t="s">
        <v>1464</v>
      </c>
      <c r="J187" s="102">
        <f>F187*'2. Emissions Units &amp; Activities'!H27</f>
        <v>1.4779872E-6</v>
      </c>
      <c r="K187" s="105">
        <f t="shared" si="12"/>
        <v>1.4779872E-6</v>
      </c>
      <c r="L187" s="83">
        <f>F187*'2. Emissions Units &amp; Activities'!J27</f>
        <v>1.4779872E-6</v>
      </c>
      <c r="M187" s="102">
        <f>G187*'2. Emissions Units &amp; Activities'!K27</f>
        <v>4.0492800000000003E-9</v>
      </c>
      <c r="N187" s="105">
        <f t="shared" si="13"/>
        <v>4.0492800000000003E-9</v>
      </c>
      <c r="O187" s="83">
        <f>G187*'2. Emissions Units &amp; Activities'!M27</f>
        <v>4.0492800000000003E-9</v>
      </c>
    </row>
    <row r="188" spans="1:15" x14ac:dyDescent="0.35">
      <c r="A188" s="79" t="s">
        <v>1421</v>
      </c>
      <c r="B188" s="100" t="s">
        <v>583</v>
      </c>
      <c r="C188" s="81" t="s">
        <v>584</v>
      </c>
      <c r="D188" s="115"/>
      <c r="E188" s="101">
        <v>0</v>
      </c>
      <c r="F188" s="102">
        <f>(0.0296*0.0000002)</f>
        <v>5.9200000000000002E-9</v>
      </c>
      <c r="G188" s="103">
        <f t="shared" si="10"/>
        <v>5.9200000000000002E-9</v>
      </c>
      <c r="H188" s="83" t="s">
        <v>1397</v>
      </c>
      <c r="I188" s="104" t="s">
        <v>1464</v>
      </c>
      <c r="J188" s="102">
        <f>F188*'2. Emissions Units &amp; Activities'!H27</f>
        <v>5.18592E-5</v>
      </c>
      <c r="K188" s="105">
        <f t="shared" si="12"/>
        <v>5.18592E-5</v>
      </c>
      <c r="L188" s="83">
        <f>F188*'2. Emissions Units &amp; Activities'!J27</f>
        <v>5.18592E-5</v>
      </c>
      <c r="M188" s="102">
        <f>G188*'2. Emissions Units &amp; Activities'!K27</f>
        <v>1.4208000000000001E-7</v>
      </c>
      <c r="N188" s="105">
        <f t="shared" si="13"/>
        <v>1.4208000000000001E-7</v>
      </c>
      <c r="O188" s="83">
        <f>G188*'2. Emissions Units &amp; Activities'!M27</f>
        <v>1.4208000000000001E-7</v>
      </c>
    </row>
    <row r="189" spans="1:15" x14ac:dyDescent="0.35">
      <c r="A189" s="79" t="s">
        <v>1421</v>
      </c>
      <c r="B189" s="100" t="s">
        <v>945</v>
      </c>
      <c r="C189" s="81" t="s">
        <v>946</v>
      </c>
      <c r="D189" s="115"/>
      <c r="E189" s="101">
        <v>0</v>
      </c>
      <c r="F189" s="102">
        <f>(0.0296*0.000007)</f>
        <v>2.072E-7</v>
      </c>
      <c r="G189" s="103">
        <f t="shared" si="10"/>
        <v>2.072E-7</v>
      </c>
      <c r="H189" s="83" t="s">
        <v>1397</v>
      </c>
      <c r="I189" s="104" t="s">
        <v>1464</v>
      </c>
      <c r="J189" s="102">
        <f>F189*'2. Emissions Units &amp; Activities'!H27</f>
        <v>1.815072E-3</v>
      </c>
      <c r="K189" s="105">
        <f t="shared" si="12"/>
        <v>1.815072E-3</v>
      </c>
      <c r="L189" s="83">
        <f>F189*'2. Emissions Units &amp; Activities'!J27</f>
        <v>1.815072E-3</v>
      </c>
      <c r="M189" s="102">
        <f>G189*'2. Emissions Units &amp; Activities'!K27</f>
        <v>4.9728000000000001E-6</v>
      </c>
      <c r="N189" s="105">
        <f t="shared" si="13"/>
        <v>4.9728000000000001E-6</v>
      </c>
      <c r="O189" s="83">
        <f>G189*'2. Emissions Units &amp; Activities'!M27</f>
        <v>4.9728000000000001E-6</v>
      </c>
    </row>
    <row r="190" spans="1:15" x14ac:dyDescent="0.35">
      <c r="A190" s="79" t="s">
        <v>1421</v>
      </c>
      <c r="B190" s="100" t="s">
        <v>1076</v>
      </c>
      <c r="C190" s="81" t="s">
        <v>1077</v>
      </c>
      <c r="D190" s="115"/>
      <c r="E190" s="101">
        <v>0</v>
      </c>
      <c r="F190" s="102">
        <f>(0.0296*0.0000003)</f>
        <v>8.8800000000000008E-9</v>
      </c>
      <c r="G190" s="103">
        <f t="shared" si="10"/>
        <v>8.8800000000000008E-9</v>
      </c>
      <c r="H190" s="83" t="s">
        <v>1397</v>
      </c>
      <c r="I190" s="104" t="s">
        <v>1464</v>
      </c>
      <c r="J190" s="102">
        <f>F190*'2. Emissions Units &amp; Activities'!H27</f>
        <v>7.778880000000001E-5</v>
      </c>
      <c r="K190" s="105">
        <f t="shared" si="12"/>
        <v>7.778880000000001E-5</v>
      </c>
      <c r="L190" s="83">
        <f>F190*'2. Emissions Units &amp; Activities'!J27</f>
        <v>7.778880000000001E-5</v>
      </c>
      <c r="M190" s="102">
        <f>G190*'2. Emissions Units &amp; Activities'!K27</f>
        <v>2.1312000000000002E-7</v>
      </c>
      <c r="N190" s="105">
        <f t="shared" si="13"/>
        <v>2.1312000000000002E-7</v>
      </c>
      <c r="O190" s="83">
        <f>G190*'2. Emissions Units &amp; Activities'!M27</f>
        <v>2.1312000000000002E-7</v>
      </c>
    </row>
    <row r="191" spans="1:15" x14ac:dyDescent="0.35">
      <c r="A191" s="79" t="s">
        <v>1422</v>
      </c>
      <c r="B191" s="100" t="s">
        <v>949</v>
      </c>
      <c r="C191" s="81" t="str">
        <f>IFERROR(IF(B191="No CAS","",INDEX('DEQ Pollutant List'!$C$7:$C$611,MATCH('3. Pollutant Emissions - EF'!B191,'DEQ Pollutant List'!$B$7:$B$611,0))),"")</f>
        <v>Silica, crystalline (respirable)</v>
      </c>
      <c r="D191" s="115">
        <f>IFERROR(IF(OR($B191="",$B191="No CAS"),INDEX('DEQ Pollutant List'!$A$7:$A$611,MATCH($C191,'DEQ Pollutant List'!$C$7:$C$611,0)),INDEX('DEQ Pollutant List'!$A$7:$A$611,MATCH($B191,'DEQ Pollutant List'!$B$7:$B$611,0))),"")</f>
        <v>579</v>
      </c>
      <c r="E191" s="101">
        <v>0</v>
      </c>
      <c r="F191" s="102">
        <f>0.0296*3.5%</f>
        <v>1.0360000000000002E-3</v>
      </c>
      <c r="G191" s="103">
        <f t="shared" si="10"/>
        <v>1.0360000000000002E-3</v>
      </c>
      <c r="H191" s="83" t="s">
        <v>1397</v>
      </c>
      <c r="I191" s="104" t="s">
        <v>1417</v>
      </c>
      <c r="J191" s="102">
        <f>F191*'2. Emissions Units &amp; Activities'!H28</f>
        <v>9.0753600000000016</v>
      </c>
      <c r="K191" s="105">
        <f t="shared" si="5"/>
        <v>9.0753600000000016</v>
      </c>
      <c r="L191" s="83">
        <f>F191*'2. Emissions Units &amp; Activities'!J28</f>
        <v>9.0753600000000016</v>
      </c>
      <c r="M191" s="102">
        <f>G191*'2. Emissions Units &amp; Activities'!K28</f>
        <v>2.4864000000000004E-2</v>
      </c>
      <c r="N191" s="105">
        <f t="shared" si="9"/>
        <v>2.4864000000000004E-2</v>
      </c>
      <c r="O191" s="83">
        <f>G191*'2. Emissions Units &amp; Activities'!M28</f>
        <v>2.4864000000000004E-2</v>
      </c>
    </row>
    <row r="192" spans="1:15" x14ac:dyDescent="0.35">
      <c r="A192" s="79" t="s">
        <v>1422</v>
      </c>
      <c r="B192" s="100" t="s">
        <v>40</v>
      </c>
      <c r="C192" s="81" t="str">
        <f>IFERROR(IF(B192="No CAS","",INDEX('DEQ Pollutant List'!$C$7:$C$611,MATCH('3. Pollutant Emissions - EF'!B192,'DEQ Pollutant List'!$B$7:$B$611,0))),"")</f>
        <v>Aluminum and compounds</v>
      </c>
      <c r="D192" s="115">
        <f>IFERROR(IF(OR($B192="",$B192="No CAS"),INDEX('DEQ Pollutant List'!$A$7:$A$611,MATCH($C192,'DEQ Pollutant List'!$C$7:$C$611,0)),INDEX('DEQ Pollutant List'!$A$7:$A$611,MATCH($B192,'DEQ Pollutant List'!$B$7:$B$611,0))),"")</f>
        <v>13</v>
      </c>
      <c r="E192" s="101">
        <v>0</v>
      </c>
      <c r="F192" s="102">
        <f>(0.0296*6.5%)*0.265</f>
        <v>5.0986000000000011E-4</v>
      </c>
      <c r="G192" s="103">
        <f t="shared" si="10"/>
        <v>5.0986000000000011E-4</v>
      </c>
      <c r="H192" s="83" t="s">
        <v>1397</v>
      </c>
      <c r="I192" s="104" t="s">
        <v>1418</v>
      </c>
      <c r="J192" s="102">
        <f>F192*'2. Emissions Units &amp; Activities'!H28</f>
        <v>4.4663736000000007</v>
      </c>
      <c r="K192" s="105">
        <f t="shared" si="5"/>
        <v>4.4663736000000007</v>
      </c>
      <c r="L192" s="83">
        <f>F192*'2. Emissions Units &amp; Activities'!J28</f>
        <v>4.4663736000000007</v>
      </c>
      <c r="M192" s="102">
        <f>G192*'2. Emissions Units &amp; Activities'!K28</f>
        <v>1.2236640000000003E-2</v>
      </c>
      <c r="N192" s="105">
        <f t="shared" si="9"/>
        <v>1.2236640000000003E-2</v>
      </c>
      <c r="O192" s="83">
        <f>G192*'2. Emissions Units &amp; Activities'!M28</f>
        <v>1.2236640000000003E-2</v>
      </c>
    </row>
    <row r="193" spans="1:15" x14ac:dyDescent="0.35">
      <c r="A193" s="79" t="s">
        <v>1422</v>
      </c>
      <c r="B193" s="100" t="s">
        <v>81</v>
      </c>
      <c r="C193" s="81" t="s">
        <v>82</v>
      </c>
      <c r="D193" s="115"/>
      <c r="E193" s="101">
        <v>0</v>
      </c>
      <c r="F193" s="102">
        <f>(0.0296*0.0000316)</f>
        <v>9.3536000000000014E-7</v>
      </c>
      <c r="G193" s="103">
        <f t="shared" ref="G193:G201" si="14">F193</f>
        <v>9.3536000000000014E-7</v>
      </c>
      <c r="H193" s="83" t="s">
        <v>1397</v>
      </c>
      <c r="I193" s="104" t="s">
        <v>1464</v>
      </c>
      <c r="J193" s="102">
        <f>F193*'2. Emissions Units &amp; Activities'!H28</f>
        <v>8.1937536000000009E-3</v>
      </c>
      <c r="K193" s="105">
        <f t="shared" si="5"/>
        <v>8.1937536000000009E-3</v>
      </c>
      <c r="L193" s="83">
        <f>F193*'2. Emissions Units &amp; Activities'!J28</f>
        <v>8.1937536000000009E-3</v>
      </c>
      <c r="M193" s="102">
        <f>G193*'2. Emissions Units &amp; Activities'!K28</f>
        <v>2.2448640000000003E-5</v>
      </c>
      <c r="N193" s="105">
        <f t="shared" si="9"/>
        <v>2.2448640000000003E-5</v>
      </c>
      <c r="O193" s="83">
        <f>G193*'2. Emissions Units &amp; Activities'!M28</f>
        <v>2.2448640000000003E-5</v>
      </c>
    </row>
    <row r="194" spans="1:15" x14ac:dyDescent="0.35">
      <c r="A194" s="79" t="s">
        <v>1422</v>
      </c>
      <c r="B194" s="100" t="s">
        <v>96</v>
      </c>
      <c r="C194" s="81" t="s">
        <v>97</v>
      </c>
      <c r="D194" s="115"/>
      <c r="E194" s="101">
        <v>0</v>
      </c>
      <c r="F194" s="102">
        <f>(0.0296*0.0000271)</f>
        <v>8.0216000000000008E-7</v>
      </c>
      <c r="G194" s="103">
        <f t="shared" si="14"/>
        <v>8.0216000000000008E-7</v>
      </c>
      <c r="H194" s="83" t="s">
        <v>1397</v>
      </c>
      <c r="I194" s="104" t="s">
        <v>1464</v>
      </c>
      <c r="J194" s="102">
        <f>F194*'2. Emissions Units &amp; Activities'!H28</f>
        <v>7.0269216000000004E-3</v>
      </c>
      <c r="K194" s="105">
        <f t="shared" si="5"/>
        <v>7.0269216000000004E-3</v>
      </c>
      <c r="L194" s="83">
        <f>F194*'2. Emissions Units &amp; Activities'!J28</f>
        <v>7.0269216000000004E-3</v>
      </c>
      <c r="M194" s="102">
        <f>G194*'2. Emissions Units &amp; Activities'!K28</f>
        <v>1.925184E-5</v>
      </c>
      <c r="N194" s="105">
        <f t="shared" si="9"/>
        <v>1.925184E-5</v>
      </c>
      <c r="O194" s="83">
        <f>G194*'2. Emissions Units &amp; Activities'!M28</f>
        <v>1.925184E-5</v>
      </c>
    </row>
    <row r="195" spans="1:15" x14ac:dyDescent="0.35">
      <c r="A195" s="79" t="s">
        <v>1422</v>
      </c>
      <c r="B195" s="100" t="s">
        <v>154</v>
      </c>
      <c r="C195" s="81" t="s">
        <v>155</v>
      </c>
      <c r="D195" s="115"/>
      <c r="E195" s="101">
        <v>0</v>
      </c>
      <c r="F195" s="102">
        <f>(0.0296*0.00000007)</f>
        <v>2.0720000000000003E-9</v>
      </c>
      <c r="G195" s="103">
        <f t="shared" si="14"/>
        <v>2.0720000000000003E-9</v>
      </c>
      <c r="H195" s="83" t="s">
        <v>1397</v>
      </c>
      <c r="I195" s="104" t="s">
        <v>1464</v>
      </c>
      <c r="J195" s="102">
        <f>F195*'2. Emissions Units &amp; Activities'!H28</f>
        <v>1.8150720000000004E-5</v>
      </c>
      <c r="K195" s="105">
        <f t="shared" si="5"/>
        <v>1.8150720000000004E-5</v>
      </c>
      <c r="L195" s="83">
        <f>F195*'2. Emissions Units &amp; Activities'!J28</f>
        <v>1.8150720000000004E-5</v>
      </c>
      <c r="M195" s="102">
        <f>G195*'2. Emissions Units &amp; Activities'!K28</f>
        <v>4.9728000000000007E-8</v>
      </c>
      <c r="N195" s="105">
        <f t="shared" si="9"/>
        <v>4.9728000000000007E-8</v>
      </c>
      <c r="O195" s="83">
        <f>G195*'2. Emissions Units &amp; Activities'!M28</f>
        <v>4.9728000000000007E-8</v>
      </c>
    </row>
    <row r="196" spans="1:15" x14ac:dyDescent="0.35">
      <c r="A196" s="79" t="s">
        <v>1422</v>
      </c>
      <c r="B196" s="100" t="s">
        <v>512</v>
      </c>
      <c r="C196" s="81" t="s">
        <v>513</v>
      </c>
      <c r="D196" s="115"/>
      <c r="E196" s="101">
        <v>0</v>
      </c>
      <c r="F196" s="102">
        <f>(0.0296*0.000001)</f>
        <v>2.96E-8</v>
      </c>
      <c r="G196" s="103">
        <f t="shared" si="14"/>
        <v>2.96E-8</v>
      </c>
      <c r="H196" s="83" t="s">
        <v>1397</v>
      </c>
      <c r="I196" s="104" t="s">
        <v>1464</v>
      </c>
      <c r="J196" s="102">
        <f>F196*'2. Emissions Units &amp; Activities'!H28</f>
        <v>2.5929600000000001E-4</v>
      </c>
      <c r="K196" s="105">
        <f t="shared" si="5"/>
        <v>2.5929600000000001E-4</v>
      </c>
      <c r="L196" s="83">
        <f>F196*'2. Emissions Units &amp; Activities'!J28</f>
        <v>2.5929600000000001E-4</v>
      </c>
      <c r="M196" s="102">
        <f>G196*'2. Emissions Units &amp; Activities'!K28</f>
        <v>7.1040000000000001E-7</v>
      </c>
      <c r="N196" s="105">
        <f t="shared" si="9"/>
        <v>7.1040000000000001E-7</v>
      </c>
      <c r="O196" s="83">
        <f>G196*'2. Emissions Units &amp; Activities'!M28</f>
        <v>7.1040000000000001E-7</v>
      </c>
    </row>
    <row r="197" spans="1:15" x14ac:dyDescent="0.35">
      <c r="A197" s="79" t="s">
        <v>1422</v>
      </c>
      <c r="B197" s="100" t="s">
        <v>518</v>
      </c>
      <c r="C197" s="81" t="s">
        <v>519</v>
      </c>
      <c r="D197" s="115"/>
      <c r="E197" s="101">
        <v>0</v>
      </c>
      <c r="F197" s="102">
        <f>(0.0296*0.0000851)</f>
        <v>2.5189600000000001E-6</v>
      </c>
      <c r="G197" s="103">
        <f t="shared" si="14"/>
        <v>2.5189600000000001E-6</v>
      </c>
      <c r="H197" s="83" t="s">
        <v>1397</v>
      </c>
      <c r="I197" s="104" t="s">
        <v>1464</v>
      </c>
      <c r="J197" s="102">
        <f>F197*'2. Emissions Units &amp; Activities'!H28</f>
        <v>2.2066089600000002E-2</v>
      </c>
      <c r="K197" s="105">
        <f t="shared" si="5"/>
        <v>2.2066089600000002E-2</v>
      </c>
      <c r="L197" s="83">
        <f>F197*'2. Emissions Units &amp; Activities'!J28</f>
        <v>2.2066089600000002E-2</v>
      </c>
      <c r="M197" s="102">
        <f>G197*'2. Emissions Units &amp; Activities'!K28</f>
        <v>6.0455040000000006E-5</v>
      </c>
      <c r="N197" s="105">
        <f t="shared" si="9"/>
        <v>6.0455040000000006E-5</v>
      </c>
      <c r="O197" s="83">
        <f>G197*'2. Emissions Units &amp; Activities'!M28</f>
        <v>6.0455040000000006E-5</v>
      </c>
    </row>
    <row r="198" spans="1:15" x14ac:dyDescent="0.35">
      <c r="A198" s="79" t="s">
        <v>1422</v>
      </c>
      <c r="B198" s="100" t="s">
        <v>524</v>
      </c>
      <c r="C198" s="81" t="s">
        <v>525</v>
      </c>
      <c r="D198" s="115"/>
      <c r="E198" s="101">
        <v>0</v>
      </c>
      <c r="F198" s="102">
        <f>(0.0296*0.0000000057)</f>
        <v>1.6872000000000001E-10</v>
      </c>
      <c r="G198" s="103">
        <f t="shared" si="14"/>
        <v>1.6872000000000001E-10</v>
      </c>
      <c r="H198" s="83" t="s">
        <v>1397</v>
      </c>
      <c r="I198" s="104" t="s">
        <v>1464</v>
      </c>
      <c r="J198" s="102">
        <f>F198*'2. Emissions Units &amp; Activities'!H28</f>
        <v>1.4779872E-6</v>
      </c>
      <c r="K198" s="105">
        <f t="shared" si="5"/>
        <v>1.4779872E-6</v>
      </c>
      <c r="L198" s="83">
        <f>F198*'2. Emissions Units &amp; Activities'!J28</f>
        <v>1.4779872E-6</v>
      </c>
      <c r="M198" s="102">
        <f>G198*'2. Emissions Units &amp; Activities'!K28</f>
        <v>4.0492800000000003E-9</v>
      </c>
      <c r="N198" s="105">
        <f t="shared" si="9"/>
        <v>4.0492800000000003E-9</v>
      </c>
      <c r="O198" s="83">
        <f>G198*'2. Emissions Units &amp; Activities'!M28</f>
        <v>4.0492800000000003E-9</v>
      </c>
    </row>
    <row r="199" spans="1:15" x14ac:dyDescent="0.35">
      <c r="A199" s="79" t="s">
        <v>1422</v>
      </c>
      <c r="B199" s="100" t="s">
        <v>583</v>
      </c>
      <c r="C199" s="81" t="s">
        <v>584</v>
      </c>
      <c r="D199" s="115"/>
      <c r="E199" s="101">
        <v>0</v>
      </c>
      <c r="F199" s="102">
        <f>(0.0296*0.0000002)</f>
        <v>5.9200000000000002E-9</v>
      </c>
      <c r="G199" s="103">
        <f t="shared" si="14"/>
        <v>5.9200000000000002E-9</v>
      </c>
      <c r="H199" s="83" t="s">
        <v>1397</v>
      </c>
      <c r="I199" s="104" t="s">
        <v>1464</v>
      </c>
      <c r="J199" s="102">
        <f>F199*'2. Emissions Units &amp; Activities'!H28</f>
        <v>5.18592E-5</v>
      </c>
      <c r="K199" s="105">
        <f t="shared" si="5"/>
        <v>5.18592E-5</v>
      </c>
      <c r="L199" s="83">
        <f>F199*'2. Emissions Units &amp; Activities'!J28</f>
        <v>5.18592E-5</v>
      </c>
      <c r="M199" s="102">
        <f>G199*'2. Emissions Units &amp; Activities'!K28</f>
        <v>1.4208000000000001E-7</v>
      </c>
      <c r="N199" s="105">
        <f t="shared" si="9"/>
        <v>1.4208000000000001E-7</v>
      </c>
      <c r="O199" s="83">
        <f>G199*'2. Emissions Units &amp; Activities'!M28</f>
        <v>1.4208000000000001E-7</v>
      </c>
    </row>
    <row r="200" spans="1:15" x14ac:dyDescent="0.35">
      <c r="A200" s="79" t="s">
        <v>1422</v>
      </c>
      <c r="B200" s="100" t="s">
        <v>945</v>
      </c>
      <c r="C200" s="81" t="s">
        <v>946</v>
      </c>
      <c r="D200" s="115"/>
      <c r="E200" s="101">
        <v>0</v>
      </c>
      <c r="F200" s="102">
        <f>(0.0296*0.000007)</f>
        <v>2.072E-7</v>
      </c>
      <c r="G200" s="103">
        <f t="shared" si="14"/>
        <v>2.072E-7</v>
      </c>
      <c r="H200" s="83" t="s">
        <v>1397</v>
      </c>
      <c r="I200" s="104" t="s">
        <v>1464</v>
      </c>
      <c r="J200" s="102">
        <f>F200*'2. Emissions Units &amp; Activities'!H28</f>
        <v>1.815072E-3</v>
      </c>
      <c r="K200" s="105">
        <f t="shared" si="5"/>
        <v>1.815072E-3</v>
      </c>
      <c r="L200" s="83">
        <f>F200*'2. Emissions Units &amp; Activities'!J28</f>
        <v>1.815072E-3</v>
      </c>
      <c r="M200" s="102">
        <f>G200*'2. Emissions Units &amp; Activities'!K28</f>
        <v>4.9728000000000001E-6</v>
      </c>
      <c r="N200" s="105">
        <f t="shared" si="9"/>
        <v>4.9728000000000001E-6</v>
      </c>
      <c r="O200" s="83">
        <f>G200*'2. Emissions Units &amp; Activities'!M28</f>
        <v>4.9728000000000001E-6</v>
      </c>
    </row>
    <row r="201" spans="1:15" x14ac:dyDescent="0.35">
      <c r="A201" s="79" t="s">
        <v>1422</v>
      </c>
      <c r="B201" s="100" t="s">
        <v>1076</v>
      </c>
      <c r="C201" s="81" t="s">
        <v>1077</v>
      </c>
      <c r="D201" s="115"/>
      <c r="E201" s="101">
        <v>0</v>
      </c>
      <c r="F201" s="102">
        <f>(0.0296*0.0000003)</f>
        <v>8.8800000000000008E-9</v>
      </c>
      <c r="G201" s="103">
        <f t="shared" si="14"/>
        <v>8.8800000000000008E-9</v>
      </c>
      <c r="H201" s="83" t="s">
        <v>1397</v>
      </c>
      <c r="I201" s="104" t="s">
        <v>1464</v>
      </c>
      <c r="J201" s="102">
        <f>F201*'2. Emissions Units &amp; Activities'!H28</f>
        <v>7.778880000000001E-5</v>
      </c>
      <c r="K201" s="105">
        <f t="shared" si="5"/>
        <v>7.778880000000001E-5</v>
      </c>
      <c r="L201" s="83">
        <f>F201*'2. Emissions Units &amp; Activities'!J28</f>
        <v>7.778880000000001E-5</v>
      </c>
      <c r="M201" s="102">
        <f>G201*'2. Emissions Units &amp; Activities'!K28</f>
        <v>2.1312000000000002E-7</v>
      </c>
      <c r="N201" s="105">
        <f t="shared" si="9"/>
        <v>2.1312000000000002E-7</v>
      </c>
      <c r="O201" s="83">
        <f>G201*'2. Emissions Units &amp; Activities'!M28</f>
        <v>2.1312000000000002E-7</v>
      </c>
    </row>
    <row r="202" spans="1:15" x14ac:dyDescent="0.3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3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35">
      <c r="A204" s="79"/>
      <c r="B204" s="100"/>
      <c r="C204" s="81"/>
      <c r="D204" s="115"/>
      <c r="E204" s="101"/>
      <c r="F204" s="102"/>
      <c r="G204" s="103"/>
      <c r="H204" s="83"/>
      <c r="I204" s="104"/>
      <c r="J204" s="102"/>
      <c r="K204" s="105"/>
      <c r="L204" s="83"/>
      <c r="M204" s="102"/>
      <c r="N204" s="105"/>
      <c r="O204" s="83"/>
    </row>
    <row r="205" spans="1:15" x14ac:dyDescent="0.35">
      <c r="A205" s="79"/>
      <c r="B205" s="100"/>
      <c r="C205" s="81"/>
      <c r="D205" s="115"/>
      <c r="E205" s="101"/>
      <c r="F205" s="102"/>
      <c r="G205" s="103"/>
      <c r="H205" s="83"/>
      <c r="I205" s="104"/>
      <c r="J205" s="102"/>
      <c r="K205" s="105"/>
      <c r="L205" s="83"/>
      <c r="M205" s="102"/>
      <c r="N205" s="105"/>
      <c r="O205" s="83"/>
    </row>
    <row r="206" spans="1:15" x14ac:dyDescent="0.35">
      <c r="A206" s="79"/>
      <c r="B206" s="100"/>
      <c r="C206" s="81"/>
      <c r="D206" s="115"/>
      <c r="E206" s="101"/>
      <c r="F206" s="102"/>
      <c r="G206" s="103"/>
      <c r="H206" s="83"/>
      <c r="I206" s="104"/>
      <c r="J206" s="102"/>
      <c r="K206" s="105"/>
      <c r="L206" s="83"/>
      <c r="M206" s="102"/>
      <c r="N206" s="105"/>
      <c r="O206" s="83"/>
    </row>
    <row r="207" spans="1:15" x14ac:dyDescent="0.35">
      <c r="A207" s="79"/>
      <c r="B207" s="100"/>
      <c r="C207" s="81"/>
      <c r="D207" s="115"/>
      <c r="E207" s="101"/>
      <c r="F207" s="102"/>
      <c r="G207" s="103"/>
      <c r="H207" s="83"/>
      <c r="I207" s="104"/>
      <c r="J207" s="102"/>
      <c r="K207" s="105"/>
      <c r="L207" s="83"/>
      <c r="M207" s="102"/>
      <c r="N207" s="105"/>
      <c r="O207" s="83"/>
    </row>
    <row r="208" spans="1:15" x14ac:dyDescent="0.35">
      <c r="A208" s="79"/>
      <c r="B208" s="100"/>
      <c r="C208" s="81"/>
      <c r="D208" s="115"/>
      <c r="E208" s="101"/>
      <c r="F208" s="102"/>
      <c r="G208" s="103"/>
      <c r="H208" s="83"/>
      <c r="I208" s="104"/>
      <c r="J208" s="102"/>
      <c r="K208" s="105"/>
      <c r="L208" s="83"/>
      <c r="M208" s="102"/>
      <c r="N208" s="105"/>
      <c r="O208" s="83"/>
    </row>
    <row r="209" spans="1:15" x14ac:dyDescent="0.35">
      <c r="A209" s="79"/>
      <c r="B209" s="100"/>
      <c r="C209" s="81"/>
      <c r="D209" s="115"/>
      <c r="E209" s="101"/>
      <c r="F209" s="102"/>
      <c r="G209" s="103"/>
      <c r="H209" s="83"/>
      <c r="I209" s="104"/>
      <c r="J209" s="102"/>
      <c r="K209" s="105"/>
      <c r="L209" s="83"/>
      <c r="M209" s="102"/>
      <c r="N209" s="105"/>
      <c r="O209" s="83"/>
    </row>
    <row r="210" spans="1:15" x14ac:dyDescent="0.35">
      <c r="A210" s="79"/>
      <c r="B210" s="100"/>
      <c r="C210" s="81"/>
      <c r="D210" s="115"/>
      <c r="E210" s="101"/>
      <c r="F210" s="102"/>
      <c r="G210" s="103"/>
      <c r="H210" s="83"/>
      <c r="I210" s="104"/>
      <c r="J210" s="102"/>
      <c r="K210" s="105"/>
      <c r="L210" s="83"/>
      <c r="M210" s="102"/>
      <c r="N210" s="105"/>
      <c r="O210" s="83"/>
    </row>
    <row r="211" spans="1:15" x14ac:dyDescent="0.35">
      <c r="A211" s="79"/>
      <c r="B211" s="100"/>
      <c r="C211" s="81"/>
      <c r="D211" s="115"/>
      <c r="E211" s="101"/>
      <c r="F211" s="102"/>
      <c r="G211" s="103"/>
      <c r="H211" s="83"/>
      <c r="I211" s="104"/>
      <c r="J211" s="102"/>
      <c r="K211" s="105"/>
      <c r="L211" s="83"/>
      <c r="M211" s="102"/>
      <c r="N211" s="105"/>
      <c r="O211" s="83"/>
    </row>
    <row r="212" spans="1:15" x14ac:dyDescent="0.35">
      <c r="A212" s="79"/>
      <c r="B212" s="100"/>
      <c r="C212" s="81"/>
      <c r="D212" s="115"/>
      <c r="E212" s="101"/>
      <c r="F212" s="102"/>
      <c r="G212" s="103"/>
      <c r="H212" s="83"/>
      <c r="I212" s="104"/>
      <c r="J212" s="102"/>
      <c r="K212" s="105"/>
      <c r="L212" s="83"/>
      <c r="M212" s="102"/>
      <c r="N212" s="105"/>
      <c r="O212" s="83"/>
    </row>
    <row r="213" spans="1:15" x14ac:dyDescent="0.35">
      <c r="A213" s="79"/>
      <c r="B213" s="100"/>
      <c r="C213" s="81"/>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35">
      <c r="A214" s="79"/>
      <c r="B214" s="100"/>
      <c r="C214" s="81"/>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35">
      <c r="A215" s="79"/>
      <c r="B215" s="100"/>
      <c r="C215" s="81"/>
      <c r="D215" s="115"/>
      <c r="E215" s="101"/>
      <c r="F215" s="102"/>
      <c r="G215" s="103"/>
      <c r="H215" s="83"/>
      <c r="I215" s="104"/>
      <c r="J215" s="102"/>
      <c r="K215" s="105"/>
      <c r="L215" s="83"/>
      <c r="M215" s="102"/>
      <c r="N215" s="105"/>
      <c r="O215" s="83"/>
    </row>
    <row r="216" spans="1:15" x14ac:dyDescent="0.35">
      <c r="A216" s="79"/>
      <c r="B216" s="100"/>
      <c r="C216" s="81"/>
      <c r="D216" s="115"/>
      <c r="E216" s="101"/>
      <c r="F216" s="102"/>
      <c r="G216" s="103"/>
      <c r="H216" s="83"/>
      <c r="I216" s="104"/>
      <c r="J216" s="102"/>
      <c r="K216" s="105"/>
      <c r="L216" s="83"/>
      <c r="M216" s="102"/>
      <c r="N216" s="105"/>
      <c r="O216" s="83"/>
    </row>
    <row r="217" spans="1:15" x14ac:dyDescent="0.35">
      <c r="A217" s="79"/>
      <c r="B217" s="100"/>
      <c r="C217" s="81"/>
      <c r="D217" s="115"/>
      <c r="E217" s="101"/>
      <c r="F217" s="102"/>
      <c r="G217" s="103"/>
      <c r="H217" s="83"/>
      <c r="I217" s="104"/>
      <c r="J217" s="102"/>
      <c r="K217" s="105"/>
      <c r="L217" s="83"/>
      <c r="M217" s="102"/>
      <c r="N217" s="105"/>
      <c r="O217" s="83"/>
    </row>
    <row r="218" spans="1:15" x14ac:dyDescent="0.35">
      <c r="A218" s="79"/>
      <c r="B218" s="100"/>
      <c r="C218" s="81"/>
      <c r="D218" s="115"/>
      <c r="E218" s="101"/>
      <c r="F218" s="102"/>
      <c r="G218" s="103"/>
      <c r="H218" s="83"/>
      <c r="I218" s="104"/>
      <c r="J218" s="102"/>
      <c r="K218" s="105"/>
      <c r="L218" s="83"/>
      <c r="M218" s="102"/>
      <c r="N218" s="105"/>
      <c r="O218" s="83"/>
    </row>
    <row r="219" spans="1:15" x14ac:dyDescent="0.35">
      <c r="A219" s="79"/>
      <c r="B219" s="100"/>
      <c r="C219" s="81"/>
      <c r="D219" s="115"/>
      <c r="E219" s="101"/>
      <c r="F219" s="102"/>
      <c r="G219" s="103"/>
      <c r="H219" s="83"/>
      <c r="I219" s="104"/>
      <c r="J219" s="102"/>
      <c r="K219" s="105"/>
      <c r="L219" s="83"/>
      <c r="M219" s="102"/>
      <c r="N219" s="105"/>
      <c r="O219" s="83"/>
    </row>
    <row r="220" spans="1:15" x14ac:dyDescent="0.35">
      <c r="A220" s="79"/>
      <c r="B220" s="100"/>
      <c r="C220" s="81"/>
      <c r="D220" s="115"/>
      <c r="E220" s="101"/>
      <c r="F220" s="102"/>
      <c r="G220" s="103"/>
      <c r="H220" s="83"/>
      <c r="I220" s="104"/>
      <c r="J220" s="102"/>
      <c r="K220" s="105"/>
      <c r="L220" s="83"/>
      <c r="M220" s="102"/>
      <c r="N220" s="105"/>
      <c r="O220" s="83"/>
    </row>
    <row r="221" spans="1:15" x14ac:dyDescent="0.35">
      <c r="A221" s="79"/>
      <c r="B221" s="100"/>
      <c r="C221" s="81"/>
      <c r="D221" s="115"/>
      <c r="E221" s="101"/>
      <c r="F221" s="102"/>
      <c r="G221" s="103"/>
      <c r="H221" s="83"/>
      <c r="I221" s="104"/>
      <c r="J221" s="102"/>
      <c r="K221" s="105"/>
      <c r="L221" s="83"/>
      <c r="M221" s="102"/>
      <c r="N221" s="105"/>
      <c r="O221" s="83"/>
    </row>
    <row r="222" spans="1:15" x14ac:dyDescent="0.35">
      <c r="A222" s="79"/>
      <c r="B222" s="100"/>
      <c r="C222" s="81"/>
      <c r="D222" s="115"/>
      <c r="E222" s="101"/>
      <c r="F222" s="102"/>
      <c r="G222" s="103"/>
      <c r="H222" s="83"/>
      <c r="I222" s="104"/>
      <c r="J222" s="102"/>
      <c r="K222" s="105"/>
      <c r="L222" s="83"/>
      <c r="M222" s="102"/>
      <c r="N222" s="105"/>
      <c r="O222" s="83"/>
    </row>
    <row r="223" spans="1:15" x14ac:dyDescent="0.35">
      <c r="A223" s="79"/>
      <c r="B223" s="100"/>
      <c r="C223" s="81"/>
      <c r="D223" s="115"/>
      <c r="E223" s="101"/>
      <c r="F223" s="102"/>
      <c r="G223" s="103"/>
      <c r="H223" s="83"/>
      <c r="I223" s="104"/>
      <c r="J223" s="102"/>
      <c r="K223" s="105"/>
      <c r="L223" s="83"/>
      <c r="M223" s="102"/>
      <c r="N223" s="105"/>
      <c r="O223" s="83"/>
    </row>
    <row r="224" spans="1:15" x14ac:dyDescent="0.35">
      <c r="A224" s="79" t="s">
        <v>1423</v>
      </c>
      <c r="B224" s="100" t="s">
        <v>949</v>
      </c>
      <c r="C224" s="81" t="str">
        <f>IFERROR(IF(B224="No CAS","",INDEX('DEQ Pollutant List'!$C$7:$C$611,MATCH('3. Pollutant Emissions - EF'!B224,'DEQ Pollutant List'!$B$7:$B$611,0))),"")</f>
        <v>Silica, crystalline (respirable)</v>
      </c>
      <c r="D224" s="115">
        <f>IFERROR(IF(OR($B224="",$B224="No CAS"),INDEX('DEQ Pollutant List'!$A$7:$A$611,MATCH($C224,'DEQ Pollutant List'!$C$7:$C$611,0)),INDEX('DEQ Pollutant List'!$A$7:$A$611,MATCH($B224,'DEQ Pollutant List'!$B$7:$B$611,0))),"")</f>
        <v>579</v>
      </c>
      <c r="E224" s="101">
        <v>0</v>
      </c>
      <c r="F224" s="102">
        <f>0.0539*3.5%</f>
        <v>1.8865000000000004E-3</v>
      </c>
      <c r="G224" s="103">
        <f t="shared" si="10"/>
        <v>1.8865000000000004E-3</v>
      </c>
      <c r="H224" s="83" t="s">
        <v>1397</v>
      </c>
      <c r="I224" s="104" t="s">
        <v>1417</v>
      </c>
      <c r="J224" s="102">
        <f>F224*'2. Emissions Units &amp; Activities'!H31</f>
        <v>16.525740000000003</v>
      </c>
      <c r="K224" s="105">
        <f t="shared" si="5"/>
        <v>16.525740000000003</v>
      </c>
      <c r="L224" s="83">
        <f>F224*'2. Emissions Units &amp; Activities'!J31</f>
        <v>16.525740000000003</v>
      </c>
      <c r="M224" s="102">
        <f>G224*'2. Emissions Units &amp; Activities'!K31</f>
        <v>4.5276000000000011E-2</v>
      </c>
      <c r="N224" s="105">
        <f t="shared" si="9"/>
        <v>4.5276000000000011E-2</v>
      </c>
      <c r="O224" s="83">
        <f>G224*'2. Emissions Units &amp; Activities'!M31</f>
        <v>4.5276000000000011E-2</v>
      </c>
    </row>
    <row r="225" spans="1:15" x14ac:dyDescent="0.35">
      <c r="A225" s="79" t="s">
        <v>1423</v>
      </c>
      <c r="B225" s="100" t="s">
        <v>40</v>
      </c>
      <c r="C225" s="81" t="str">
        <f>IFERROR(IF(B225="No CAS","",INDEX('DEQ Pollutant List'!$C$7:$C$611,MATCH('3. Pollutant Emissions - EF'!B225,'DEQ Pollutant List'!$B$7:$B$611,0))),"")</f>
        <v>Aluminum and compounds</v>
      </c>
      <c r="D225" s="115">
        <f>IFERROR(IF(OR($B225="",$B225="No CAS"),INDEX('DEQ Pollutant List'!$A$7:$A$611,MATCH($C225,'DEQ Pollutant List'!$C$7:$C$611,0)),INDEX('DEQ Pollutant List'!$A$7:$A$611,MATCH($B225,'DEQ Pollutant List'!$B$7:$B$611,0))),"")</f>
        <v>13</v>
      </c>
      <c r="E225" s="101">
        <v>0</v>
      </c>
      <c r="F225" s="102">
        <f>(0.0539*6.5%)*0.265</f>
        <v>9.2842750000000018E-4</v>
      </c>
      <c r="G225" s="103">
        <f t="shared" si="10"/>
        <v>9.2842750000000018E-4</v>
      </c>
      <c r="H225" s="83" t="s">
        <v>1397</v>
      </c>
      <c r="I225" s="104" t="s">
        <v>1418</v>
      </c>
      <c r="J225" s="102">
        <f>F225*'2. Emissions Units &amp; Activities'!H31</f>
        <v>8.1330249000000023</v>
      </c>
      <c r="K225" s="105">
        <f t="shared" ref="K225:K288" si="15">J225</f>
        <v>8.1330249000000023</v>
      </c>
      <c r="L225" s="83">
        <f>F225*'2. Emissions Units &amp; Activities'!J31</f>
        <v>8.1330249000000023</v>
      </c>
      <c r="M225" s="102">
        <f>G225*'2. Emissions Units &amp; Activities'!K31</f>
        <v>2.2282260000000005E-2</v>
      </c>
      <c r="N225" s="105">
        <f t="shared" si="9"/>
        <v>2.2282260000000005E-2</v>
      </c>
      <c r="O225" s="83">
        <f>G225*'2. Emissions Units &amp; Activities'!M31</f>
        <v>2.2282260000000005E-2</v>
      </c>
    </row>
    <row r="226" spans="1:15" x14ac:dyDescent="0.35">
      <c r="A226" s="79" t="s">
        <v>1423</v>
      </c>
      <c r="B226" s="100" t="s">
        <v>81</v>
      </c>
      <c r="C226" s="81" t="s">
        <v>82</v>
      </c>
      <c r="D226" s="115"/>
      <c r="E226" s="101">
        <v>0</v>
      </c>
      <c r="F226" s="102">
        <f>(0.0539*0.0000316)</f>
        <v>1.7032400000000003E-6</v>
      </c>
      <c r="G226" s="103">
        <f t="shared" si="10"/>
        <v>1.7032400000000003E-6</v>
      </c>
      <c r="H226" s="83" t="s">
        <v>1397</v>
      </c>
      <c r="I226" s="104" t="s">
        <v>1464</v>
      </c>
      <c r="J226" s="102">
        <f>F226*'2. Emissions Units &amp; Activities'!H31</f>
        <v>1.4920382400000003E-2</v>
      </c>
      <c r="K226" s="105">
        <f t="shared" si="15"/>
        <v>1.4920382400000003E-2</v>
      </c>
      <c r="L226" s="83">
        <f>F226*'2. Emissions Units &amp; Activities'!J31</f>
        <v>1.4920382400000003E-2</v>
      </c>
      <c r="M226" s="102">
        <f>G226*'2. Emissions Units &amp; Activities'!K31</f>
        <v>4.0877760000000008E-5</v>
      </c>
      <c r="N226" s="105">
        <f t="shared" si="9"/>
        <v>4.0877760000000008E-5</v>
      </c>
      <c r="O226" s="83">
        <f>G226*'2. Emissions Units &amp; Activities'!M31</f>
        <v>4.0877760000000008E-5</v>
      </c>
    </row>
    <row r="227" spans="1:15" x14ac:dyDescent="0.35">
      <c r="A227" s="79" t="s">
        <v>1423</v>
      </c>
      <c r="B227" s="100" t="s">
        <v>96</v>
      </c>
      <c r="C227" s="81" t="s">
        <v>97</v>
      </c>
      <c r="D227" s="115"/>
      <c r="E227" s="101">
        <v>0</v>
      </c>
      <c r="F227" s="102">
        <f>(0.0539*0.0000271)</f>
        <v>1.4606900000000002E-6</v>
      </c>
      <c r="G227" s="103">
        <f t="shared" si="10"/>
        <v>1.4606900000000002E-6</v>
      </c>
      <c r="H227" s="83" t="s">
        <v>1397</v>
      </c>
      <c r="I227" s="104" t="s">
        <v>1464</v>
      </c>
      <c r="J227" s="102">
        <f>F227*'2. Emissions Units &amp; Activities'!H31</f>
        <v>1.2795644400000002E-2</v>
      </c>
      <c r="K227" s="105">
        <f t="shared" si="15"/>
        <v>1.2795644400000002E-2</v>
      </c>
      <c r="L227" s="83">
        <f>F227*'2. Emissions Units &amp; Activities'!J31</f>
        <v>1.2795644400000002E-2</v>
      </c>
      <c r="M227" s="102">
        <f>G227*'2. Emissions Units &amp; Activities'!K31</f>
        <v>3.5056560000000003E-5</v>
      </c>
      <c r="N227" s="105">
        <f t="shared" si="9"/>
        <v>3.5056560000000003E-5</v>
      </c>
      <c r="O227" s="83">
        <f>G227*'2. Emissions Units &amp; Activities'!M31</f>
        <v>3.5056560000000003E-5</v>
      </c>
    </row>
    <row r="228" spans="1:15" x14ac:dyDescent="0.35">
      <c r="A228" s="79" t="s">
        <v>1423</v>
      </c>
      <c r="B228" s="100" t="s">
        <v>154</v>
      </c>
      <c r="C228" s="81" t="s">
        <v>155</v>
      </c>
      <c r="D228" s="115"/>
      <c r="E228" s="101">
        <v>0</v>
      </c>
      <c r="F228" s="102">
        <f>(0.0539*0.00000007)</f>
        <v>3.7730000000000001E-9</v>
      </c>
      <c r="G228" s="103">
        <f t="shared" si="10"/>
        <v>3.7730000000000001E-9</v>
      </c>
      <c r="H228" s="83" t="s">
        <v>1397</v>
      </c>
      <c r="I228" s="104" t="s">
        <v>1464</v>
      </c>
      <c r="J228" s="102">
        <f>F228*'2. Emissions Units &amp; Activities'!H31</f>
        <v>3.3051479999999999E-5</v>
      </c>
      <c r="K228" s="105">
        <f t="shared" si="15"/>
        <v>3.3051479999999999E-5</v>
      </c>
      <c r="L228" s="83">
        <f>F228*'2. Emissions Units &amp; Activities'!J31</f>
        <v>3.3051479999999999E-5</v>
      </c>
      <c r="M228" s="102">
        <f>G228*'2. Emissions Units &amp; Activities'!K31</f>
        <v>9.0552000000000002E-8</v>
      </c>
      <c r="N228" s="105">
        <f t="shared" si="9"/>
        <v>9.0552000000000002E-8</v>
      </c>
      <c r="O228" s="83">
        <f>G228*'2. Emissions Units &amp; Activities'!M31</f>
        <v>9.0552000000000002E-8</v>
      </c>
    </row>
    <row r="229" spans="1:15" x14ac:dyDescent="0.35">
      <c r="A229" s="79" t="s">
        <v>1423</v>
      </c>
      <c r="B229" s="100" t="s">
        <v>512</v>
      </c>
      <c r="C229" s="81" t="s">
        <v>513</v>
      </c>
      <c r="D229" s="115"/>
      <c r="E229" s="101">
        <v>0</v>
      </c>
      <c r="F229" s="102">
        <f>(0.0539*0.000001)</f>
        <v>5.39E-8</v>
      </c>
      <c r="G229" s="103">
        <f t="shared" si="10"/>
        <v>5.39E-8</v>
      </c>
      <c r="H229" s="83" t="s">
        <v>1397</v>
      </c>
      <c r="I229" s="104" t="s">
        <v>1464</v>
      </c>
      <c r="J229" s="102">
        <f>F229*'2. Emissions Units &amp; Activities'!H31</f>
        <v>4.7216400000000001E-4</v>
      </c>
      <c r="K229" s="105">
        <f t="shared" si="15"/>
        <v>4.7216400000000001E-4</v>
      </c>
      <c r="L229" s="83">
        <f>F229*'2. Emissions Units &amp; Activities'!J31</f>
        <v>4.7216400000000001E-4</v>
      </c>
      <c r="M229" s="102">
        <f>G229*'2. Emissions Units &amp; Activities'!K31</f>
        <v>1.2936E-6</v>
      </c>
      <c r="N229" s="105">
        <f t="shared" si="9"/>
        <v>1.2936E-6</v>
      </c>
      <c r="O229" s="83">
        <f>G229*'2. Emissions Units &amp; Activities'!M31</f>
        <v>1.2936E-6</v>
      </c>
    </row>
    <row r="230" spans="1:15" x14ac:dyDescent="0.35">
      <c r="A230" s="79" t="s">
        <v>1423</v>
      </c>
      <c r="B230" s="100" t="s">
        <v>518</v>
      </c>
      <c r="C230" s="81" t="s">
        <v>519</v>
      </c>
      <c r="D230" s="115"/>
      <c r="E230" s="101">
        <v>0</v>
      </c>
      <c r="F230" s="102">
        <f>(0.0539*0.0000851)</f>
        <v>4.5868900000000002E-6</v>
      </c>
      <c r="G230" s="103">
        <f t="shared" si="10"/>
        <v>4.5868900000000002E-6</v>
      </c>
      <c r="H230" s="83" t="s">
        <v>1397</v>
      </c>
      <c r="I230" s="104" t="s">
        <v>1464</v>
      </c>
      <c r="J230" s="102">
        <f>F230*'2. Emissions Units &amp; Activities'!H31</f>
        <v>4.0181156400000001E-2</v>
      </c>
      <c r="K230" s="105">
        <f t="shared" si="15"/>
        <v>4.0181156400000001E-2</v>
      </c>
      <c r="L230" s="83">
        <f>F230*'2. Emissions Units &amp; Activities'!J31</f>
        <v>4.0181156400000001E-2</v>
      </c>
      <c r="M230" s="102">
        <f>G230*'2. Emissions Units &amp; Activities'!K31</f>
        <v>1.1008536E-4</v>
      </c>
      <c r="N230" s="105">
        <f t="shared" si="9"/>
        <v>1.1008536E-4</v>
      </c>
      <c r="O230" s="83">
        <f>G230*'2. Emissions Units &amp; Activities'!M31</f>
        <v>1.1008536E-4</v>
      </c>
    </row>
    <row r="231" spans="1:15" x14ac:dyDescent="0.35">
      <c r="A231" s="79" t="s">
        <v>1423</v>
      </c>
      <c r="B231" s="100" t="s">
        <v>524</v>
      </c>
      <c r="C231" s="81" t="s">
        <v>525</v>
      </c>
      <c r="D231" s="115"/>
      <c r="E231" s="101">
        <v>0</v>
      </c>
      <c r="F231" s="102">
        <f>(0.0539*0.0000000057)</f>
        <v>3.0722999999999998E-10</v>
      </c>
      <c r="G231" s="103">
        <f t="shared" si="10"/>
        <v>3.0722999999999998E-10</v>
      </c>
      <c r="H231" s="83" t="s">
        <v>1397</v>
      </c>
      <c r="I231" s="104" t="s">
        <v>1464</v>
      </c>
      <c r="J231" s="102">
        <f>F231*'2. Emissions Units &amp; Activities'!H31</f>
        <v>2.6913348E-6</v>
      </c>
      <c r="K231" s="105">
        <f t="shared" si="15"/>
        <v>2.6913348E-6</v>
      </c>
      <c r="L231" s="83">
        <f>F231*'2. Emissions Units &amp; Activities'!J31</f>
        <v>2.6913348E-6</v>
      </c>
      <c r="M231" s="102">
        <f>G231*'2. Emissions Units &amp; Activities'!K31</f>
        <v>7.3735199999999996E-9</v>
      </c>
      <c r="N231" s="105">
        <f t="shared" si="9"/>
        <v>7.3735199999999996E-9</v>
      </c>
      <c r="O231" s="83">
        <f>G231*'2. Emissions Units &amp; Activities'!M31</f>
        <v>7.3735199999999996E-9</v>
      </c>
    </row>
    <row r="232" spans="1:15" x14ac:dyDescent="0.35">
      <c r="A232" s="79" t="s">
        <v>1423</v>
      </c>
      <c r="B232" s="100" t="s">
        <v>583</v>
      </c>
      <c r="C232" s="81" t="s">
        <v>584</v>
      </c>
      <c r="D232" s="115"/>
      <c r="E232" s="101">
        <v>0</v>
      </c>
      <c r="F232" s="102">
        <f>(0.0539*0.0000002)</f>
        <v>1.078E-8</v>
      </c>
      <c r="G232" s="103">
        <f t="shared" si="10"/>
        <v>1.078E-8</v>
      </c>
      <c r="H232" s="83" t="s">
        <v>1397</v>
      </c>
      <c r="I232" s="104" t="s">
        <v>1464</v>
      </c>
      <c r="J232" s="102">
        <f>F232*'2. Emissions Units &amp; Activities'!H31</f>
        <v>9.4432799999999995E-5</v>
      </c>
      <c r="K232" s="105">
        <f t="shared" si="15"/>
        <v>9.4432799999999995E-5</v>
      </c>
      <c r="L232" s="83">
        <f>F232*'2. Emissions Units &amp; Activities'!J31</f>
        <v>9.4432799999999995E-5</v>
      </c>
      <c r="M232" s="102">
        <f>G232*'2. Emissions Units &amp; Activities'!K31</f>
        <v>2.5871999999999998E-7</v>
      </c>
      <c r="N232" s="105">
        <f t="shared" si="9"/>
        <v>2.5871999999999998E-7</v>
      </c>
      <c r="O232" s="83">
        <f>G232*'2. Emissions Units &amp; Activities'!M31</f>
        <v>2.5871999999999998E-7</v>
      </c>
    </row>
    <row r="233" spans="1:15" x14ac:dyDescent="0.35">
      <c r="A233" s="79" t="s">
        <v>1423</v>
      </c>
      <c r="B233" s="100" t="s">
        <v>945</v>
      </c>
      <c r="C233" s="81" t="s">
        <v>946</v>
      </c>
      <c r="D233" s="115"/>
      <c r="E233" s="101">
        <v>0</v>
      </c>
      <c r="F233" s="102">
        <f>(0.0539*0.000007)</f>
        <v>3.7730000000000002E-7</v>
      </c>
      <c r="G233" s="103">
        <f t="shared" si="10"/>
        <v>3.7730000000000002E-7</v>
      </c>
      <c r="H233" s="83" t="s">
        <v>1397</v>
      </c>
      <c r="I233" s="104" t="s">
        <v>1464</v>
      </c>
      <c r="J233" s="102">
        <f>F233*'2. Emissions Units &amp; Activities'!H31</f>
        <v>3.3051480000000004E-3</v>
      </c>
      <c r="K233" s="105">
        <f t="shared" si="15"/>
        <v>3.3051480000000004E-3</v>
      </c>
      <c r="L233" s="83">
        <f>F233*'2. Emissions Units &amp; Activities'!J31</f>
        <v>3.3051480000000004E-3</v>
      </c>
      <c r="M233" s="102">
        <f>G233*'2. Emissions Units &amp; Activities'!K31</f>
        <v>9.055200000000001E-6</v>
      </c>
      <c r="N233" s="105">
        <f t="shared" si="9"/>
        <v>9.055200000000001E-6</v>
      </c>
      <c r="O233" s="83">
        <f>G233*'2. Emissions Units &amp; Activities'!M31</f>
        <v>9.055200000000001E-6</v>
      </c>
    </row>
    <row r="234" spans="1:15" x14ac:dyDescent="0.35">
      <c r="A234" s="79" t="s">
        <v>1423</v>
      </c>
      <c r="B234" s="100" t="s">
        <v>1076</v>
      </c>
      <c r="C234" s="81" t="s">
        <v>1077</v>
      </c>
      <c r="D234" s="115"/>
      <c r="E234" s="101">
        <v>0</v>
      </c>
      <c r="F234" s="102">
        <f>(0.0539*0.0000003)</f>
        <v>1.6170000000000002E-8</v>
      </c>
      <c r="G234" s="103">
        <f t="shared" si="10"/>
        <v>1.6170000000000002E-8</v>
      </c>
      <c r="H234" s="83" t="s">
        <v>1397</v>
      </c>
      <c r="I234" s="104" t="s">
        <v>1464</v>
      </c>
      <c r="J234" s="102">
        <f>F234*'2. Emissions Units &amp; Activities'!H31</f>
        <v>1.4164920000000003E-4</v>
      </c>
      <c r="K234" s="105">
        <f t="shared" si="15"/>
        <v>1.4164920000000003E-4</v>
      </c>
      <c r="L234" s="83">
        <f>F234*'2. Emissions Units &amp; Activities'!J31</f>
        <v>1.4164920000000003E-4</v>
      </c>
      <c r="M234" s="102">
        <f>G234*'2. Emissions Units &amp; Activities'!K31</f>
        <v>3.8808000000000002E-7</v>
      </c>
      <c r="N234" s="105">
        <f t="shared" si="9"/>
        <v>3.8808000000000002E-7</v>
      </c>
      <c r="O234" s="83">
        <f>G234*'2. Emissions Units &amp; Activities'!M31</f>
        <v>3.8808000000000002E-7</v>
      </c>
    </row>
    <row r="235" spans="1:15" x14ac:dyDescent="0.35">
      <c r="A235" s="79" t="s">
        <v>1434</v>
      </c>
      <c r="B235" s="100" t="s">
        <v>949</v>
      </c>
      <c r="C235" s="81" t="str">
        <f>IFERROR(IF(B235="No CAS","",INDEX('DEQ Pollutant List'!$C$7:$C$611,MATCH('3. Pollutant Emissions - EF'!B235,'DEQ Pollutant List'!$B$7:$B$611,0))),"")</f>
        <v>Silica, crystalline (respirable)</v>
      </c>
      <c r="D235" s="115">
        <f>IFERROR(IF(OR($B235="",$B235="No CAS"),INDEX('DEQ Pollutant List'!$A$7:$A$611,MATCH($C235,'DEQ Pollutant List'!$C$7:$C$611,0)),INDEX('DEQ Pollutant List'!$A$7:$A$611,MATCH($B235,'DEQ Pollutant List'!$B$7:$B$611,0))),"")</f>
        <v>579</v>
      </c>
      <c r="E235" s="101">
        <v>0</v>
      </c>
      <c r="F235" s="102">
        <f>0.0206*3.5%</f>
        <v>7.2100000000000007E-4</v>
      </c>
      <c r="G235" s="103">
        <f t="shared" si="10"/>
        <v>7.2100000000000007E-4</v>
      </c>
      <c r="H235" s="83" t="s">
        <v>1397</v>
      </c>
      <c r="I235" s="104" t="s">
        <v>1417</v>
      </c>
      <c r="J235" s="102">
        <f>F235*'2. Emissions Units &amp; Activities'!H32</f>
        <v>6.3159600000000005</v>
      </c>
      <c r="K235" s="105">
        <f t="shared" si="15"/>
        <v>6.3159600000000005</v>
      </c>
      <c r="L235" s="83">
        <f>F235*'2. Emissions Units &amp; Activities'!J32</f>
        <v>6.3159600000000005</v>
      </c>
      <c r="M235" s="102">
        <f>G235*'2. Emissions Units &amp; Activities'!K32</f>
        <v>1.7304E-2</v>
      </c>
      <c r="N235" s="105">
        <f t="shared" si="9"/>
        <v>1.7304E-2</v>
      </c>
      <c r="O235" s="83">
        <f>G235*'2. Emissions Units &amp; Activities'!M32</f>
        <v>1.7304E-2</v>
      </c>
    </row>
    <row r="236" spans="1:15" x14ac:dyDescent="0.35">
      <c r="A236" s="79" t="s">
        <v>1434</v>
      </c>
      <c r="B236" s="100" t="s">
        <v>40</v>
      </c>
      <c r="C236" s="81" t="str">
        <f>IFERROR(IF(B236="No CAS","",INDEX('DEQ Pollutant List'!$C$7:$C$611,MATCH('3. Pollutant Emissions - EF'!B236,'DEQ Pollutant List'!$B$7:$B$611,0))),"")</f>
        <v>Aluminum and compounds</v>
      </c>
      <c r="D236" s="115">
        <f>IFERROR(IF(OR($B236="",$B236="No CAS"),INDEX('DEQ Pollutant List'!$A$7:$A$611,MATCH($C236,'DEQ Pollutant List'!$C$7:$C$611,0)),INDEX('DEQ Pollutant List'!$A$7:$A$611,MATCH($B236,'DEQ Pollutant List'!$B$7:$B$611,0))),"")</f>
        <v>13</v>
      </c>
      <c r="E236" s="101">
        <v>0</v>
      </c>
      <c r="F236" s="102">
        <f>(0.0206*6.5%)*0.265</f>
        <v>3.5483500000000007E-4</v>
      </c>
      <c r="G236" s="103">
        <f t="shared" si="10"/>
        <v>3.5483500000000007E-4</v>
      </c>
      <c r="H236" s="83" t="s">
        <v>1397</v>
      </c>
      <c r="I236" s="104" t="s">
        <v>1418</v>
      </c>
      <c r="J236" s="102">
        <f>F236*'2. Emissions Units &amp; Activities'!H32</f>
        <v>3.1083546000000006</v>
      </c>
      <c r="K236" s="105">
        <f t="shared" si="15"/>
        <v>3.1083546000000006</v>
      </c>
      <c r="L236" s="83">
        <f>F236*'2. Emissions Units &amp; Activities'!J32</f>
        <v>3.1083546000000006</v>
      </c>
      <c r="M236" s="102">
        <f>G236*'2. Emissions Units &amp; Activities'!K32</f>
        <v>8.5160400000000025E-3</v>
      </c>
      <c r="N236" s="105">
        <f t="shared" si="9"/>
        <v>8.5160400000000025E-3</v>
      </c>
      <c r="O236" s="83">
        <f>G236*'2. Emissions Units &amp; Activities'!M32</f>
        <v>8.5160400000000025E-3</v>
      </c>
    </row>
    <row r="237" spans="1:15" x14ac:dyDescent="0.35">
      <c r="A237" s="79" t="s">
        <v>1434</v>
      </c>
      <c r="B237" s="100" t="s">
        <v>81</v>
      </c>
      <c r="C237" s="81" t="s">
        <v>82</v>
      </c>
      <c r="D237" s="115"/>
      <c r="E237" s="101">
        <v>0</v>
      </c>
      <c r="F237" s="102">
        <f>(0.0206*0.0000316)</f>
        <v>6.5096000000000005E-7</v>
      </c>
      <c r="G237" s="103">
        <f t="shared" ref="G237:G245" si="16">F237</f>
        <v>6.5096000000000005E-7</v>
      </c>
      <c r="H237" s="83" t="s">
        <v>1397</v>
      </c>
      <c r="I237" s="104" t="s">
        <v>1464</v>
      </c>
      <c r="J237" s="102">
        <f>F237*'2. Emissions Units &amp; Activities'!H32</f>
        <v>5.7024096000000005E-3</v>
      </c>
      <c r="K237" s="105">
        <f t="shared" si="15"/>
        <v>5.7024096000000005E-3</v>
      </c>
      <c r="L237" s="83">
        <f>F237*'2. Emissions Units &amp; Activities'!J32</f>
        <v>5.7024096000000005E-3</v>
      </c>
      <c r="M237" s="102">
        <f>G237*'2. Emissions Units &amp; Activities'!K32</f>
        <v>1.5623040000000002E-5</v>
      </c>
      <c r="N237" s="105">
        <f t="shared" si="9"/>
        <v>1.5623040000000002E-5</v>
      </c>
      <c r="O237" s="83">
        <f>G237*'2. Emissions Units &amp; Activities'!M32</f>
        <v>1.5623040000000002E-5</v>
      </c>
    </row>
    <row r="238" spans="1:15" x14ac:dyDescent="0.35">
      <c r="A238" s="79" t="s">
        <v>1434</v>
      </c>
      <c r="B238" s="100" t="s">
        <v>96</v>
      </c>
      <c r="C238" s="81" t="s">
        <v>97</v>
      </c>
      <c r="D238" s="115"/>
      <c r="E238" s="101">
        <v>0</v>
      </c>
      <c r="F238" s="102">
        <f>(0.0206*0.0000271)</f>
        <v>5.5826000000000008E-7</v>
      </c>
      <c r="G238" s="103">
        <f t="shared" si="16"/>
        <v>5.5826000000000008E-7</v>
      </c>
      <c r="H238" s="83" t="s">
        <v>1397</v>
      </c>
      <c r="I238" s="104" t="s">
        <v>1464</v>
      </c>
      <c r="J238" s="102">
        <f>F238*'2. Emissions Units &amp; Activities'!H32</f>
        <v>4.8903576000000008E-3</v>
      </c>
      <c r="K238" s="105">
        <f t="shared" si="15"/>
        <v>4.8903576000000008E-3</v>
      </c>
      <c r="L238" s="83">
        <f>F238*'2. Emissions Units &amp; Activities'!J32</f>
        <v>4.8903576000000008E-3</v>
      </c>
      <c r="M238" s="102">
        <f>G238*'2. Emissions Units &amp; Activities'!K32</f>
        <v>1.3398240000000003E-5</v>
      </c>
      <c r="N238" s="105">
        <f t="shared" si="9"/>
        <v>1.3398240000000003E-5</v>
      </c>
      <c r="O238" s="83">
        <f>G238*'2. Emissions Units &amp; Activities'!M32</f>
        <v>1.3398240000000003E-5</v>
      </c>
    </row>
    <row r="239" spans="1:15" x14ac:dyDescent="0.35">
      <c r="A239" s="79" t="s">
        <v>1434</v>
      </c>
      <c r="B239" s="100" t="s">
        <v>154</v>
      </c>
      <c r="C239" s="81" t="s">
        <v>155</v>
      </c>
      <c r="D239" s="115"/>
      <c r="E239" s="101">
        <v>0</v>
      </c>
      <c r="F239" s="102">
        <f>(0.0206*0.00000007)</f>
        <v>1.4420000000000002E-9</v>
      </c>
      <c r="G239" s="103">
        <f t="shared" si="16"/>
        <v>1.4420000000000002E-9</v>
      </c>
      <c r="H239" s="83" t="s">
        <v>1397</v>
      </c>
      <c r="I239" s="104" t="s">
        <v>1464</v>
      </c>
      <c r="J239" s="102">
        <f>F239*'2. Emissions Units &amp; Activities'!H32</f>
        <v>1.2631920000000002E-5</v>
      </c>
      <c r="K239" s="105">
        <f t="shared" si="15"/>
        <v>1.2631920000000002E-5</v>
      </c>
      <c r="L239" s="83">
        <f>F239*'2. Emissions Units &amp; Activities'!J32</f>
        <v>1.2631920000000002E-5</v>
      </c>
      <c r="M239" s="102">
        <f>G239*'2. Emissions Units &amp; Activities'!K32</f>
        <v>3.4608000000000001E-8</v>
      </c>
      <c r="N239" s="105">
        <f t="shared" si="9"/>
        <v>3.4608000000000001E-8</v>
      </c>
      <c r="O239" s="83">
        <f>G239*'2. Emissions Units &amp; Activities'!M32</f>
        <v>3.4608000000000001E-8</v>
      </c>
    </row>
    <row r="240" spans="1:15" x14ac:dyDescent="0.35">
      <c r="A240" s="79" t="s">
        <v>1434</v>
      </c>
      <c r="B240" s="100" t="s">
        <v>512</v>
      </c>
      <c r="C240" s="81" t="s">
        <v>513</v>
      </c>
      <c r="D240" s="115"/>
      <c r="E240" s="101">
        <v>0</v>
      </c>
      <c r="F240" s="102">
        <f>(0.0206*0.000001)</f>
        <v>2.0599999999999999E-8</v>
      </c>
      <c r="G240" s="103">
        <f t="shared" si="16"/>
        <v>2.0599999999999999E-8</v>
      </c>
      <c r="H240" s="83" t="s">
        <v>1397</v>
      </c>
      <c r="I240" s="104" t="s">
        <v>1464</v>
      </c>
      <c r="J240" s="102">
        <f>F240*'2. Emissions Units &amp; Activities'!H32</f>
        <v>1.8045599999999998E-4</v>
      </c>
      <c r="K240" s="105">
        <f t="shared" si="15"/>
        <v>1.8045599999999998E-4</v>
      </c>
      <c r="L240" s="83">
        <f>F240*'2. Emissions Units &amp; Activities'!J32</f>
        <v>1.8045599999999998E-4</v>
      </c>
      <c r="M240" s="102">
        <f>G240*'2. Emissions Units &amp; Activities'!K32</f>
        <v>4.9439999999999998E-7</v>
      </c>
      <c r="N240" s="105">
        <f t="shared" si="9"/>
        <v>4.9439999999999998E-7</v>
      </c>
      <c r="O240" s="83">
        <f>G240*'2. Emissions Units &amp; Activities'!M32</f>
        <v>4.9439999999999998E-7</v>
      </c>
    </row>
    <row r="241" spans="1:15" x14ac:dyDescent="0.35">
      <c r="A241" s="79" t="s">
        <v>1434</v>
      </c>
      <c r="B241" s="100" t="s">
        <v>518</v>
      </c>
      <c r="C241" s="81" t="s">
        <v>519</v>
      </c>
      <c r="D241" s="115"/>
      <c r="E241" s="101">
        <v>0</v>
      </c>
      <c r="F241" s="102">
        <f>(0.0206*0.0000851)</f>
        <v>1.7530599999999999E-6</v>
      </c>
      <c r="G241" s="103">
        <f t="shared" si="16"/>
        <v>1.7530599999999999E-6</v>
      </c>
      <c r="H241" s="83" t="s">
        <v>1397</v>
      </c>
      <c r="I241" s="104" t="s">
        <v>1464</v>
      </c>
      <c r="J241" s="102">
        <f>F241*'2. Emissions Units &amp; Activities'!H32</f>
        <v>1.5356805599999999E-2</v>
      </c>
      <c r="K241" s="105">
        <f t="shared" si="15"/>
        <v>1.5356805599999999E-2</v>
      </c>
      <c r="L241" s="83">
        <f>F241*'2. Emissions Units &amp; Activities'!J32</f>
        <v>1.5356805599999999E-2</v>
      </c>
      <c r="M241" s="102">
        <f>G241*'2. Emissions Units &amp; Activities'!K32</f>
        <v>4.2073439999999999E-5</v>
      </c>
      <c r="N241" s="105">
        <f t="shared" si="9"/>
        <v>4.2073439999999999E-5</v>
      </c>
      <c r="O241" s="83">
        <f>G241*'2. Emissions Units &amp; Activities'!M32</f>
        <v>4.2073439999999999E-5</v>
      </c>
    </row>
    <row r="242" spans="1:15" x14ac:dyDescent="0.35">
      <c r="A242" s="79" t="s">
        <v>1434</v>
      </c>
      <c r="B242" s="100" t="s">
        <v>524</v>
      </c>
      <c r="C242" s="81" t="s">
        <v>525</v>
      </c>
      <c r="D242" s="115"/>
      <c r="E242" s="101">
        <v>0</v>
      </c>
      <c r="F242" s="102">
        <f>(0.0206*0.0000000057)</f>
        <v>1.1741999999999999E-10</v>
      </c>
      <c r="G242" s="103">
        <f t="shared" si="16"/>
        <v>1.1741999999999999E-10</v>
      </c>
      <c r="H242" s="83" t="s">
        <v>1397</v>
      </c>
      <c r="I242" s="104" t="s">
        <v>1464</v>
      </c>
      <c r="J242" s="102">
        <f>F242*'2. Emissions Units &amp; Activities'!H32</f>
        <v>1.0285992E-6</v>
      </c>
      <c r="K242" s="105">
        <f t="shared" si="15"/>
        <v>1.0285992E-6</v>
      </c>
      <c r="L242" s="83">
        <f>F242*'2. Emissions Units &amp; Activities'!J32</f>
        <v>1.0285992E-6</v>
      </c>
      <c r="M242" s="102">
        <f>G242*'2. Emissions Units &amp; Activities'!K32</f>
        <v>2.8180799999999998E-9</v>
      </c>
      <c r="N242" s="105">
        <f t="shared" si="9"/>
        <v>2.8180799999999998E-9</v>
      </c>
      <c r="O242" s="83">
        <f>G242*'2. Emissions Units &amp; Activities'!M32</f>
        <v>2.8180799999999998E-9</v>
      </c>
    </row>
    <row r="243" spans="1:15" x14ac:dyDescent="0.35">
      <c r="A243" s="79" t="s">
        <v>1434</v>
      </c>
      <c r="B243" s="100" t="s">
        <v>583</v>
      </c>
      <c r="C243" s="81" t="s">
        <v>584</v>
      </c>
      <c r="D243" s="115"/>
      <c r="E243" s="101">
        <v>0</v>
      </c>
      <c r="F243" s="102">
        <f>(0.0206*0.0000002)</f>
        <v>4.1199999999999998E-9</v>
      </c>
      <c r="G243" s="103">
        <f t="shared" si="16"/>
        <v>4.1199999999999998E-9</v>
      </c>
      <c r="H243" s="83" t="s">
        <v>1397</v>
      </c>
      <c r="I243" s="104" t="s">
        <v>1464</v>
      </c>
      <c r="J243" s="102">
        <f>F243*'2. Emissions Units &amp; Activities'!H32</f>
        <v>3.6091199999999998E-5</v>
      </c>
      <c r="K243" s="105">
        <f t="shared" si="15"/>
        <v>3.6091199999999998E-5</v>
      </c>
      <c r="L243" s="83">
        <f>F243*'2. Emissions Units &amp; Activities'!J32</f>
        <v>3.6091199999999998E-5</v>
      </c>
      <c r="M243" s="102">
        <f>G243*'2. Emissions Units &amp; Activities'!K32</f>
        <v>9.8879999999999996E-8</v>
      </c>
      <c r="N243" s="105">
        <f t="shared" si="9"/>
        <v>9.8879999999999996E-8</v>
      </c>
      <c r="O243" s="83">
        <f>G243*'2. Emissions Units &amp; Activities'!M32</f>
        <v>9.8879999999999996E-8</v>
      </c>
    </row>
    <row r="244" spans="1:15" x14ac:dyDescent="0.35">
      <c r="A244" s="79" t="s">
        <v>1434</v>
      </c>
      <c r="B244" s="100" t="s">
        <v>945</v>
      </c>
      <c r="C244" s="81" t="s">
        <v>946</v>
      </c>
      <c r="D244" s="115"/>
      <c r="E244" s="101">
        <v>0</v>
      </c>
      <c r="F244" s="102">
        <f>(0.0206*0.000007)</f>
        <v>1.4420000000000001E-7</v>
      </c>
      <c r="G244" s="103">
        <f t="shared" si="16"/>
        <v>1.4420000000000001E-7</v>
      </c>
      <c r="H244" s="83" t="s">
        <v>1397</v>
      </c>
      <c r="I244" s="104" t="s">
        <v>1464</v>
      </c>
      <c r="J244" s="102">
        <f>F244*'2. Emissions Units &amp; Activities'!H32</f>
        <v>1.263192E-3</v>
      </c>
      <c r="K244" s="105">
        <f t="shared" si="15"/>
        <v>1.263192E-3</v>
      </c>
      <c r="L244" s="83">
        <f>F244*'2. Emissions Units &amp; Activities'!J32</f>
        <v>1.263192E-3</v>
      </c>
      <c r="M244" s="102">
        <f>G244*'2. Emissions Units &amp; Activities'!K32</f>
        <v>3.4608E-6</v>
      </c>
      <c r="N244" s="105">
        <f t="shared" si="9"/>
        <v>3.4608E-6</v>
      </c>
      <c r="O244" s="83">
        <f>G244*'2. Emissions Units &amp; Activities'!M32</f>
        <v>3.4608E-6</v>
      </c>
    </row>
    <row r="245" spans="1:15" x14ac:dyDescent="0.35">
      <c r="A245" s="79" t="s">
        <v>1434</v>
      </c>
      <c r="B245" s="100" t="s">
        <v>1076</v>
      </c>
      <c r="C245" s="81" t="s">
        <v>1077</v>
      </c>
      <c r="D245" s="115"/>
      <c r="E245" s="101">
        <v>0</v>
      </c>
      <c r="F245" s="102">
        <f>(0.0206*0.0000003)</f>
        <v>6.1799999999999998E-9</v>
      </c>
      <c r="G245" s="103">
        <f t="shared" si="16"/>
        <v>6.1799999999999998E-9</v>
      </c>
      <c r="H245" s="83" t="s">
        <v>1397</v>
      </c>
      <c r="I245" s="104" t="s">
        <v>1464</v>
      </c>
      <c r="J245" s="102">
        <f>F245*'2. Emissions Units &amp; Activities'!H32</f>
        <v>5.41368E-5</v>
      </c>
      <c r="K245" s="105">
        <f t="shared" si="15"/>
        <v>5.41368E-5</v>
      </c>
      <c r="L245" s="83">
        <f>F245*'2. Emissions Units &amp; Activities'!J32</f>
        <v>5.41368E-5</v>
      </c>
      <c r="M245" s="102">
        <f>G245*'2. Emissions Units &amp; Activities'!K32</f>
        <v>1.4831999999999999E-7</v>
      </c>
      <c r="N245" s="105">
        <f t="shared" si="9"/>
        <v>1.4831999999999999E-7</v>
      </c>
      <c r="O245" s="83">
        <f>G245*'2. Emissions Units &amp; Activities'!M32</f>
        <v>1.4831999999999999E-7</v>
      </c>
    </row>
    <row r="246" spans="1:15" x14ac:dyDescent="0.35">
      <c r="A246" s="79" t="s">
        <v>1435</v>
      </c>
      <c r="B246" s="100" t="s">
        <v>949</v>
      </c>
      <c r="C246" s="81" t="str">
        <f>IFERROR(IF(B246="No CAS","",INDEX('DEQ Pollutant List'!$C$7:$C$611,MATCH('3. Pollutant Emissions - EF'!B246,'DEQ Pollutant List'!$B$7:$B$611,0))),"")</f>
        <v>Silica, crystalline (respirable)</v>
      </c>
      <c r="D246" s="115">
        <f>IFERROR(IF(OR($B246="",$B246="No CAS"),INDEX('DEQ Pollutant List'!$A$7:$A$611,MATCH($C246,'DEQ Pollutant List'!$C$7:$C$611,0)),INDEX('DEQ Pollutant List'!$A$7:$A$611,MATCH($B246,'DEQ Pollutant List'!$B$7:$B$611,0))),"")</f>
        <v>579</v>
      </c>
      <c r="E246" s="101">
        <v>0</v>
      </c>
      <c r="F246" s="102">
        <f>0.0206*3.5%</f>
        <v>7.2100000000000007E-4</v>
      </c>
      <c r="G246" s="103">
        <f t="shared" si="10"/>
        <v>7.2100000000000007E-4</v>
      </c>
      <c r="H246" s="83" t="s">
        <v>1397</v>
      </c>
      <c r="I246" s="104" t="s">
        <v>1417</v>
      </c>
      <c r="J246" s="102">
        <f>F246*'2. Emissions Units &amp; Activities'!H33</f>
        <v>6.3159600000000005</v>
      </c>
      <c r="K246" s="105">
        <f t="shared" si="15"/>
        <v>6.3159600000000005</v>
      </c>
      <c r="L246" s="83">
        <f>F246*'2. Emissions Units &amp; Activities'!J33</f>
        <v>6.3159600000000005</v>
      </c>
      <c r="M246" s="102">
        <f>G246*'2. Emissions Units &amp; Activities'!K33</f>
        <v>1.7304E-2</v>
      </c>
      <c r="N246" s="105">
        <f t="shared" si="9"/>
        <v>1.7304E-2</v>
      </c>
      <c r="O246" s="83">
        <f>G246*'2. Emissions Units &amp; Activities'!M33</f>
        <v>1.7304E-2</v>
      </c>
    </row>
    <row r="247" spans="1:15" x14ac:dyDescent="0.35">
      <c r="A247" s="79" t="s">
        <v>1435</v>
      </c>
      <c r="B247" s="100" t="s">
        <v>40</v>
      </c>
      <c r="C247" s="81" t="str">
        <f>IFERROR(IF(B247="No CAS","",INDEX('DEQ Pollutant List'!$C$7:$C$611,MATCH('3. Pollutant Emissions - EF'!B247,'DEQ Pollutant List'!$B$7:$B$611,0))),"")</f>
        <v>Aluminum and compounds</v>
      </c>
      <c r="D247" s="115">
        <f>IFERROR(IF(OR($B247="",$B247="No CAS"),INDEX('DEQ Pollutant List'!$A$7:$A$611,MATCH($C247,'DEQ Pollutant List'!$C$7:$C$611,0)),INDEX('DEQ Pollutant List'!$A$7:$A$611,MATCH($B247,'DEQ Pollutant List'!$B$7:$B$611,0))),"")</f>
        <v>13</v>
      </c>
      <c r="E247" s="101">
        <v>0</v>
      </c>
      <c r="F247" s="102">
        <f>(0.0206*6.5%)*0.265</f>
        <v>3.5483500000000007E-4</v>
      </c>
      <c r="G247" s="103">
        <f t="shared" si="10"/>
        <v>3.5483500000000007E-4</v>
      </c>
      <c r="H247" s="83" t="s">
        <v>1397</v>
      </c>
      <c r="I247" s="104" t="s">
        <v>1418</v>
      </c>
      <c r="J247" s="102">
        <f>F247*'2. Emissions Units &amp; Activities'!H33</f>
        <v>3.1083546000000006</v>
      </c>
      <c r="K247" s="105">
        <f t="shared" si="15"/>
        <v>3.1083546000000006</v>
      </c>
      <c r="L247" s="83">
        <f>F247*'2. Emissions Units &amp; Activities'!J33</f>
        <v>3.1083546000000006</v>
      </c>
      <c r="M247" s="102">
        <f>G247*'2. Emissions Units &amp; Activities'!K33</f>
        <v>8.5160400000000025E-3</v>
      </c>
      <c r="N247" s="105">
        <f t="shared" si="9"/>
        <v>8.5160400000000025E-3</v>
      </c>
      <c r="O247" s="83">
        <f>G247*'2. Emissions Units &amp; Activities'!M33</f>
        <v>8.5160400000000025E-3</v>
      </c>
    </row>
    <row r="248" spans="1:15" x14ac:dyDescent="0.35">
      <c r="A248" s="79" t="s">
        <v>1435</v>
      </c>
      <c r="B248" s="100" t="s">
        <v>81</v>
      </c>
      <c r="C248" s="81" t="s">
        <v>82</v>
      </c>
      <c r="D248" s="115"/>
      <c r="E248" s="101">
        <v>0</v>
      </c>
      <c r="F248" s="102">
        <f>(0.0206*0.0000316)</f>
        <v>6.5096000000000005E-7</v>
      </c>
      <c r="G248" s="103">
        <f t="shared" ref="G248:G256" si="17">F248</f>
        <v>6.5096000000000005E-7</v>
      </c>
      <c r="H248" s="83" t="s">
        <v>1397</v>
      </c>
      <c r="I248" s="104" t="s">
        <v>1464</v>
      </c>
      <c r="J248" s="102">
        <f>F248*'2. Emissions Units &amp; Activities'!H33</f>
        <v>5.7024096000000005E-3</v>
      </c>
      <c r="K248" s="105">
        <f t="shared" si="15"/>
        <v>5.7024096000000005E-3</v>
      </c>
      <c r="L248" s="83">
        <f>F248*'2. Emissions Units &amp; Activities'!J33</f>
        <v>5.7024096000000005E-3</v>
      </c>
      <c r="M248" s="102">
        <f>G248*'2. Emissions Units &amp; Activities'!K33</f>
        <v>1.5623040000000002E-5</v>
      </c>
      <c r="N248" s="105">
        <f t="shared" si="9"/>
        <v>1.5623040000000002E-5</v>
      </c>
      <c r="O248" s="83">
        <f>G248*'2. Emissions Units &amp; Activities'!M33</f>
        <v>1.5623040000000002E-5</v>
      </c>
    </row>
    <row r="249" spans="1:15" x14ac:dyDescent="0.35">
      <c r="A249" s="79" t="s">
        <v>1435</v>
      </c>
      <c r="B249" s="100" t="s">
        <v>96</v>
      </c>
      <c r="C249" s="81" t="s">
        <v>97</v>
      </c>
      <c r="D249" s="115"/>
      <c r="E249" s="101">
        <v>0</v>
      </c>
      <c r="F249" s="102">
        <f>(0.0206*0.0000271)</f>
        <v>5.5826000000000008E-7</v>
      </c>
      <c r="G249" s="103">
        <f t="shared" si="17"/>
        <v>5.5826000000000008E-7</v>
      </c>
      <c r="H249" s="83" t="s">
        <v>1397</v>
      </c>
      <c r="I249" s="104" t="s">
        <v>1464</v>
      </c>
      <c r="J249" s="102">
        <f>F249*'2. Emissions Units &amp; Activities'!H33</f>
        <v>4.8903576000000008E-3</v>
      </c>
      <c r="K249" s="105">
        <f t="shared" si="15"/>
        <v>4.8903576000000008E-3</v>
      </c>
      <c r="L249" s="83">
        <f>F249*'2. Emissions Units &amp; Activities'!J33</f>
        <v>4.8903576000000008E-3</v>
      </c>
      <c r="M249" s="102">
        <f>G249*'2. Emissions Units &amp; Activities'!K33</f>
        <v>1.3398240000000003E-5</v>
      </c>
      <c r="N249" s="105">
        <f t="shared" si="9"/>
        <v>1.3398240000000003E-5</v>
      </c>
      <c r="O249" s="83">
        <f>G249*'2. Emissions Units &amp; Activities'!M33</f>
        <v>1.3398240000000003E-5</v>
      </c>
    </row>
    <row r="250" spans="1:15" x14ac:dyDescent="0.35">
      <c r="A250" s="79" t="s">
        <v>1435</v>
      </c>
      <c r="B250" s="100" t="s">
        <v>154</v>
      </c>
      <c r="C250" s="81" t="s">
        <v>155</v>
      </c>
      <c r="D250" s="115"/>
      <c r="E250" s="101">
        <v>0</v>
      </c>
      <c r="F250" s="102">
        <f>(0.0206*0.00000007)</f>
        <v>1.4420000000000002E-9</v>
      </c>
      <c r="G250" s="103">
        <f t="shared" si="17"/>
        <v>1.4420000000000002E-9</v>
      </c>
      <c r="H250" s="83" t="s">
        <v>1397</v>
      </c>
      <c r="I250" s="104" t="s">
        <v>1464</v>
      </c>
      <c r="J250" s="102">
        <f>F250*'2. Emissions Units &amp; Activities'!H33</f>
        <v>1.2631920000000002E-5</v>
      </c>
      <c r="K250" s="105">
        <f t="shared" si="15"/>
        <v>1.2631920000000002E-5</v>
      </c>
      <c r="L250" s="83">
        <f>F250*'2. Emissions Units &amp; Activities'!J33</f>
        <v>1.2631920000000002E-5</v>
      </c>
      <c r="M250" s="102">
        <f>G250*'2. Emissions Units &amp; Activities'!K33</f>
        <v>3.4608000000000001E-8</v>
      </c>
      <c r="N250" s="105">
        <f t="shared" si="9"/>
        <v>3.4608000000000001E-8</v>
      </c>
      <c r="O250" s="83">
        <f>G250*'2. Emissions Units &amp; Activities'!M33</f>
        <v>3.4608000000000001E-8</v>
      </c>
    </row>
    <row r="251" spans="1:15" x14ac:dyDescent="0.35">
      <c r="A251" s="79" t="s">
        <v>1435</v>
      </c>
      <c r="B251" s="100" t="s">
        <v>512</v>
      </c>
      <c r="C251" s="81" t="s">
        <v>513</v>
      </c>
      <c r="D251" s="115"/>
      <c r="E251" s="101">
        <v>0</v>
      </c>
      <c r="F251" s="102">
        <f>(0.0206*0.000001)</f>
        <v>2.0599999999999999E-8</v>
      </c>
      <c r="G251" s="103">
        <f t="shared" si="17"/>
        <v>2.0599999999999999E-8</v>
      </c>
      <c r="H251" s="83" t="s">
        <v>1397</v>
      </c>
      <c r="I251" s="104" t="s">
        <v>1464</v>
      </c>
      <c r="J251" s="102">
        <f>F251*'2. Emissions Units &amp; Activities'!H33</f>
        <v>1.8045599999999998E-4</v>
      </c>
      <c r="K251" s="105">
        <f t="shared" si="15"/>
        <v>1.8045599999999998E-4</v>
      </c>
      <c r="L251" s="83">
        <f>F251*'2. Emissions Units &amp; Activities'!J33</f>
        <v>1.8045599999999998E-4</v>
      </c>
      <c r="M251" s="102">
        <f>G251*'2. Emissions Units &amp; Activities'!K33</f>
        <v>4.9439999999999998E-7</v>
      </c>
      <c r="N251" s="105">
        <f t="shared" si="9"/>
        <v>4.9439999999999998E-7</v>
      </c>
      <c r="O251" s="83">
        <f>G251*'2. Emissions Units &amp; Activities'!M33</f>
        <v>4.9439999999999998E-7</v>
      </c>
    </row>
    <row r="252" spans="1:15" x14ac:dyDescent="0.35">
      <c r="A252" s="79" t="s">
        <v>1435</v>
      </c>
      <c r="B252" s="100" t="s">
        <v>518</v>
      </c>
      <c r="C252" s="81" t="s">
        <v>519</v>
      </c>
      <c r="D252" s="115"/>
      <c r="E252" s="101">
        <v>0</v>
      </c>
      <c r="F252" s="102">
        <f>(0.0206*0.0000851)</f>
        <v>1.7530599999999999E-6</v>
      </c>
      <c r="G252" s="103">
        <f t="shared" si="17"/>
        <v>1.7530599999999999E-6</v>
      </c>
      <c r="H252" s="83" t="s">
        <v>1397</v>
      </c>
      <c r="I252" s="104" t="s">
        <v>1464</v>
      </c>
      <c r="J252" s="102">
        <f>F252*'2. Emissions Units &amp; Activities'!H33</f>
        <v>1.5356805599999999E-2</v>
      </c>
      <c r="K252" s="105">
        <f t="shared" si="15"/>
        <v>1.5356805599999999E-2</v>
      </c>
      <c r="L252" s="83">
        <f>F252*'2. Emissions Units &amp; Activities'!J33</f>
        <v>1.5356805599999999E-2</v>
      </c>
      <c r="M252" s="102">
        <f>G252*'2. Emissions Units &amp; Activities'!K33</f>
        <v>4.2073439999999999E-5</v>
      </c>
      <c r="N252" s="105">
        <f t="shared" si="9"/>
        <v>4.2073439999999999E-5</v>
      </c>
      <c r="O252" s="83">
        <f>G252*'2. Emissions Units &amp; Activities'!M33</f>
        <v>4.2073439999999999E-5</v>
      </c>
    </row>
    <row r="253" spans="1:15" x14ac:dyDescent="0.35">
      <c r="A253" s="79" t="s">
        <v>1435</v>
      </c>
      <c r="B253" s="100" t="s">
        <v>524</v>
      </c>
      <c r="C253" s="81" t="s">
        <v>525</v>
      </c>
      <c r="D253" s="115"/>
      <c r="E253" s="101">
        <v>0</v>
      </c>
      <c r="F253" s="102">
        <f>(0.0206*0.0000000057)</f>
        <v>1.1741999999999999E-10</v>
      </c>
      <c r="G253" s="103">
        <f t="shared" si="17"/>
        <v>1.1741999999999999E-10</v>
      </c>
      <c r="H253" s="83" t="s">
        <v>1397</v>
      </c>
      <c r="I253" s="104" t="s">
        <v>1464</v>
      </c>
      <c r="J253" s="102">
        <f>F253*'2. Emissions Units &amp; Activities'!H33</f>
        <v>1.0285992E-6</v>
      </c>
      <c r="K253" s="105">
        <f t="shared" si="15"/>
        <v>1.0285992E-6</v>
      </c>
      <c r="L253" s="83">
        <f>F253*'2. Emissions Units &amp; Activities'!J33</f>
        <v>1.0285992E-6</v>
      </c>
      <c r="M253" s="102">
        <f>G253*'2. Emissions Units &amp; Activities'!K33</f>
        <v>2.8180799999999998E-9</v>
      </c>
      <c r="N253" s="105">
        <f t="shared" si="9"/>
        <v>2.8180799999999998E-9</v>
      </c>
      <c r="O253" s="83">
        <f>G253*'2. Emissions Units &amp; Activities'!M33</f>
        <v>2.8180799999999998E-9</v>
      </c>
    </row>
    <row r="254" spans="1:15" x14ac:dyDescent="0.35">
      <c r="A254" s="79" t="s">
        <v>1435</v>
      </c>
      <c r="B254" s="100" t="s">
        <v>583</v>
      </c>
      <c r="C254" s="81" t="s">
        <v>584</v>
      </c>
      <c r="D254" s="115"/>
      <c r="E254" s="101">
        <v>0</v>
      </c>
      <c r="F254" s="102">
        <f>(0.0206*0.0000002)</f>
        <v>4.1199999999999998E-9</v>
      </c>
      <c r="G254" s="103">
        <f t="shared" si="17"/>
        <v>4.1199999999999998E-9</v>
      </c>
      <c r="H254" s="83" t="s">
        <v>1397</v>
      </c>
      <c r="I254" s="104" t="s">
        <v>1464</v>
      </c>
      <c r="J254" s="102">
        <f>F254*'2. Emissions Units &amp; Activities'!H33</f>
        <v>3.6091199999999998E-5</v>
      </c>
      <c r="K254" s="105">
        <f t="shared" si="15"/>
        <v>3.6091199999999998E-5</v>
      </c>
      <c r="L254" s="83">
        <f>F254*'2. Emissions Units &amp; Activities'!J33</f>
        <v>3.6091199999999998E-5</v>
      </c>
      <c r="M254" s="102">
        <f>G254*'2. Emissions Units &amp; Activities'!K33</f>
        <v>9.8879999999999996E-8</v>
      </c>
      <c r="N254" s="105">
        <f t="shared" si="9"/>
        <v>9.8879999999999996E-8</v>
      </c>
      <c r="O254" s="83">
        <f>G254*'2. Emissions Units &amp; Activities'!M33</f>
        <v>9.8879999999999996E-8</v>
      </c>
    </row>
    <row r="255" spans="1:15" x14ac:dyDescent="0.35">
      <c r="A255" s="79" t="s">
        <v>1435</v>
      </c>
      <c r="B255" s="100" t="s">
        <v>945</v>
      </c>
      <c r="C255" s="81" t="s">
        <v>946</v>
      </c>
      <c r="D255" s="115"/>
      <c r="E255" s="101">
        <v>0</v>
      </c>
      <c r="F255" s="102">
        <f>(0.0206*0.000007)</f>
        <v>1.4420000000000001E-7</v>
      </c>
      <c r="G255" s="103">
        <f t="shared" si="17"/>
        <v>1.4420000000000001E-7</v>
      </c>
      <c r="H255" s="83" t="s">
        <v>1397</v>
      </c>
      <c r="I255" s="104" t="s">
        <v>1464</v>
      </c>
      <c r="J255" s="102">
        <f>F255*'2. Emissions Units &amp; Activities'!H33</f>
        <v>1.263192E-3</v>
      </c>
      <c r="K255" s="105">
        <f t="shared" si="15"/>
        <v>1.263192E-3</v>
      </c>
      <c r="L255" s="83">
        <f>F255*'2. Emissions Units &amp; Activities'!J33</f>
        <v>1.263192E-3</v>
      </c>
      <c r="M255" s="102">
        <f>G255*'2. Emissions Units &amp; Activities'!K33</f>
        <v>3.4608E-6</v>
      </c>
      <c r="N255" s="105">
        <f t="shared" si="9"/>
        <v>3.4608E-6</v>
      </c>
      <c r="O255" s="83">
        <f>G255*'2. Emissions Units &amp; Activities'!M33</f>
        <v>3.4608E-6</v>
      </c>
    </row>
    <row r="256" spans="1:15" x14ac:dyDescent="0.35">
      <c r="A256" s="79" t="s">
        <v>1435</v>
      </c>
      <c r="B256" s="100" t="s">
        <v>1076</v>
      </c>
      <c r="C256" s="81" t="s">
        <v>1077</v>
      </c>
      <c r="D256" s="115"/>
      <c r="E256" s="101">
        <v>0</v>
      </c>
      <c r="F256" s="102">
        <f>(0.0206*0.0000003)</f>
        <v>6.1799999999999998E-9</v>
      </c>
      <c r="G256" s="103">
        <f t="shared" si="17"/>
        <v>6.1799999999999998E-9</v>
      </c>
      <c r="H256" s="83" t="s">
        <v>1397</v>
      </c>
      <c r="I256" s="104" t="s">
        <v>1464</v>
      </c>
      <c r="J256" s="102">
        <f>F256*'2. Emissions Units &amp; Activities'!H33</f>
        <v>5.41368E-5</v>
      </c>
      <c r="K256" s="105">
        <f t="shared" si="15"/>
        <v>5.41368E-5</v>
      </c>
      <c r="L256" s="83">
        <f>F256*'2. Emissions Units &amp; Activities'!J33</f>
        <v>5.41368E-5</v>
      </c>
      <c r="M256" s="102">
        <f>G256*'2. Emissions Units &amp; Activities'!K33</f>
        <v>1.4831999999999999E-7</v>
      </c>
      <c r="N256" s="105">
        <f t="shared" si="9"/>
        <v>1.4831999999999999E-7</v>
      </c>
      <c r="O256" s="83">
        <f>G256*'2. Emissions Units &amp; Activities'!M33</f>
        <v>1.4831999999999999E-7</v>
      </c>
    </row>
    <row r="257" spans="1:15" x14ac:dyDescent="0.35">
      <c r="A257" s="79" t="s">
        <v>1436</v>
      </c>
      <c r="B257" s="100" t="s">
        <v>949</v>
      </c>
      <c r="C257" s="81" t="str">
        <f>IFERROR(IF(B257="No CAS","",INDEX('DEQ Pollutant List'!$C$7:$C$611,MATCH('3. Pollutant Emissions - EF'!B257,'DEQ Pollutant List'!$B$7:$B$611,0))),"")</f>
        <v>Silica, crystalline (respirable)</v>
      </c>
      <c r="D257" s="115">
        <f>IFERROR(IF(OR($B257="",$B257="No CAS"),INDEX('DEQ Pollutant List'!$A$7:$A$611,MATCH($C257,'DEQ Pollutant List'!$C$7:$C$611,0)),INDEX('DEQ Pollutant List'!$A$7:$A$611,MATCH($B257,'DEQ Pollutant List'!$B$7:$B$611,0))),"")</f>
        <v>579</v>
      </c>
      <c r="E257" s="101">
        <v>0</v>
      </c>
      <c r="F257" s="102">
        <f>0.00000124*2%</f>
        <v>2.48E-8</v>
      </c>
      <c r="G257" s="103">
        <f>0.0000955*2%</f>
        <v>1.9099999999999999E-6</v>
      </c>
      <c r="H257" s="83" t="s">
        <v>1397</v>
      </c>
      <c r="I257" s="104" t="s">
        <v>1441</v>
      </c>
      <c r="J257" s="102">
        <f>F257*'2. Emissions Units &amp; Activities'!H34</f>
        <v>2.1724799999999999E-4</v>
      </c>
      <c r="K257" s="105">
        <f t="shared" si="15"/>
        <v>2.1724799999999999E-4</v>
      </c>
      <c r="L257" s="83">
        <f>F257*'2. Emissions Units &amp; Activities'!J34</f>
        <v>2.1724799999999999E-4</v>
      </c>
      <c r="M257" s="102">
        <f>G257*'2. Emissions Units &amp; Activities'!K34</f>
        <v>4.5839999999999995E-5</v>
      </c>
      <c r="N257" s="105">
        <f t="shared" si="9"/>
        <v>4.5839999999999995E-5</v>
      </c>
      <c r="O257" s="83">
        <f>G257*'2. Emissions Units &amp; Activities'!M34</f>
        <v>4.5839999999999995E-5</v>
      </c>
    </row>
    <row r="258" spans="1:15" x14ac:dyDescent="0.35">
      <c r="A258" s="79" t="s">
        <v>1436</v>
      </c>
      <c r="B258" s="100" t="s">
        <v>40</v>
      </c>
      <c r="C258" s="81" t="str">
        <f>IFERROR(IF(B258="No CAS","",INDEX('DEQ Pollutant List'!$C$7:$C$611,MATCH('3. Pollutant Emissions - EF'!B258,'DEQ Pollutant List'!$B$7:$B$611,0))),"")</f>
        <v>Aluminum and compounds</v>
      </c>
      <c r="D258" s="115">
        <f>IFERROR(IF(OR($B258="",$B258="No CAS"),INDEX('DEQ Pollutant List'!$A$7:$A$611,MATCH($C258,'DEQ Pollutant List'!$C$7:$C$611,0)),INDEX('DEQ Pollutant List'!$A$7:$A$611,MATCH($B258,'DEQ Pollutant List'!$B$7:$B$611,0))),"")</f>
        <v>13</v>
      </c>
      <c r="E258" s="101">
        <v>0</v>
      </c>
      <c r="F258" s="102">
        <f>(0.00000124*6.5%)*0.265</f>
        <v>2.1359000000000003E-8</v>
      </c>
      <c r="G258" s="103">
        <f>(0.0000955*6.5%)*0.265</f>
        <v>1.6449875000000001E-6</v>
      </c>
      <c r="H258" s="83" t="s">
        <v>1397</v>
      </c>
      <c r="I258" s="104" t="s">
        <v>1399</v>
      </c>
      <c r="J258" s="102">
        <f>F258*'2. Emissions Units &amp; Activities'!H34</f>
        <v>1.8710484000000003E-4</v>
      </c>
      <c r="K258" s="105">
        <f t="shared" si="15"/>
        <v>1.8710484000000003E-4</v>
      </c>
      <c r="L258" s="83">
        <f>F258*'2. Emissions Units &amp; Activities'!J34</f>
        <v>1.8710484000000003E-4</v>
      </c>
      <c r="M258" s="102">
        <f>G258*'2. Emissions Units &amp; Activities'!K34</f>
        <v>3.9479700000000001E-5</v>
      </c>
      <c r="N258" s="105">
        <f t="shared" si="9"/>
        <v>3.9479700000000001E-5</v>
      </c>
      <c r="O258" s="83">
        <f>G258*'2. Emissions Units &amp; Activities'!M34</f>
        <v>3.9479700000000001E-5</v>
      </c>
    </row>
    <row r="259" spans="1:15" x14ac:dyDescent="0.35">
      <c r="A259" s="79" t="s">
        <v>1436</v>
      </c>
      <c r="B259" s="100" t="s">
        <v>81</v>
      </c>
      <c r="C259" s="81" t="s">
        <v>82</v>
      </c>
      <c r="D259" s="115">
        <f>IFERROR(IF(OR($B259="",$B259="No CAS"),INDEX('DEQ Pollutant List'!$A$7:$A$611,MATCH($C259,'DEQ Pollutant List'!$C$7:$C$611,0)),INDEX('DEQ Pollutant List'!$A$7:$A$611,MATCH($B259,'DEQ Pollutant List'!$B$7:$B$611,0))),"")</f>
        <v>37</v>
      </c>
      <c r="E259" s="101">
        <v>0</v>
      </c>
      <c r="F259" s="102">
        <f>(0.00000124*0.0000316)</f>
        <v>3.9184000000000003E-11</v>
      </c>
      <c r="G259" s="103">
        <f>(0.0000955*0.0000316)</f>
        <v>3.0178000000000005E-9</v>
      </c>
      <c r="H259" s="83" t="s">
        <v>1397</v>
      </c>
      <c r="I259" s="104" t="s">
        <v>1464</v>
      </c>
      <c r="J259" s="102">
        <f>F259*'2. Emissions Units &amp; Activities'!H34</f>
        <v>3.4325184000000001E-7</v>
      </c>
      <c r="K259" s="105">
        <f t="shared" si="15"/>
        <v>3.4325184000000001E-7</v>
      </c>
      <c r="L259" s="83">
        <f>F259*'2. Emissions Units &amp; Activities'!J34</f>
        <v>3.4325184000000001E-7</v>
      </c>
      <c r="M259" s="102">
        <f>G259*'2. Emissions Units &amp; Activities'!K34</f>
        <v>7.2427200000000015E-8</v>
      </c>
      <c r="N259" s="105">
        <f t="shared" si="9"/>
        <v>7.2427200000000015E-8</v>
      </c>
      <c r="O259" s="83">
        <f>G259*'2. Emissions Units &amp; Activities'!M34</f>
        <v>7.2427200000000015E-8</v>
      </c>
    </row>
    <row r="260" spans="1:15" x14ac:dyDescent="0.35">
      <c r="A260" s="79" t="s">
        <v>1436</v>
      </c>
      <c r="B260" s="100" t="s">
        <v>96</v>
      </c>
      <c r="C260" s="81" t="s">
        <v>97</v>
      </c>
      <c r="D260" s="115">
        <f>IFERROR(IF(OR($B260="",$B260="No CAS"),INDEX('DEQ Pollutant List'!$A$7:$A$611,MATCH($C260,'DEQ Pollutant List'!$C$7:$C$611,0)),INDEX('DEQ Pollutant List'!$A$7:$A$611,MATCH($B260,'DEQ Pollutant List'!$B$7:$B$611,0))),"")</f>
        <v>45</v>
      </c>
      <c r="E260" s="101">
        <v>0</v>
      </c>
      <c r="F260" s="102">
        <f>(0.00000124*0.0000271)</f>
        <v>3.3604000000000001E-11</v>
      </c>
      <c r="G260" s="103">
        <f>(0.0000955*0.0000271)</f>
        <v>2.5880500000000004E-9</v>
      </c>
      <c r="H260" s="83" t="s">
        <v>1397</v>
      </c>
      <c r="I260" s="104" t="s">
        <v>1464</v>
      </c>
      <c r="J260" s="102">
        <f>F260*'2. Emissions Units &amp; Activities'!H34</f>
        <v>2.9437104000000002E-7</v>
      </c>
      <c r="K260" s="105">
        <f t="shared" si="15"/>
        <v>2.9437104000000002E-7</v>
      </c>
      <c r="L260" s="83">
        <f>F260*'2. Emissions Units &amp; Activities'!J34</f>
        <v>2.9437104000000002E-7</v>
      </c>
      <c r="M260" s="102">
        <f>G260*'2. Emissions Units &amp; Activities'!K34</f>
        <v>6.2113200000000006E-8</v>
      </c>
      <c r="N260" s="105">
        <f t="shared" si="9"/>
        <v>6.2113200000000006E-8</v>
      </c>
      <c r="O260" s="83">
        <f>G260*'2. Emissions Units &amp; Activities'!M34</f>
        <v>6.2113200000000006E-8</v>
      </c>
    </row>
    <row r="261" spans="1:15" x14ac:dyDescent="0.35">
      <c r="A261" s="79" t="s">
        <v>1436</v>
      </c>
      <c r="B261" s="100" t="s">
        <v>154</v>
      </c>
      <c r="C261" s="81" t="s">
        <v>155</v>
      </c>
      <c r="D261" s="115">
        <f>IFERROR(IF(OR($B261="",$B261="No CAS"),INDEX('DEQ Pollutant List'!$A$7:$A$611,MATCH($C261,'DEQ Pollutant List'!$C$7:$C$611,0)),INDEX('DEQ Pollutant List'!$A$7:$A$611,MATCH($B261,'DEQ Pollutant List'!$B$7:$B$611,0))),"")</f>
        <v>83</v>
      </c>
      <c r="E261" s="101">
        <v>0</v>
      </c>
      <c r="F261" s="102">
        <f>(0.00000124*0.00000007)</f>
        <v>8.6800000000000006E-14</v>
      </c>
      <c r="G261" s="103">
        <f>(0.0000955*0.00000007)</f>
        <v>6.6850000000000007E-12</v>
      </c>
      <c r="H261" s="83" t="s">
        <v>1397</v>
      </c>
      <c r="I261" s="104" t="s">
        <v>1464</v>
      </c>
      <c r="J261" s="102">
        <f>F261*'2. Emissions Units &amp; Activities'!H34</f>
        <v>7.6036800000000002E-10</v>
      </c>
      <c r="K261" s="105">
        <f t="shared" si="15"/>
        <v>7.6036800000000002E-10</v>
      </c>
      <c r="L261" s="83">
        <f>F261*'2. Emissions Units &amp; Activities'!J34</f>
        <v>7.6036800000000002E-10</v>
      </c>
      <c r="M261" s="102">
        <f>G261*'2. Emissions Units &amp; Activities'!K34</f>
        <v>1.6044000000000002E-10</v>
      </c>
      <c r="N261" s="105">
        <f t="shared" si="9"/>
        <v>1.6044000000000002E-10</v>
      </c>
      <c r="O261" s="83">
        <f>G261*'2. Emissions Units &amp; Activities'!M34</f>
        <v>1.6044000000000002E-10</v>
      </c>
    </row>
    <row r="262" spans="1:15" x14ac:dyDescent="0.35">
      <c r="A262" s="79" t="s">
        <v>1436</v>
      </c>
      <c r="B262" s="100" t="s">
        <v>512</v>
      </c>
      <c r="C262" s="81" t="s">
        <v>513</v>
      </c>
      <c r="D262" s="115" t="str">
        <f>IFERROR(IF(OR(#REF!="",#REF!="No CAS"),INDEX('DEQ Pollutant List'!$A$7:$A$611,MATCH(#REF!,'DEQ Pollutant List'!$C$7:$C$611,0)),INDEX('DEQ Pollutant List'!$A$7:$A$611,MATCH(#REF!,'DEQ Pollutant List'!$B$7:$B$611,0))),"")</f>
        <v/>
      </c>
      <c r="E262" s="101">
        <v>0</v>
      </c>
      <c r="F262" s="102">
        <f>(0.00000124*0.000001)</f>
        <v>1.24E-12</v>
      </c>
      <c r="G262" s="103">
        <f>(0.0000955*0.000001)</f>
        <v>9.5499999999999993E-11</v>
      </c>
      <c r="H262" s="83" t="s">
        <v>1397</v>
      </c>
      <c r="I262" s="104" t="s">
        <v>1464</v>
      </c>
      <c r="J262" s="102">
        <f>F262*'2. Emissions Units &amp; Activities'!H34</f>
        <v>1.08624E-8</v>
      </c>
      <c r="K262" s="105">
        <f t="shared" si="15"/>
        <v>1.08624E-8</v>
      </c>
      <c r="L262" s="83">
        <f>F262*'2. Emissions Units &amp; Activities'!J34</f>
        <v>1.08624E-8</v>
      </c>
      <c r="M262" s="102">
        <f>G262*'2. Emissions Units &amp; Activities'!K34</f>
        <v>2.2919999999999999E-9</v>
      </c>
      <c r="N262" s="105">
        <f t="shared" si="9"/>
        <v>2.2919999999999999E-9</v>
      </c>
      <c r="O262" s="83">
        <f>G262*'2. Emissions Units &amp; Activities'!M34</f>
        <v>2.2919999999999999E-9</v>
      </c>
    </row>
    <row r="263" spans="1:15" x14ac:dyDescent="0.35">
      <c r="A263" s="79" t="s">
        <v>1436</v>
      </c>
      <c r="B263" s="100" t="s">
        <v>518</v>
      </c>
      <c r="C263" s="81" t="s">
        <v>519</v>
      </c>
      <c r="D263" s="115">
        <f>IFERROR(IF(OR($B262="",$B262="No CAS"),INDEX('DEQ Pollutant List'!$A$7:$A$611,MATCH($C262,'DEQ Pollutant List'!$C$7:$C$611,0)),INDEX('DEQ Pollutant List'!$A$7:$A$611,MATCH($B262,'DEQ Pollutant List'!$B$7:$B$611,0))),"")</f>
        <v>305</v>
      </c>
      <c r="E263" s="101">
        <v>0</v>
      </c>
      <c r="F263" s="102">
        <f>(0.00000124*0.0000851)</f>
        <v>1.05524E-10</v>
      </c>
      <c r="G263" s="103">
        <f>(0.0000955*0.0000851)</f>
        <v>8.12705E-9</v>
      </c>
      <c r="H263" s="83" t="s">
        <v>1397</v>
      </c>
      <c r="I263" s="104" t="s">
        <v>1464</v>
      </c>
      <c r="J263" s="102">
        <f>F263*'2. Emissions Units &amp; Activities'!H34</f>
        <v>9.2439023999999995E-7</v>
      </c>
      <c r="K263" s="105">
        <f t="shared" si="15"/>
        <v>9.2439023999999995E-7</v>
      </c>
      <c r="L263" s="83">
        <f>F263*'2. Emissions Units &amp; Activities'!J34</f>
        <v>9.2439023999999995E-7</v>
      </c>
      <c r="M263" s="102">
        <f>G263*'2. Emissions Units &amp; Activities'!K34</f>
        <v>1.950492E-7</v>
      </c>
      <c r="N263" s="105">
        <f t="shared" si="9"/>
        <v>1.950492E-7</v>
      </c>
      <c r="O263" s="83">
        <f>G263*'2. Emissions Units &amp; Activities'!M34</f>
        <v>1.950492E-7</v>
      </c>
    </row>
    <row r="264" spans="1:15" x14ac:dyDescent="0.35">
      <c r="A264" s="79" t="s">
        <v>1436</v>
      </c>
      <c r="B264" s="100" t="s">
        <v>524</v>
      </c>
      <c r="C264" s="81" t="s">
        <v>525</v>
      </c>
      <c r="D264" s="115">
        <f>IFERROR(IF(OR($B263="",$B263="No CAS"),INDEX('DEQ Pollutant List'!$A$7:$A$611,MATCH($C263,'DEQ Pollutant List'!$C$7:$C$611,0)),INDEX('DEQ Pollutant List'!$A$7:$A$611,MATCH($B263,'DEQ Pollutant List'!$B$7:$B$611,0))),"")</f>
        <v>312</v>
      </c>
      <c r="E264" s="101">
        <v>0</v>
      </c>
      <c r="F264" s="102">
        <f>(0.00000124*0.0000000057)</f>
        <v>7.0679999999999997E-15</v>
      </c>
      <c r="G264" s="103">
        <f>(0.0000955*0.0000000057)</f>
        <v>5.4435E-13</v>
      </c>
      <c r="H264" s="83" t="s">
        <v>1397</v>
      </c>
      <c r="I264" s="104" t="s">
        <v>1464</v>
      </c>
      <c r="J264" s="102">
        <f>F264*'2. Emissions Units &amp; Activities'!H34</f>
        <v>6.1915679999999992E-11</v>
      </c>
      <c r="K264" s="105">
        <f t="shared" si="15"/>
        <v>6.1915679999999992E-11</v>
      </c>
      <c r="L264" s="83">
        <f>F264*'2. Emissions Units &amp; Activities'!J34</f>
        <v>6.1915679999999992E-11</v>
      </c>
      <c r="M264" s="102">
        <f>G264*'2. Emissions Units &amp; Activities'!K34</f>
        <v>1.30644E-11</v>
      </c>
      <c r="N264" s="105">
        <f t="shared" si="9"/>
        <v>1.30644E-11</v>
      </c>
      <c r="O264" s="83">
        <f>G264*'2. Emissions Units &amp; Activities'!M34</f>
        <v>1.30644E-11</v>
      </c>
    </row>
    <row r="265" spans="1:15" x14ac:dyDescent="0.35">
      <c r="A265" s="79" t="s">
        <v>1436</v>
      </c>
      <c r="B265" s="100" t="s">
        <v>583</v>
      </c>
      <c r="C265" s="81" t="s">
        <v>584</v>
      </c>
      <c r="D265" s="115">
        <f>IFERROR(IF(OR($B264="",$B264="No CAS"),INDEX('DEQ Pollutant List'!$A$7:$A$611,MATCH($C264,'DEQ Pollutant List'!$C$7:$C$611,0)),INDEX('DEQ Pollutant List'!$A$7:$A$611,MATCH($B264,'DEQ Pollutant List'!$B$7:$B$611,0))),"")</f>
        <v>316</v>
      </c>
      <c r="E265" s="101">
        <v>0</v>
      </c>
      <c r="F265" s="102">
        <f>(0.00000124*0.0000002)</f>
        <v>2.48E-13</v>
      </c>
      <c r="G265" s="103">
        <f>(0.0000955*0.0000002)</f>
        <v>1.9100000000000001E-11</v>
      </c>
      <c r="H265" s="83" t="s">
        <v>1397</v>
      </c>
      <c r="I265" s="104" t="s">
        <v>1464</v>
      </c>
      <c r="J265" s="102">
        <f>F265*'2. Emissions Units &amp; Activities'!H34</f>
        <v>2.1724799999999999E-9</v>
      </c>
      <c r="K265" s="105">
        <f t="shared" si="15"/>
        <v>2.1724799999999999E-9</v>
      </c>
      <c r="L265" s="83">
        <f>F265*'2. Emissions Units &amp; Activities'!J34</f>
        <v>2.1724799999999999E-9</v>
      </c>
      <c r="M265" s="102">
        <f>G265*'2. Emissions Units &amp; Activities'!K34</f>
        <v>4.5839999999999999E-10</v>
      </c>
      <c r="N265" s="105">
        <f t="shared" si="9"/>
        <v>4.5839999999999999E-10</v>
      </c>
      <c r="O265" s="83">
        <f>G265*'2. Emissions Units &amp; Activities'!M34</f>
        <v>4.5839999999999999E-10</v>
      </c>
    </row>
    <row r="266" spans="1:15" x14ac:dyDescent="0.35">
      <c r="A266" s="79" t="s">
        <v>1436</v>
      </c>
      <c r="B266" s="100" t="s">
        <v>945</v>
      </c>
      <c r="C266" s="81" t="s">
        <v>946</v>
      </c>
      <c r="D266" s="115">
        <f>IFERROR(IF(OR($B265="",$B265="No CAS"),INDEX('DEQ Pollutant List'!$A$7:$A$611,MATCH($C265,'DEQ Pollutant List'!$C$7:$C$611,0)),INDEX('DEQ Pollutant List'!$A$7:$A$611,MATCH($B265,'DEQ Pollutant List'!$B$7:$B$611,0))),"")</f>
        <v>364</v>
      </c>
      <c r="E266" s="101">
        <v>0</v>
      </c>
      <c r="F266" s="102">
        <f>(0.00000124*0.000007)</f>
        <v>8.6799999999999994E-12</v>
      </c>
      <c r="G266" s="103">
        <f>(0.0000955*0.000007)</f>
        <v>6.6850000000000002E-10</v>
      </c>
      <c r="H266" s="83" t="s">
        <v>1397</v>
      </c>
      <c r="I266" s="104" t="s">
        <v>1464</v>
      </c>
      <c r="J266" s="102">
        <f>F266*'2. Emissions Units &amp; Activities'!H34</f>
        <v>7.6036799999999997E-8</v>
      </c>
      <c r="K266" s="105">
        <f t="shared" si="15"/>
        <v>7.6036799999999997E-8</v>
      </c>
      <c r="L266" s="83">
        <f>F266*'2. Emissions Units &amp; Activities'!J34</f>
        <v>7.6036799999999997E-8</v>
      </c>
      <c r="M266" s="102">
        <f>G266*'2. Emissions Units &amp; Activities'!K34</f>
        <v>1.6044000000000001E-8</v>
      </c>
      <c r="N266" s="105">
        <f t="shared" si="9"/>
        <v>1.6044000000000001E-8</v>
      </c>
      <c r="O266" s="83">
        <f>G266*'2. Emissions Units &amp; Activities'!M34</f>
        <v>1.6044000000000001E-8</v>
      </c>
    </row>
    <row r="267" spans="1:15" x14ac:dyDescent="0.35">
      <c r="A267" s="79" t="s">
        <v>1436</v>
      </c>
      <c r="B267" s="100" t="s">
        <v>1076</v>
      </c>
      <c r="C267" s="81" t="s">
        <v>1077</v>
      </c>
      <c r="D267" s="115">
        <f>IFERROR(IF(OR($B266="",$B266="No CAS"),INDEX('DEQ Pollutant List'!$A$7:$A$611,MATCH($C266,'DEQ Pollutant List'!$C$7:$C$611,0)),INDEX('DEQ Pollutant List'!$A$7:$A$611,MATCH($B266,'DEQ Pollutant List'!$B$7:$B$611,0))),"")</f>
        <v>575</v>
      </c>
      <c r="E267" s="101">
        <v>0</v>
      </c>
      <c r="F267" s="102">
        <f>(0.00000124*0.0000003)</f>
        <v>3.7199999999999998E-13</v>
      </c>
      <c r="G267" s="103">
        <f>(0.0000955*0.0000003)</f>
        <v>2.8649999999999999E-11</v>
      </c>
      <c r="H267" s="83" t="s">
        <v>1397</v>
      </c>
      <c r="I267" s="104" t="s">
        <v>1464</v>
      </c>
      <c r="J267" s="102">
        <f>F267*'2. Emissions Units &amp; Activities'!H34</f>
        <v>3.2587199999999997E-9</v>
      </c>
      <c r="K267" s="105">
        <f t="shared" si="15"/>
        <v>3.2587199999999997E-9</v>
      </c>
      <c r="L267" s="83">
        <f>F267*'2. Emissions Units &amp; Activities'!J34</f>
        <v>3.2587199999999997E-9</v>
      </c>
      <c r="M267" s="102">
        <f>G267*'2. Emissions Units &amp; Activities'!K34</f>
        <v>6.8759999999999998E-10</v>
      </c>
      <c r="N267" s="105">
        <f t="shared" si="9"/>
        <v>6.8759999999999998E-10</v>
      </c>
      <c r="O267" s="83">
        <f>G267*'2. Emissions Units &amp; Activities'!M34</f>
        <v>6.8759999999999998E-10</v>
      </c>
    </row>
    <row r="268" spans="1:15" x14ac:dyDescent="0.35">
      <c r="A268" s="79" t="s">
        <v>1473</v>
      </c>
      <c r="B268" s="205" t="s">
        <v>949</v>
      </c>
      <c r="C268" s="202" t="str">
        <f>IFERROR(IF(B268="No CAS","",INDEX('DEQ Pollutant List'!$C$7:$C$611,MATCH('3. Pollutant Emissions - EF'!B268,'DEQ Pollutant List'!$B$7:$B$611,0))),"")</f>
        <v>Silica, crystalline (respirable)</v>
      </c>
      <c r="D268" s="115">
        <f>IFERROR(IF(OR($B267="",$B267="No CAS"),INDEX('DEQ Pollutant List'!$A$7:$A$611,MATCH($C267,'DEQ Pollutant List'!$C$7:$C$611,0)),INDEX('DEQ Pollutant List'!$A$7:$A$611,MATCH($B267,'DEQ Pollutant List'!$B$7:$B$611,0))),"")</f>
        <v>632</v>
      </c>
      <c r="E268" s="101">
        <v>0</v>
      </c>
      <c r="F268" s="102">
        <f>0.0121*2%</f>
        <v>2.42E-4</v>
      </c>
      <c r="G268" s="103">
        <f>0.0121*2%</f>
        <v>2.42E-4</v>
      </c>
      <c r="H268" s="83" t="s">
        <v>1397</v>
      </c>
      <c r="I268" s="104" t="s">
        <v>1441</v>
      </c>
      <c r="J268" s="102">
        <f>F268*'2. Emissions Units &amp; Activities'!H35</f>
        <v>2.11992</v>
      </c>
      <c r="K268" s="105">
        <f t="shared" si="15"/>
        <v>2.11992</v>
      </c>
      <c r="L268" s="83">
        <f>F268*'2. Emissions Units &amp; Activities'!J35</f>
        <v>2.11992</v>
      </c>
      <c r="M268" s="102">
        <f>G268*'2. Emissions Units &amp; Activities'!K35</f>
        <v>5.8079999999999998E-3</v>
      </c>
      <c r="N268" s="105">
        <f t="shared" si="9"/>
        <v>5.8079999999999998E-3</v>
      </c>
      <c r="O268" s="83">
        <f>G268*'2. Emissions Units &amp; Activities'!M35</f>
        <v>5.8079999999999998E-3</v>
      </c>
    </row>
    <row r="269" spans="1:15" x14ac:dyDescent="0.35">
      <c r="A269" s="79" t="s">
        <v>1473</v>
      </c>
      <c r="B269" s="100" t="s">
        <v>40</v>
      </c>
      <c r="C269" s="81" t="str">
        <f>IFERROR(IF(B269="No CAS","",INDEX('DEQ Pollutant List'!$C$7:$C$611,MATCH('3. Pollutant Emissions - EF'!B269,'DEQ Pollutant List'!$B$7:$B$611,0))),"")</f>
        <v>Aluminum and compounds</v>
      </c>
      <c r="D269" s="115">
        <f>IFERROR(IF(OR($B269="",$B269="No CAS"),INDEX('DEQ Pollutant List'!$A$7:$A$611,MATCH($C269,'DEQ Pollutant List'!$C$7:$C$611,0)),INDEX('DEQ Pollutant List'!$A$7:$A$611,MATCH($B269,'DEQ Pollutant List'!$B$7:$B$611,0))),"")</f>
        <v>13</v>
      </c>
      <c r="E269" s="101">
        <v>0</v>
      </c>
      <c r="F269" s="102">
        <f>(0.0121*6.5%)*0.265</f>
        <v>2.084225E-4</v>
      </c>
      <c r="G269" s="103">
        <f>F269</f>
        <v>2.084225E-4</v>
      </c>
      <c r="H269" s="83" t="s">
        <v>1397</v>
      </c>
      <c r="I269" s="104" t="s">
        <v>1399</v>
      </c>
      <c r="J269" s="102">
        <f>F269*'2. Emissions Units &amp; Activities'!H35</f>
        <v>1.8257810999999999</v>
      </c>
      <c r="K269" s="105">
        <f t="shared" si="15"/>
        <v>1.8257810999999999</v>
      </c>
      <c r="L269" s="83">
        <f>F269*'2. Emissions Units &amp; Activities'!J35</f>
        <v>1.8257810999999999</v>
      </c>
      <c r="M269" s="102">
        <f>G269*'2. Emissions Units &amp; Activities'!K35</f>
        <v>5.0021400000000004E-3</v>
      </c>
      <c r="N269" s="105">
        <f t="shared" ref="N269:N300" si="18">M269</f>
        <v>5.0021400000000004E-3</v>
      </c>
      <c r="O269" s="83">
        <f>G269*'2. Emissions Units &amp; Activities'!M35</f>
        <v>5.0021400000000004E-3</v>
      </c>
    </row>
    <row r="270" spans="1:15" x14ac:dyDescent="0.35">
      <c r="A270" s="79" t="s">
        <v>1473</v>
      </c>
      <c r="B270" s="100" t="s">
        <v>81</v>
      </c>
      <c r="C270" s="81" t="s">
        <v>82</v>
      </c>
      <c r="D270" s="115">
        <f>IFERROR(IF(OR($B270="",$B270="No CAS"),INDEX('DEQ Pollutant List'!$A$7:$A$611,MATCH($C270,'DEQ Pollutant List'!$C$7:$C$611,0)),INDEX('DEQ Pollutant List'!$A$7:$A$611,MATCH($B270,'DEQ Pollutant List'!$B$7:$B$611,0))),"")</f>
        <v>37</v>
      </c>
      <c r="E270" s="101">
        <v>0</v>
      </c>
      <c r="F270" s="102">
        <f>(0.0121*0.0000316)</f>
        <v>3.8236000000000004E-7</v>
      </c>
      <c r="G270" s="103">
        <f>F270</f>
        <v>3.8236000000000004E-7</v>
      </c>
      <c r="H270" s="83" t="s">
        <v>1397</v>
      </c>
      <c r="I270" s="104" t="s">
        <v>1464</v>
      </c>
      <c r="J270" s="102">
        <f>F270*'2. Emissions Units &amp; Activities'!H35</f>
        <v>3.3494736000000006E-3</v>
      </c>
      <c r="K270" s="105">
        <f t="shared" si="15"/>
        <v>3.3494736000000006E-3</v>
      </c>
      <c r="L270" s="83">
        <f>F270*'2. Emissions Units &amp; Activities'!J35</f>
        <v>3.3494736000000006E-3</v>
      </c>
      <c r="M270" s="102">
        <f>G270*'2. Emissions Units &amp; Activities'!K35</f>
        <v>9.1766400000000006E-6</v>
      </c>
      <c r="N270" s="105">
        <f t="shared" si="18"/>
        <v>9.1766400000000006E-6</v>
      </c>
      <c r="O270" s="83">
        <f>G270*'2. Emissions Units &amp; Activities'!M35</f>
        <v>9.1766400000000006E-6</v>
      </c>
    </row>
    <row r="271" spans="1:15" x14ac:dyDescent="0.35">
      <c r="A271" s="79" t="s">
        <v>1473</v>
      </c>
      <c r="B271" s="100" t="s">
        <v>96</v>
      </c>
      <c r="C271" s="81" t="s">
        <v>97</v>
      </c>
      <c r="D271" s="115">
        <f>IFERROR(IF(OR($B271="",$B271="No CAS"),INDEX('DEQ Pollutant List'!$A$7:$A$611,MATCH($C271,'DEQ Pollutant List'!$C$7:$C$611,0)),INDEX('DEQ Pollutant List'!$A$7:$A$611,MATCH($B271,'DEQ Pollutant List'!$B$7:$B$611,0))),"")</f>
        <v>45</v>
      </c>
      <c r="E271" s="101">
        <v>0</v>
      </c>
      <c r="F271" s="102">
        <f>(0.0121*0.0000271)</f>
        <v>3.2791000000000003E-7</v>
      </c>
      <c r="G271" s="103">
        <f t="shared" ref="G271:G289" si="19">F271</f>
        <v>3.2791000000000003E-7</v>
      </c>
      <c r="H271" s="83" t="s">
        <v>1397</v>
      </c>
      <c r="I271" s="104" t="s">
        <v>1464</v>
      </c>
      <c r="J271" s="102">
        <f>F271*'2. Emissions Units &amp; Activities'!H35</f>
        <v>2.8724916000000002E-3</v>
      </c>
      <c r="K271" s="105">
        <f t="shared" si="15"/>
        <v>2.8724916000000002E-3</v>
      </c>
      <c r="L271" s="83">
        <f>F271*'2. Emissions Units &amp; Activities'!J35</f>
        <v>2.8724916000000002E-3</v>
      </c>
      <c r="M271" s="102">
        <f>G271*'2. Emissions Units &amp; Activities'!K35</f>
        <v>7.8698399999999999E-6</v>
      </c>
      <c r="N271" s="105">
        <f t="shared" si="18"/>
        <v>7.8698399999999999E-6</v>
      </c>
      <c r="O271" s="83">
        <f>G271*'2. Emissions Units &amp; Activities'!M35</f>
        <v>7.8698399999999999E-6</v>
      </c>
    </row>
    <row r="272" spans="1:15" x14ac:dyDescent="0.35">
      <c r="A272" s="79" t="s">
        <v>1473</v>
      </c>
      <c r="B272" s="100" t="s">
        <v>154</v>
      </c>
      <c r="C272" s="81" t="s">
        <v>155</v>
      </c>
      <c r="D272" s="115">
        <f>IFERROR(IF(OR($B272="",$B272="No CAS"),INDEX('DEQ Pollutant List'!$A$7:$A$611,MATCH($C272,'DEQ Pollutant List'!$C$7:$C$611,0)),INDEX('DEQ Pollutant List'!$A$7:$A$611,MATCH($B272,'DEQ Pollutant List'!$B$7:$B$611,0))),"")</f>
        <v>83</v>
      </c>
      <c r="E272" s="101">
        <v>0</v>
      </c>
      <c r="F272" s="102">
        <f>(0.0121*0.00000007)</f>
        <v>8.4700000000000007E-10</v>
      </c>
      <c r="G272" s="103">
        <f t="shared" si="19"/>
        <v>8.4700000000000007E-10</v>
      </c>
      <c r="H272" s="83" t="s">
        <v>1397</v>
      </c>
      <c r="I272" s="104" t="s">
        <v>1464</v>
      </c>
      <c r="J272" s="102">
        <f>F272*'2. Emissions Units &amp; Activities'!H35</f>
        <v>7.4197200000000009E-6</v>
      </c>
      <c r="K272" s="105">
        <f t="shared" si="15"/>
        <v>7.4197200000000009E-6</v>
      </c>
      <c r="L272" s="83">
        <f>F272*'2. Emissions Units &amp; Activities'!J35</f>
        <v>7.4197200000000009E-6</v>
      </c>
      <c r="M272" s="102">
        <f>G272*'2. Emissions Units &amp; Activities'!K35</f>
        <v>2.0328000000000002E-8</v>
      </c>
      <c r="N272" s="105">
        <f t="shared" si="18"/>
        <v>2.0328000000000002E-8</v>
      </c>
      <c r="O272" s="83">
        <f>G272*'2. Emissions Units &amp; Activities'!M35</f>
        <v>2.0328000000000002E-8</v>
      </c>
    </row>
    <row r="273" spans="1:15" x14ac:dyDescent="0.35">
      <c r="A273" s="79" t="s">
        <v>1473</v>
      </c>
      <c r="B273" s="100" t="s">
        <v>512</v>
      </c>
      <c r="C273" s="81" t="s">
        <v>513</v>
      </c>
      <c r="D273" s="115">
        <f>IFERROR(IF(OR($B273="",$B273="No CAS"),INDEX('DEQ Pollutant List'!$A$7:$A$611,MATCH($C273,'DEQ Pollutant List'!$C$7:$C$611,0)),INDEX('DEQ Pollutant List'!$A$7:$A$611,MATCH($B273,'DEQ Pollutant List'!$B$7:$B$611,0))),"")</f>
        <v>305</v>
      </c>
      <c r="E273" s="101">
        <v>0</v>
      </c>
      <c r="F273" s="102">
        <f>(0.0121*0.000001)</f>
        <v>1.2099999999999999E-8</v>
      </c>
      <c r="G273" s="103">
        <f t="shared" si="19"/>
        <v>1.2099999999999999E-8</v>
      </c>
      <c r="H273" s="83" t="s">
        <v>1397</v>
      </c>
      <c r="I273" s="104" t="s">
        <v>1464</v>
      </c>
      <c r="J273" s="102">
        <f>F273*'2. Emissions Units &amp; Activities'!H35</f>
        <v>1.0599599999999999E-4</v>
      </c>
      <c r="K273" s="105">
        <f t="shared" si="15"/>
        <v>1.0599599999999999E-4</v>
      </c>
      <c r="L273" s="83">
        <f>F273*'2. Emissions Units &amp; Activities'!J35</f>
        <v>1.0599599999999999E-4</v>
      </c>
      <c r="M273" s="102">
        <f>G273*'2. Emissions Units &amp; Activities'!K35</f>
        <v>2.9040000000000001E-7</v>
      </c>
      <c r="N273" s="105">
        <f t="shared" si="18"/>
        <v>2.9040000000000001E-7</v>
      </c>
      <c r="O273" s="83">
        <f>G273*'2. Emissions Units &amp; Activities'!M35</f>
        <v>2.9040000000000001E-7</v>
      </c>
    </row>
    <row r="274" spans="1:15" x14ac:dyDescent="0.35">
      <c r="A274" s="79" t="s">
        <v>1473</v>
      </c>
      <c r="B274" s="100" t="s">
        <v>518</v>
      </c>
      <c r="C274" s="81" t="s">
        <v>519</v>
      </c>
      <c r="D274" s="115">
        <f>IFERROR(IF(OR($B274="",$B274="No CAS"),INDEX('DEQ Pollutant List'!$A$7:$A$611,MATCH($C274,'DEQ Pollutant List'!$C$7:$C$611,0)),INDEX('DEQ Pollutant List'!$A$7:$A$611,MATCH($B274,'DEQ Pollutant List'!$B$7:$B$611,0))),"")</f>
        <v>312</v>
      </c>
      <c r="E274" s="101">
        <v>0</v>
      </c>
      <c r="F274" s="102">
        <f>(0.0121*0.0000851)</f>
        <v>1.0297099999999999E-6</v>
      </c>
      <c r="G274" s="103">
        <f t="shared" si="19"/>
        <v>1.0297099999999999E-6</v>
      </c>
      <c r="H274" s="83" t="s">
        <v>1397</v>
      </c>
      <c r="I274" s="104" t="s">
        <v>1464</v>
      </c>
      <c r="J274" s="102">
        <f>F274*'2. Emissions Units &amp; Activities'!H35</f>
        <v>9.0202595999999986E-3</v>
      </c>
      <c r="K274" s="105">
        <f t="shared" si="15"/>
        <v>9.0202595999999986E-3</v>
      </c>
      <c r="L274" s="83">
        <f>F274*'2. Emissions Units &amp; Activities'!J35</f>
        <v>9.0202595999999986E-3</v>
      </c>
      <c r="M274" s="102">
        <f>G274*'2. Emissions Units &amp; Activities'!K35</f>
        <v>2.4713039999999998E-5</v>
      </c>
      <c r="N274" s="105">
        <f t="shared" si="18"/>
        <v>2.4713039999999998E-5</v>
      </c>
      <c r="O274" s="83">
        <f>G274*'2. Emissions Units &amp; Activities'!M35</f>
        <v>2.4713039999999998E-5</v>
      </c>
    </row>
    <row r="275" spans="1:15" x14ac:dyDescent="0.35">
      <c r="A275" s="79" t="s">
        <v>1473</v>
      </c>
      <c r="B275" s="100" t="s">
        <v>524</v>
      </c>
      <c r="C275" s="81" t="s">
        <v>525</v>
      </c>
      <c r="D275" s="115">
        <f>IFERROR(IF(OR($B275="",$B275="No CAS"),INDEX('DEQ Pollutant List'!$A$7:$A$611,MATCH($C275,'DEQ Pollutant List'!$C$7:$C$611,0)),INDEX('DEQ Pollutant List'!$A$7:$A$611,MATCH($B275,'DEQ Pollutant List'!$B$7:$B$611,0))),"")</f>
        <v>316</v>
      </c>
      <c r="E275" s="101">
        <v>0</v>
      </c>
      <c r="F275" s="102">
        <f>(0.0121*0.0000000057)</f>
        <v>6.8969999999999996E-11</v>
      </c>
      <c r="G275" s="103">
        <f t="shared" si="19"/>
        <v>6.8969999999999996E-11</v>
      </c>
      <c r="H275" s="83" t="s">
        <v>1397</v>
      </c>
      <c r="I275" s="104" t="s">
        <v>1464</v>
      </c>
      <c r="J275" s="102">
        <f>F275*'2. Emissions Units &amp; Activities'!H35</f>
        <v>6.0417719999999996E-7</v>
      </c>
      <c r="K275" s="105">
        <f t="shared" si="15"/>
        <v>6.0417719999999996E-7</v>
      </c>
      <c r="L275" s="83">
        <f>F275*'2. Emissions Units &amp; Activities'!J35</f>
        <v>6.0417719999999996E-7</v>
      </c>
      <c r="M275" s="102">
        <f>G275*'2. Emissions Units &amp; Activities'!K35</f>
        <v>1.6552799999999999E-9</v>
      </c>
      <c r="N275" s="105">
        <f t="shared" si="18"/>
        <v>1.6552799999999999E-9</v>
      </c>
      <c r="O275" s="83">
        <f>G275*'2. Emissions Units &amp; Activities'!M35</f>
        <v>1.6552799999999999E-9</v>
      </c>
    </row>
    <row r="276" spans="1:15" x14ac:dyDescent="0.35">
      <c r="A276" s="79" t="s">
        <v>1473</v>
      </c>
      <c r="B276" s="100" t="s">
        <v>583</v>
      </c>
      <c r="C276" s="81" t="s">
        <v>584</v>
      </c>
      <c r="D276" s="115">
        <f>IFERROR(IF(OR($B276="",$B276="No CAS"),INDEX('DEQ Pollutant List'!$A$7:$A$611,MATCH($C276,'DEQ Pollutant List'!$C$7:$C$611,0)),INDEX('DEQ Pollutant List'!$A$7:$A$611,MATCH($B276,'DEQ Pollutant List'!$B$7:$B$611,0))),"")</f>
        <v>364</v>
      </c>
      <c r="E276" s="101">
        <v>0</v>
      </c>
      <c r="F276" s="102">
        <f>(0.0121*0.0000002)</f>
        <v>2.4199999999999999E-9</v>
      </c>
      <c r="G276" s="103">
        <f t="shared" si="19"/>
        <v>2.4199999999999999E-9</v>
      </c>
      <c r="H276" s="83" t="s">
        <v>1397</v>
      </c>
      <c r="I276" s="104" t="s">
        <v>1464</v>
      </c>
      <c r="J276" s="102">
        <f>F276*'2. Emissions Units &amp; Activities'!H35</f>
        <v>2.1199199999999999E-5</v>
      </c>
      <c r="K276" s="105">
        <f t="shared" si="15"/>
        <v>2.1199199999999999E-5</v>
      </c>
      <c r="L276" s="83">
        <f>F276*'2. Emissions Units &amp; Activities'!J35</f>
        <v>2.1199199999999999E-5</v>
      </c>
      <c r="M276" s="102">
        <f>G276*'2. Emissions Units &amp; Activities'!K35</f>
        <v>5.8080000000000001E-8</v>
      </c>
      <c r="N276" s="105">
        <f t="shared" si="18"/>
        <v>5.8080000000000001E-8</v>
      </c>
      <c r="O276" s="83">
        <f>G276*'2. Emissions Units &amp; Activities'!M35</f>
        <v>5.8080000000000001E-8</v>
      </c>
    </row>
    <row r="277" spans="1:15" x14ac:dyDescent="0.35">
      <c r="A277" s="79" t="s">
        <v>1473</v>
      </c>
      <c r="B277" s="100" t="s">
        <v>945</v>
      </c>
      <c r="C277" s="81" t="s">
        <v>946</v>
      </c>
      <c r="D277" s="115">
        <f>IFERROR(IF(OR($B277="",$B277="No CAS"),INDEX('DEQ Pollutant List'!$A$7:$A$611,MATCH($C277,'DEQ Pollutant List'!$C$7:$C$611,0)),INDEX('DEQ Pollutant List'!$A$7:$A$611,MATCH($B277,'DEQ Pollutant List'!$B$7:$B$611,0))),"")</f>
        <v>575</v>
      </c>
      <c r="E277" s="101">
        <v>0</v>
      </c>
      <c r="F277" s="102">
        <f>(0.0121*0.000007)</f>
        <v>8.4699999999999997E-8</v>
      </c>
      <c r="G277" s="103">
        <f t="shared" si="19"/>
        <v>8.4699999999999997E-8</v>
      </c>
      <c r="H277" s="83" t="s">
        <v>1397</v>
      </c>
      <c r="I277" s="104" t="s">
        <v>1464</v>
      </c>
      <c r="J277" s="102">
        <f>F277*'2. Emissions Units &amp; Activities'!H35</f>
        <v>7.4197200000000003E-4</v>
      </c>
      <c r="K277" s="105">
        <f t="shared" si="15"/>
        <v>7.4197200000000003E-4</v>
      </c>
      <c r="L277" s="83">
        <f>F277*'2. Emissions Units &amp; Activities'!J35</f>
        <v>7.4197200000000003E-4</v>
      </c>
      <c r="M277" s="102">
        <f>G277*'2. Emissions Units &amp; Activities'!K35</f>
        <v>2.0327999999999998E-6</v>
      </c>
      <c r="N277" s="105">
        <f t="shared" si="18"/>
        <v>2.0327999999999998E-6</v>
      </c>
      <c r="O277" s="83">
        <f>G277*'2. Emissions Units &amp; Activities'!M35</f>
        <v>2.0327999999999998E-6</v>
      </c>
    </row>
    <row r="278" spans="1:15" x14ac:dyDescent="0.35">
      <c r="A278" s="79" t="s">
        <v>1473</v>
      </c>
      <c r="B278" s="100" t="s">
        <v>1076</v>
      </c>
      <c r="C278" s="81" t="s">
        <v>1077</v>
      </c>
      <c r="D278" s="115">
        <f>IFERROR(IF(OR($B278="",$B278="No CAS"),INDEX('DEQ Pollutant List'!$A$7:$A$611,MATCH($C278,'DEQ Pollutant List'!$C$7:$C$611,0)),INDEX('DEQ Pollutant List'!$A$7:$A$611,MATCH($B278,'DEQ Pollutant List'!$B$7:$B$611,0))),"")</f>
        <v>632</v>
      </c>
      <c r="E278" s="101">
        <v>0</v>
      </c>
      <c r="F278" s="102">
        <f>(0.0121*0.0000003)</f>
        <v>3.6299999999999997E-9</v>
      </c>
      <c r="G278" s="103">
        <f t="shared" si="19"/>
        <v>3.6299999999999997E-9</v>
      </c>
      <c r="H278" s="83" t="s">
        <v>1397</v>
      </c>
      <c r="I278" s="104" t="s">
        <v>1464</v>
      </c>
      <c r="J278" s="102">
        <f>F278*'2. Emissions Units &amp; Activities'!H35</f>
        <v>3.1798799999999998E-5</v>
      </c>
      <c r="K278" s="105">
        <f t="shared" si="15"/>
        <v>3.1798799999999998E-5</v>
      </c>
      <c r="L278" s="83">
        <f>F278*'2. Emissions Units &amp; Activities'!J35</f>
        <v>3.1798799999999998E-5</v>
      </c>
      <c r="M278" s="102">
        <f>G278*'2. Emissions Units &amp; Activities'!K35</f>
        <v>8.7119999999999989E-8</v>
      </c>
      <c r="N278" s="105">
        <f t="shared" si="18"/>
        <v>8.7119999999999989E-8</v>
      </c>
      <c r="O278" s="83">
        <f>G278*'2. Emissions Units &amp; Activities'!M35</f>
        <v>8.7119999999999989E-8</v>
      </c>
    </row>
    <row r="279" spans="1:15" x14ac:dyDescent="0.35">
      <c r="A279" s="79" t="s">
        <v>1472</v>
      </c>
      <c r="B279" s="100" t="s">
        <v>949</v>
      </c>
      <c r="C279" s="81" t="str">
        <f>IFERROR(IF(B279="No CAS","",INDEX('DEQ Pollutant List'!$C$7:$C$611,MATCH('3. Pollutant Emissions - EF'!B279,'DEQ Pollutant List'!$B$7:$B$611,0))),"")</f>
        <v>Silica, crystalline (respirable)</v>
      </c>
      <c r="D279" s="115">
        <f>IFERROR(IF(OR($B279="",$B279="No CAS"),INDEX('DEQ Pollutant List'!$A$7:$A$611,MATCH($C279,'DEQ Pollutant List'!$C$7:$C$611,0)),INDEX('DEQ Pollutant List'!$A$7:$A$611,MATCH($B279,'DEQ Pollutant List'!$B$7:$B$611,0))),"")</f>
        <v>579</v>
      </c>
      <c r="E279" s="101">
        <v>0</v>
      </c>
      <c r="F279" s="102">
        <f>0.0121*2%</f>
        <v>2.42E-4</v>
      </c>
      <c r="G279" s="103">
        <f t="shared" si="19"/>
        <v>2.42E-4</v>
      </c>
      <c r="H279" s="83" t="s">
        <v>1397</v>
      </c>
      <c r="I279" s="104" t="s">
        <v>1441</v>
      </c>
      <c r="J279" s="102">
        <f>F279*'2. Emissions Units &amp; Activities'!H36</f>
        <v>2.11992</v>
      </c>
      <c r="K279" s="105">
        <f t="shared" si="15"/>
        <v>2.11992</v>
      </c>
      <c r="L279" s="83">
        <f>F279*'2. Emissions Units &amp; Activities'!J36</f>
        <v>2.11992</v>
      </c>
      <c r="M279" s="102">
        <f>G279*'2. Emissions Units &amp; Activities'!K36</f>
        <v>5.8079999999999998E-3</v>
      </c>
      <c r="N279" s="105">
        <f t="shared" si="18"/>
        <v>5.8079999999999998E-3</v>
      </c>
      <c r="O279" s="83">
        <f>G279*'2. Emissions Units &amp; Activities'!M36</f>
        <v>5.8079999999999998E-3</v>
      </c>
    </row>
    <row r="280" spans="1:15" x14ac:dyDescent="0.35">
      <c r="A280" s="79" t="s">
        <v>1472</v>
      </c>
      <c r="B280" s="100" t="s">
        <v>40</v>
      </c>
      <c r="C280" s="81" t="str">
        <f>IFERROR(IF(B280="No CAS","",INDEX('DEQ Pollutant List'!$C$7:$C$611,MATCH('3. Pollutant Emissions - EF'!B280,'DEQ Pollutant List'!$B$7:$B$611,0))),"")</f>
        <v>Aluminum and compounds</v>
      </c>
      <c r="D280" s="115">
        <f>IFERROR(IF(OR($B280="",$B280="No CAS"),INDEX('DEQ Pollutant List'!$A$7:$A$611,MATCH($C280,'DEQ Pollutant List'!$C$7:$C$611,0)),INDEX('DEQ Pollutant List'!$A$7:$A$611,MATCH($B280,'DEQ Pollutant List'!$B$7:$B$611,0))),"")</f>
        <v>13</v>
      </c>
      <c r="E280" s="101">
        <v>0</v>
      </c>
      <c r="F280" s="102">
        <f>(0.0121*6.5%)*0.265</f>
        <v>2.084225E-4</v>
      </c>
      <c r="G280" s="103">
        <f t="shared" si="19"/>
        <v>2.084225E-4</v>
      </c>
      <c r="H280" s="83" t="s">
        <v>1397</v>
      </c>
      <c r="I280" s="104" t="s">
        <v>1399</v>
      </c>
      <c r="J280" s="102">
        <f>F280*'2. Emissions Units &amp; Activities'!H36</f>
        <v>1.8257810999999999</v>
      </c>
      <c r="K280" s="105">
        <f t="shared" si="15"/>
        <v>1.8257810999999999</v>
      </c>
      <c r="L280" s="83">
        <f>F280*'2. Emissions Units &amp; Activities'!J36</f>
        <v>1.8257810999999999</v>
      </c>
      <c r="M280" s="102">
        <f>G280*'2. Emissions Units &amp; Activities'!K36</f>
        <v>5.0021400000000004E-3</v>
      </c>
      <c r="N280" s="105">
        <f t="shared" si="18"/>
        <v>5.0021400000000004E-3</v>
      </c>
      <c r="O280" s="83">
        <f>G280*'2. Emissions Units &amp; Activities'!M36</f>
        <v>5.0021400000000004E-3</v>
      </c>
    </row>
    <row r="281" spans="1:15" x14ac:dyDescent="0.35">
      <c r="A281" s="79" t="s">
        <v>1472</v>
      </c>
      <c r="B281" s="100" t="s">
        <v>81</v>
      </c>
      <c r="C281" s="81" t="s">
        <v>82</v>
      </c>
      <c r="D281" s="115">
        <f>IFERROR(IF(OR($B281="",$B281="No CAS"),INDEX('DEQ Pollutant List'!$A$7:$A$611,MATCH($C281,'DEQ Pollutant List'!$C$7:$C$611,0)),INDEX('DEQ Pollutant List'!$A$7:$A$611,MATCH($B281,'DEQ Pollutant List'!$B$7:$B$611,0))),"")</f>
        <v>37</v>
      </c>
      <c r="E281" s="101">
        <v>0</v>
      </c>
      <c r="F281" s="102">
        <f>(0.0121*0.0000316)</f>
        <v>3.8236000000000004E-7</v>
      </c>
      <c r="G281" s="103">
        <f t="shared" si="19"/>
        <v>3.8236000000000004E-7</v>
      </c>
      <c r="H281" s="83" t="s">
        <v>1397</v>
      </c>
      <c r="I281" s="104" t="s">
        <v>1464</v>
      </c>
      <c r="J281" s="102">
        <f>F281*'2. Emissions Units &amp; Activities'!H36</f>
        <v>3.3494736000000006E-3</v>
      </c>
      <c r="K281" s="105">
        <f t="shared" si="15"/>
        <v>3.3494736000000006E-3</v>
      </c>
      <c r="L281" s="83">
        <f>F281*'2. Emissions Units &amp; Activities'!J36</f>
        <v>3.3494736000000006E-3</v>
      </c>
      <c r="M281" s="102">
        <f>G281*'2. Emissions Units &amp; Activities'!K36</f>
        <v>9.1766400000000006E-6</v>
      </c>
      <c r="N281" s="105">
        <f t="shared" si="18"/>
        <v>9.1766400000000006E-6</v>
      </c>
      <c r="O281" s="83">
        <f>G281*'2. Emissions Units &amp; Activities'!M36</f>
        <v>9.1766400000000006E-6</v>
      </c>
    </row>
    <row r="282" spans="1:15" x14ac:dyDescent="0.35">
      <c r="A282" s="79" t="s">
        <v>1472</v>
      </c>
      <c r="B282" s="100" t="s">
        <v>96</v>
      </c>
      <c r="C282" s="81" t="s">
        <v>97</v>
      </c>
      <c r="D282" s="115">
        <f>IFERROR(IF(OR($B282="",$B282="No CAS"),INDEX('DEQ Pollutant List'!$A$7:$A$611,MATCH($C282,'DEQ Pollutant List'!$C$7:$C$611,0)),INDEX('DEQ Pollutant List'!$A$7:$A$611,MATCH($B282,'DEQ Pollutant List'!$B$7:$B$611,0))),"")</f>
        <v>45</v>
      </c>
      <c r="E282" s="101">
        <v>0</v>
      </c>
      <c r="F282" s="102">
        <f>(0.0121*0.0000271)</f>
        <v>3.2791000000000003E-7</v>
      </c>
      <c r="G282" s="103">
        <f t="shared" si="19"/>
        <v>3.2791000000000003E-7</v>
      </c>
      <c r="H282" s="83" t="s">
        <v>1397</v>
      </c>
      <c r="I282" s="104" t="s">
        <v>1464</v>
      </c>
      <c r="J282" s="102">
        <f>F282*'2. Emissions Units &amp; Activities'!H36</f>
        <v>2.8724916000000002E-3</v>
      </c>
      <c r="K282" s="105">
        <f t="shared" si="15"/>
        <v>2.8724916000000002E-3</v>
      </c>
      <c r="L282" s="83">
        <f>F282*'2. Emissions Units &amp; Activities'!J36</f>
        <v>2.8724916000000002E-3</v>
      </c>
      <c r="M282" s="102">
        <f>G282*'2. Emissions Units &amp; Activities'!K36</f>
        <v>7.8698399999999999E-6</v>
      </c>
      <c r="N282" s="105">
        <f t="shared" si="18"/>
        <v>7.8698399999999999E-6</v>
      </c>
      <c r="O282" s="83">
        <f>G282*'2. Emissions Units &amp; Activities'!M36</f>
        <v>7.8698399999999999E-6</v>
      </c>
    </row>
    <row r="283" spans="1:15" x14ac:dyDescent="0.35">
      <c r="A283" s="79" t="s">
        <v>1472</v>
      </c>
      <c r="B283" s="100" t="s">
        <v>154</v>
      </c>
      <c r="C283" s="81" t="s">
        <v>155</v>
      </c>
      <c r="D283" s="115">
        <f>IFERROR(IF(OR($B283="",$B283="No CAS"),INDEX('DEQ Pollutant List'!$A$7:$A$611,MATCH($C283,'DEQ Pollutant List'!$C$7:$C$611,0)),INDEX('DEQ Pollutant List'!$A$7:$A$611,MATCH($B283,'DEQ Pollutant List'!$B$7:$B$611,0))),"")</f>
        <v>83</v>
      </c>
      <c r="E283" s="101">
        <v>0</v>
      </c>
      <c r="F283" s="102">
        <f>(0.0121*0.00000007)</f>
        <v>8.4700000000000007E-10</v>
      </c>
      <c r="G283" s="103">
        <f t="shared" si="19"/>
        <v>8.4700000000000007E-10</v>
      </c>
      <c r="H283" s="83" t="s">
        <v>1397</v>
      </c>
      <c r="I283" s="104" t="s">
        <v>1464</v>
      </c>
      <c r="J283" s="102">
        <f>F283*'2. Emissions Units &amp; Activities'!H36</f>
        <v>7.4197200000000009E-6</v>
      </c>
      <c r="K283" s="105">
        <f t="shared" si="15"/>
        <v>7.4197200000000009E-6</v>
      </c>
      <c r="L283" s="83">
        <f>F283*'2. Emissions Units &amp; Activities'!J36</f>
        <v>7.4197200000000009E-6</v>
      </c>
      <c r="M283" s="102">
        <f>G283*'2. Emissions Units &amp; Activities'!K36</f>
        <v>2.0328000000000002E-8</v>
      </c>
      <c r="N283" s="105">
        <f t="shared" si="18"/>
        <v>2.0328000000000002E-8</v>
      </c>
      <c r="O283" s="83">
        <f>G283*'2. Emissions Units &amp; Activities'!M36</f>
        <v>2.0328000000000002E-8</v>
      </c>
    </row>
    <row r="284" spans="1:15" x14ac:dyDescent="0.35">
      <c r="A284" s="79" t="s">
        <v>1472</v>
      </c>
      <c r="B284" s="100" t="s">
        <v>512</v>
      </c>
      <c r="C284" s="81" t="s">
        <v>513</v>
      </c>
      <c r="D284" s="115">
        <f>IFERROR(IF(OR($B284="",$B284="No CAS"),INDEX('DEQ Pollutant List'!$A$7:$A$611,MATCH($C284,'DEQ Pollutant List'!$C$7:$C$611,0)),INDEX('DEQ Pollutant List'!$A$7:$A$611,MATCH($B284,'DEQ Pollutant List'!$B$7:$B$611,0))),"")</f>
        <v>305</v>
      </c>
      <c r="E284" s="101">
        <v>0</v>
      </c>
      <c r="F284" s="102">
        <f>(0.0121*0.000001)</f>
        <v>1.2099999999999999E-8</v>
      </c>
      <c r="G284" s="103">
        <f t="shared" si="19"/>
        <v>1.2099999999999999E-8</v>
      </c>
      <c r="H284" s="83" t="s">
        <v>1397</v>
      </c>
      <c r="I284" s="104" t="s">
        <v>1464</v>
      </c>
      <c r="J284" s="102">
        <f>F284*'2. Emissions Units &amp; Activities'!H36</f>
        <v>1.0599599999999999E-4</v>
      </c>
      <c r="K284" s="105">
        <f t="shared" si="15"/>
        <v>1.0599599999999999E-4</v>
      </c>
      <c r="L284" s="83">
        <f>F284*'2. Emissions Units &amp; Activities'!J36</f>
        <v>1.0599599999999999E-4</v>
      </c>
      <c r="M284" s="102">
        <f>G284*'2. Emissions Units &amp; Activities'!K36</f>
        <v>2.9040000000000001E-7</v>
      </c>
      <c r="N284" s="105">
        <f t="shared" si="18"/>
        <v>2.9040000000000001E-7</v>
      </c>
      <c r="O284" s="83">
        <f>G284*'2. Emissions Units &amp; Activities'!M36</f>
        <v>2.9040000000000001E-7</v>
      </c>
    </row>
    <row r="285" spans="1:15" x14ac:dyDescent="0.35">
      <c r="A285" s="79" t="s">
        <v>1472</v>
      </c>
      <c r="B285" s="100" t="s">
        <v>518</v>
      </c>
      <c r="C285" s="81" t="s">
        <v>519</v>
      </c>
      <c r="D285" s="115">
        <f>IFERROR(IF(OR($B285="",$B285="No CAS"),INDEX('DEQ Pollutant List'!$A$7:$A$611,MATCH($C285,'DEQ Pollutant List'!$C$7:$C$611,0)),INDEX('DEQ Pollutant List'!$A$7:$A$611,MATCH($B285,'DEQ Pollutant List'!$B$7:$B$611,0))),"")</f>
        <v>312</v>
      </c>
      <c r="E285" s="101">
        <v>0</v>
      </c>
      <c r="F285" s="102">
        <f>(0.0121*0.0000851)</f>
        <v>1.0297099999999999E-6</v>
      </c>
      <c r="G285" s="103">
        <f t="shared" si="19"/>
        <v>1.0297099999999999E-6</v>
      </c>
      <c r="H285" s="83" t="s">
        <v>1397</v>
      </c>
      <c r="I285" s="104" t="s">
        <v>1464</v>
      </c>
      <c r="J285" s="102">
        <f>F285*'2. Emissions Units &amp; Activities'!H36</f>
        <v>9.0202595999999986E-3</v>
      </c>
      <c r="K285" s="105">
        <f t="shared" si="15"/>
        <v>9.0202595999999986E-3</v>
      </c>
      <c r="L285" s="83">
        <f>F285*'2. Emissions Units &amp; Activities'!J36</f>
        <v>9.0202595999999986E-3</v>
      </c>
      <c r="M285" s="102">
        <f>G285*'2. Emissions Units &amp; Activities'!K36</f>
        <v>2.4713039999999998E-5</v>
      </c>
      <c r="N285" s="105">
        <f t="shared" si="18"/>
        <v>2.4713039999999998E-5</v>
      </c>
      <c r="O285" s="83">
        <f>G285*'2. Emissions Units &amp; Activities'!M36</f>
        <v>2.4713039999999998E-5</v>
      </c>
    </row>
    <row r="286" spans="1:15" x14ac:dyDescent="0.35">
      <c r="A286" s="79" t="s">
        <v>1472</v>
      </c>
      <c r="B286" s="100" t="s">
        <v>524</v>
      </c>
      <c r="C286" s="81" t="s">
        <v>525</v>
      </c>
      <c r="D286" s="115">
        <f>IFERROR(IF(OR($B286="",$B286="No CAS"),INDEX('DEQ Pollutant List'!$A$7:$A$611,MATCH($C286,'DEQ Pollutant List'!$C$7:$C$611,0)),INDEX('DEQ Pollutant List'!$A$7:$A$611,MATCH($B286,'DEQ Pollutant List'!$B$7:$B$611,0))),"")</f>
        <v>316</v>
      </c>
      <c r="E286" s="101">
        <v>0</v>
      </c>
      <c r="F286" s="102">
        <f>(0.0121*0.0000000057)</f>
        <v>6.8969999999999996E-11</v>
      </c>
      <c r="G286" s="103">
        <f t="shared" si="19"/>
        <v>6.8969999999999996E-11</v>
      </c>
      <c r="H286" s="83" t="s">
        <v>1397</v>
      </c>
      <c r="I286" s="104" t="s">
        <v>1464</v>
      </c>
      <c r="J286" s="102">
        <f>F286*'2. Emissions Units &amp; Activities'!H36</f>
        <v>6.0417719999999996E-7</v>
      </c>
      <c r="K286" s="105">
        <f t="shared" si="15"/>
        <v>6.0417719999999996E-7</v>
      </c>
      <c r="L286" s="83">
        <f>F286*'2. Emissions Units &amp; Activities'!J36</f>
        <v>6.0417719999999996E-7</v>
      </c>
      <c r="M286" s="102">
        <f>G286*'2. Emissions Units &amp; Activities'!K36</f>
        <v>1.6552799999999999E-9</v>
      </c>
      <c r="N286" s="105">
        <f t="shared" si="18"/>
        <v>1.6552799999999999E-9</v>
      </c>
      <c r="O286" s="83">
        <f>G286*'2. Emissions Units &amp; Activities'!M36</f>
        <v>1.6552799999999999E-9</v>
      </c>
    </row>
    <row r="287" spans="1:15" x14ac:dyDescent="0.35">
      <c r="A287" s="79" t="s">
        <v>1472</v>
      </c>
      <c r="B287" s="100" t="s">
        <v>583</v>
      </c>
      <c r="C287" s="81" t="s">
        <v>584</v>
      </c>
      <c r="D287" s="115">
        <f>IFERROR(IF(OR($B287="",$B287="No CAS"),INDEX('DEQ Pollutant List'!$A$7:$A$611,MATCH($C287,'DEQ Pollutant List'!$C$7:$C$611,0)),INDEX('DEQ Pollutant List'!$A$7:$A$611,MATCH($B287,'DEQ Pollutant List'!$B$7:$B$611,0))),"")</f>
        <v>364</v>
      </c>
      <c r="E287" s="101">
        <v>0</v>
      </c>
      <c r="F287" s="102">
        <f>(0.0121*0.0000002)</f>
        <v>2.4199999999999999E-9</v>
      </c>
      <c r="G287" s="103">
        <f t="shared" si="19"/>
        <v>2.4199999999999999E-9</v>
      </c>
      <c r="H287" s="83" t="s">
        <v>1397</v>
      </c>
      <c r="I287" s="104" t="s">
        <v>1464</v>
      </c>
      <c r="J287" s="102">
        <f>F287*'2. Emissions Units &amp; Activities'!H36</f>
        <v>2.1199199999999999E-5</v>
      </c>
      <c r="K287" s="105">
        <f t="shared" si="15"/>
        <v>2.1199199999999999E-5</v>
      </c>
      <c r="L287" s="83">
        <f>F287*'2. Emissions Units &amp; Activities'!J36</f>
        <v>2.1199199999999999E-5</v>
      </c>
      <c r="M287" s="102">
        <f>G287*'2. Emissions Units &amp; Activities'!K36</f>
        <v>5.8080000000000001E-8</v>
      </c>
      <c r="N287" s="105">
        <f t="shared" si="18"/>
        <v>5.8080000000000001E-8</v>
      </c>
      <c r="O287" s="83">
        <f>G287*'2. Emissions Units &amp; Activities'!M36</f>
        <v>5.8080000000000001E-8</v>
      </c>
    </row>
    <row r="288" spans="1:15" x14ac:dyDescent="0.35">
      <c r="A288" s="79" t="s">
        <v>1472</v>
      </c>
      <c r="B288" s="100" t="s">
        <v>945</v>
      </c>
      <c r="C288" s="81" t="s">
        <v>946</v>
      </c>
      <c r="D288" s="115">
        <f>IFERROR(IF(OR($B288="",$B288="No CAS"),INDEX('DEQ Pollutant List'!$A$7:$A$611,MATCH($C288,'DEQ Pollutant List'!$C$7:$C$611,0)),INDEX('DEQ Pollutant List'!$A$7:$A$611,MATCH($B288,'DEQ Pollutant List'!$B$7:$B$611,0))),"")</f>
        <v>575</v>
      </c>
      <c r="E288" s="101">
        <v>0</v>
      </c>
      <c r="F288" s="102">
        <f>(0.0121*0.000007)</f>
        <v>8.4699999999999997E-8</v>
      </c>
      <c r="G288" s="103">
        <f t="shared" si="19"/>
        <v>8.4699999999999997E-8</v>
      </c>
      <c r="H288" s="83" t="s">
        <v>1397</v>
      </c>
      <c r="I288" s="104" t="s">
        <v>1464</v>
      </c>
      <c r="J288" s="102">
        <f>F288*'2. Emissions Units &amp; Activities'!H36</f>
        <v>7.4197200000000003E-4</v>
      </c>
      <c r="K288" s="105">
        <f t="shared" si="15"/>
        <v>7.4197200000000003E-4</v>
      </c>
      <c r="L288" s="83">
        <f>F288*'2. Emissions Units &amp; Activities'!J36</f>
        <v>7.4197200000000003E-4</v>
      </c>
      <c r="M288" s="102">
        <f>G288*'2. Emissions Units &amp; Activities'!K36</f>
        <v>2.0327999999999998E-6</v>
      </c>
      <c r="N288" s="105">
        <f t="shared" si="18"/>
        <v>2.0327999999999998E-6</v>
      </c>
      <c r="O288" s="83">
        <f>G288*'2. Emissions Units &amp; Activities'!M36</f>
        <v>2.0327999999999998E-6</v>
      </c>
    </row>
    <row r="289" spans="1:15" x14ac:dyDescent="0.35">
      <c r="A289" s="79" t="s">
        <v>1472</v>
      </c>
      <c r="B289" s="100" t="s">
        <v>1076</v>
      </c>
      <c r="C289" s="81" t="s">
        <v>1077</v>
      </c>
      <c r="D289" s="115">
        <f>IFERROR(IF(OR($B289="",$B289="No CAS"),INDEX('DEQ Pollutant List'!$A$7:$A$611,MATCH($C289,'DEQ Pollutant List'!$C$7:$C$611,0)),INDEX('DEQ Pollutant List'!$A$7:$A$611,MATCH($B289,'DEQ Pollutant List'!$B$7:$B$611,0))),"")</f>
        <v>632</v>
      </c>
      <c r="E289" s="101">
        <v>0</v>
      </c>
      <c r="F289" s="102">
        <f>(0.0121*0.0000003)</f>
        <v>3.6299999999999997E-9</v>
      </c>
      <c r="G289" s="103">
        <f t="shared" si="19"/>
        <v>3.6299999999999997E-9</v>
      </c>
      <c r="H289" s="83" t="s">
        <v>1397</v>
      </c>
      <c r="I289" s="104" t="s">
        <v>1464</v>
      </c>
      <c r="J289" s="102">
        <f>F289*'2. Emissions Units &amp; Activities'!H36</f>
        <v>3.1798799999999998E-5</v>
      </c>
      <c r="K289" s="105">
        <f t="shared" ref="K289:K300" si="20">J289</f>
        <v>3.1798799999999998E-5</v>
      </c>
      <c r="L289" s="83">
        <f>F289*'2. Emissions Units &amp; Activities'!J36</f>
        <v>3.1798799999999998E-5</v>
      </c>
      <c r="M289" s="102">
        <f>G289*'2. Emissions Units &amp; Activities'!K36</f>
        <v>8.7119999999999989E-8</v>
      </c>
      <c r="N289" s="105">
        <f t="shared" si="18"/>
        <v>8.7119999999999989E-8</v>
      </c>
      <c r="O289" s="83">
        <f>G289*'2. Emissions Units &amp; Activities'!M36</f>
        <v>8.7119999999999989E-8</v>
      </c>
    </row>
    <row r="290" spans="1:15" x14ac:dyDescent="0.35">
      <c r="A290" s="79" t="s">
        <v>1478</v>
      </c>
      <c r="B290" s="100" t="s">
        <v>949</v>
      </c>
      <c r="C290" s="81" t="str">
        <f>IFERROR(IF(B290="No CAS","",INDEX('DEQ Pollutant List'!$C$7:$C$611,MATCH('3. Pollutant Emissions - EF'!B290,'DEQ Pollutant List'!$B$7:$B$611,0))),"")</f>
        <v>Silica, crystalline (respirable)</v>
      </c>
      <c r="D290" s="115">
        <f>IFERROR(IF(OR($B290="",$B290="No CAS"),INDEX('DEQ Pollutant List'!$A$7:$A$611,MATCH($C290,'DEQ Pollutant List'!$C$7:$C$611,0)),INDEX('DEQ Pollutant List'!$A$7:$A$611,MATCH($B290,'DEQ Pollutant List'!$B$7:$B$611,0))),"")</f>
        <v>579</v>
      </c>
      <c r="E290" s="101">
        <v>0</v>
      </c>
      <c r="F290" s="102">
        <f>0.0018*2%</f>
        <v>3.6000000000000001E-5</v>
      </c>
      <c r="G290" s="103">
        <f t="shared" ref="G290:G300" si="21">F290</f>
        <v>3.6000000000000001E-5</v>
      </c>
      <c r="H290" s="83" t="s">
        <v>1397</v>
      </c>
      <c r="I290" s="104" t="s">
        <v>1464</v>
      </c>
      <c r="J290" s="102">
        <f>F290*'2. Emissions Units &amp; Activities'!H37</f>
        <v>0.31536000000000003</v>
      </c>
      <c r="K290" s="105">
        <f t="shared" si="20"/>
        <v>0.31536000000000003</v>
      </c>
      <c r="L290" s="83">
        <f>F290*'2. Emissions Units &amp; Activities'!J37</f>
        <v>0.31536000000000003</v>
      </c>
      <c r="M290" s="102">
        <f>G290*'2. Emissions Units &amp; Activities'!K37</f>
        <v>8.6399999999999997E-4</v>
      </c>
      <c r="N290" s="105">
        <f t="shared" si="18"/>
        <v>8.6399999999999997E-4</v>
      </c>
      <c r="O290" s="83">
        <f>G290*'2. Emissions Units &amp; Activities'!M37</f>
        <v>8.6399999999999997E-4</v>
      </c>
    </row>
    <row r="291" spans="1:15" x14ac:dyDescent="0.35">
      <c r="A291" s="79" t="s">
        <v>1478</v>
      </c>
      <c r="B291" s="100" t="s">
        <v>40</v>
      </c>
      <c r="C291" s="81" t="str">
        <f>IFERROR(IF(B291="No CAS","",INDEX('DEQ Pollutant List'!$C$7:$C$611,MATCH('3. Pollutant Emissions - EF'!B291,'DEQ Pollutant List'!$B$7:$B$611,0))),"")</f>
        <v>Aluminum and compounds</v>
      </c>
      <c r="D291" s="115">
        <f>IFERROR(IF(OR($B291="",$B291="No CAS"),INDEX('DEQ Pollutant List'!$A$7:$A$611,MATCH($C291,'DEQ Pollutant List'!$C$7:$C$611,0)),INDEX('DEQ Pollutant List'!$A$7:$A$611,MATCH($B291,'DEQ Pollutant List'!$B$7:$B$611,0))),"")</f>
        <v>13</v>
      </c>
      <c r="E291" s="101">
        <v>0</v>
      </c>
      <c r="F291" s="102">
        <f>(0.0018*6.5%)*0.265</f>
        <v>3.1004999999999999E-5</v>
      </c>
      <c r="G291" s="103">
        <f t="shared" si="21"/>
        <v>3.1004999999999999E-5</v>
      </c>
      <c r="H291" s="83" t="s">
        <v>1397</v>
      </c>
      <c r="I291" s="104" t="s">
        <v>1464</v>
      </c>
      <c r="J291" s="102">
        <f>F291*'2. Emissions Units &amp; Activities'!H37</f>
        <v>0.27160380000000001</v>
      </c>
      <c r="K291" s="105">
        <f t="shared" si="20"/>
        <v>0.27160380000000001</v>
      </c>
      <c r="L291" s="83">
        <f>F291*'2. Emissions Units &amp; Activities'!J37</f>
        <v>0.27160380000000001</v>
      </c>
      <c r="M291" s="102">
        <f>G291*'2. Emissions Units &amp; Activities'!K37</f>
        <v>7.4412000000000002E-4</v>
      </c>
      <c r="N291" s="105">
        <f t="shared" si="18"/>
        <v>7.4412000000000002E-4</v>
      </c>
      <c r="O291" s="83">
        <f>G291*'2. Emissions Units &amp; Activities'!M37</f>
        <v>7.4412000000000002E-4</v>
      </c>
    </row>
    <row r="292" spans="1:15" x14ac:dyDescent="0.35">
      <c r="A292" s="79" t="s">
        <v>1478</v>
      </c>
      <c r="B292" s="100" t="s">
        <v>81</v>
      </c>
      <c r="C292" s="81" t="s">
        <v>82</v>
      </c>
      <c r="D292" s="115">
        <f>IFERROR(IF(OR($B292="",$B292="No CAS"),INDEX('DEQ Pollutant List'!$A$7:$A$611,MATCH($C292,'DEQ Pollutant List'!$C$7:$C$611,0)),INDEX('DEQ Pollutant List'!$A$7:$A$611,MATCH($B292,'DEQ Pollutant List'!$B$7:$B$611,0))),"")</f>
        <v>37</v>
      </c>
      <c r="E292" s="101">
        <v>0</v>
      </c>
      <c r="F292" s="102">
        <f>(0.0018*0.0000316)</f>
        <v>5.6880000000000004E-8</v>
      </c>
      <c r="G292" s="103">
        <f t="shared" si="21"/>
        <v>5.6880000000000004E-8</v>
      </c>
      <c r="H292" s="83" t="s">
        <v>1397</v>
      </c>
      <c r="I292" s="104" t="s">
        <v>1464</v>
      </c>
      <c r="J292" s="102">
        <f>F292*'2. Emissions Units &amp; Activities'!H37</f>
        <v>4.9826880000000001E-4</v>
      </c>
      <c r="K292" s="105">
        <f t="shared" si="20"/>
        <v>4.9826880000000001E-4</v>
      </c>
      <c r="L292" s="83">
        <f>F292*'2. Emissions Units &amp; Activities'!J37</f>
        <v>4.9826880000000001E-4</v>
      </c>
      <c r="M292" s="102">
        <f>G292*'2. Emissions Units &amp; Activities'!K37</f>
        <v>1.36512E-6</v>
      </c>
      <c r="N292" s="105">
        <f t="shared" si="18"/>
        <v>1.36512E-6</v>
      </c>
      <c r="O292" s="83">
        <f>G292*'2. Emissions Units &amp; Activities'!M37</f>
        <v>1.36512E-6</v>
      </c>
    </row>
    <row r="293" spans="1:15" x14ac:dyDescent="0.35">
      <c r="A293" s="79" t="s">
        <v>1478</v>
      </c>
      <c r="B293" s="100" t="s">
        <v>96</v>
      </c>
      <c r="C293" s="81" t="s">
        <v>97</v>
      </c>
      <c r="D293" s="115">
        <f>IFERROR(IF(OR($B293="",$B293="No CAS"),INDEX('DEQ Pollutant List'!$A$7:$A$611,MATCH($C293,'DEQ Pollutant List'!$C$7:$C$611,0)),INDEX('DEQ Pollutant List'!$A$7:$A$611,MATCH($B293,'DEQ Pollutant List'!$B$7:$B$611,0))),"")</f>
        <v>45</v>
      </c>
      <c r="E293" s="101">
        <v>0</v>
      </c>
      <c r="F293" s="102">
        <f>(0.0018*0.0000271)</f>
        <v>4.8780000000000004E-8</v>
      </c>
      <c r="G293" s="103">
        <f t="shared" si="21"/>
        <v>4.8780000000000004E-8</v>
      </c>
      <c r="H293" s="83" t="s">
        <v>1397</v>
      </c>
      <c r="I293" s="104" t="s">
        <v>1464</v>
      </c>
      <c r="J293" s="102">
        <f>F293*'2. Emissions Units &amp; Activities'!H37</f>
        <v>4.2731280000000006E-4</v>
      </c>
      <c r="K293" s="105">
        <f t="shared" si="20"/>
        <v>4.2731280000000006E-4</v>
      </c>
      <c r="L293" s="83">
        <f>F293*'2. Emissions Units &amp; Activities'!J37</f>
        <v>4.2731280000000006E-4</v>
      </c>
      <c r="M293" s="102">
        <f>G293*'2. Emissions Units &amp; Activities'!K37</f>
        <v>1.1707200000000002E-6</v>
      </c>
      <c r="N293" s="105">
        <f t="shared" si="18"/>
        <v>1.1707200000000002E-6</v>
      </c>
      <c r="O293" s="83">
        <f>G293*'2. Emissions Units &amp; Activities'!M37</f>
        <v>1.1707200000000002E-6</v>
      </c>
    </row>
    <row r="294" spans="1:15" x14ac:dyDescent="0.35">
      <c r="A294" s="79" t="s">
        <v>1478</v>
      </c>
      <c r="B294" s="100" t="s">
        <v>154</v>
      </c>
      <c r="C294" s="81" t="s">
        <v>155</v>
      </c>
      <c r="D294" s="115">
        <f>IFERROR(IF(OR($B294="",$B294="No CAS"),INDEX('DEQ Pollutant List'!$A$7:$A$611,MATCH($C294,'DEQ Pollutant List'!$C$7:$C$611,0)),INDEX('DEQ Pollutant List'!$A$7:$A$611,MATCH($B294,'DEQ Pollutant List'!$B$7:$B$611,0))),"")</f>
        <v>83</v>
      </c>
      <c r="E294" s="101">
        <v>0</v>
      </c>
      <c r="F294" s="102">
        <f>(0.0018*0.00000007)</f>
        <v>1.26E-10</v>
      </c>
      <c r="G294" s="103">
        <f t="shared" si="21"/>
        <v>1.26E-10</v>
      </c>
      <c r="H294" s="83" t="s">
        <v>1397</v>
      </c>
      <c r="I294" s="104" t="s">
        <v>1464</v>
      </c>
      <c r="J294" s="102">
        <f>F294*'2. Emissions Units &amp; Activities'!H37</f>
        <v>1.1037600000000001E-6</v>
      </c>
      <c r="K294" s="105">
        <f t="shared" si="20"/>
        <v>1.1037600000000001E-6</v>
      </c>
      <c r="L294" s="83">
        <f>F294*'2. Emissions Units &amp; Activities'!J37</f>
        <v>1.1037600000000001E-6</v>
      </c>
      <c r="M294" s="102">
        <f>G294*'2. Emissions Units &amp; Activities'!K37</f>
        <v>3.0240000000000003E-9</v>
      </c>
      <c r="N294" s="105">
        <f t="shared" si="18"/>
        <v>3.0240000000000003E-9</v>
      </c>
      <c r="O294" s="83">
        <f>G294*'2. Emissions Units &amp; Activities'!M37</f>
        <v>3.0240000000000003E-9</v>
      </c>
    </row>
    <row r="295" spans="1:15" x14ac:dyDescent="0.35">
      <c r="A295" s="79" t="s">
        <v>1478</v>
      </c>
      <c r="B295" s="100" t="s">
        <v>512</v>
      </c>
      <c r="C295" s="81" t="s">
        <v>513</v>
      </c>
      <c r="D295" s="115">
        <f>IFERROR(IF(OR($B295="",$B295="No CAS"),INDEX('DEQ Pollutant List'!$A$7:$A$611,MATCH($C295,'DEQ Pollutant List'!$C$7:$C$611,0)),INDEX('DEQ Pollutant List'!$A$7:$A$611,MATCH($B295,'DEQ Pollutant List'!$B$7:$B$611,0))),"")</f>
        <v>305</v>
      </c>
      <c r="E295" s="101">
        <v>0</v>
      </c>
      <c r="F295" s="102">
        <f>(0.0018*0.000001)</f>
        <v>1.7999999999999998E-9</v>
      </c>
      <c r="G295" s="103">
        <f t="shared" si="21"/>
        <v>1.7999999999999998E-9</v>
      </c>
      <c r="H295" s="83" t="s">
        <v>1397</v>
      </c>
      <c r="I295" s="104" t="s">
        <v>1464</v>
      </c>
      <c r="J295" s="102">
        <f>F295*'2. Emissions Units &amp; Activities'!H37</f>
        <v>1.5767999999999999E-5</v>
      </c>
      <c r="K295" s="105">
        <f t="shared" si="20"/>
        <v>1.5767999999999999E-5</v>
      </c>
      <c r="L295" s="83">
        <f>F295*'2. Emissions Units &amp; Activities'!J37</f>
        <v>1.5767999999999999E-5</v>
      </c>
      <c r="M295" s="102">
        <f>G295*'2. Emissions Units &amp; Activities'!K37</f>
        <v>4.3199999999999996E-8</v>
      </c>
      <c r="N295" s="105">
        <f t="shared" si="18"/>
        <v>4.3199999999999996E-8</v>
      </c>
      <c r="O295" s="83">
        <f>G295*'2. Emissions Units &amp; Activities'!M37</f>
        <v>4.3199999999999996E-8</v>
      </c>
    </row>
    <row r="296" spans="1:15" x14ac:dyDescent="0.35">
      <c r="A296" s="79" t="s">
        <v>1478</v>
      </c>
      <c r="B296" s="100" t="s">
        <v>518</v>
      </c>
      <c r="C296" s="81" t="s">
        <v>519</v>
      </c>
      <c r="D296" s="115">
        <f>IFERROR(IF(OR($B296="",$B296="No CAS"),INDEX('DEQ Pollutant List'!$A$7:$A$611,MATCH($C296,'DEQ Pollutant List'!$C$7:$C$611,0)),INDEX('DEQ Pollutant List'!$A$7:$A$611,MATCH($B296,'DEQ Pollutant List'!$B$7:$B$611,0))),"")</f>
        <v>312</v>
      </c>
      <c r="E296" s="101">
        <v>0</v>
      </c>
      <c r="F296" s="102">
        <f>(0.0018*0.0000851)</f>
        <v>1.5318E-7</v>
      </c>
      <c r="G296" s="103">
        <f t="shared" si="21"/>
        <v>1.5318E-7</v>
      </c>
      <c r="H296" s="83" t="s">
        <v>1397</v>
      </c>
      <c r="I296" s="104" t="s">
        <v>1464</v>
      </c>
      <c r="J296" s="102">
        <f>F296*'2. Emissions Units &amp; Activities'!H37</f>
        <v>1.3418568000000001E-3</v>
      </c>
      <c r="K296" s="105">
        <f t="shared" si="20"/>
        <v>1.3418568000000001E-3</v>
      </c>
      <c r="L296" s="83">
        <f>F296*'2. Emissions Units &amp; Activities'!J37</f>
        <v>1.3418568000000001E-3</v>
      </c>
      <c r="M296" s="102">
        <f>G296*'2. Emissions Units &amp; Activities'!K37</f>
        <v>3.67632E-6</v>
      </c>
      <c r="N296" s="105">
        <f t="shared" si="18"/>
        <v>3.67632E-6</v>
      </c>
      <c r="O296" s="83">
        <f>G296*'2. Emissions Units &amp; Activities'!M37</f>
        <v>3.67632E-6</v>
      </c>
    </row>
    <row r="297" spans="1:15" x14ac:dyDescent="0.35">
      <c r="A297" s="79" t="s">
        <v>1478</v>
      </c>
      <c r="B297" s="100" t="s">
        <v>524</v>
      </c>
      <c r="C297" s="81" t="s">
        <v>525</v>
      </c>
      <c r="D297" s="115">
        <f>IFERROR(IF(OR($B297="",$B297="No CAS"),INDEX('DEQ Pollutant List'!$A$7:$A$611,MATCH($C297,'DEQ Pollutant List'!$C$7:$C$611,0)),INDEX('DEQ Pollutant List'!$A$7:$A$611,MATCH($B297,'DEQ Pollutant List'!$B$7:$B$611,0))),"")</f>
        <v>316</v>
      </c>
      <c r="E297" s="101">
        <v>0</v>
      </c>
      <c r="F297" s="102">
        <f>(0.0018*0.0000000057)</f>
        <v>1.0259999999999999E-11</v>
      </c>
      <c r="G297" s="103">
        <f t="shared" si="21"/>
        <v>1.0259999999999999E-11</v>
      </c>
      <c r="H297" s="83" t="s">
        <v>1397</v>
      </c>
      <c r="I297" s="104" t="s">
        <v>1464</v>
      </c>
      <c r="J297" s="102">
        <f>F297*'2. Emissions Units &amp; Activities'!H37</f>
        <v>8.9877599999999984E-8</v>
      </c>
      <c r="K297" s="105">
        <f t="shared" si="20"/>
        <v>8.9877599999999984E-8</v>
      </c>
      <c r="L297" s="83">
        <f>F297*'2. Emissions Units &amp; Activities'!J37</f>
        <v>8.9877599999999984E-8</v>
      </c>
      <c r="M297" s="102">
        <f>G297*'2. Emissions Units &amp; Activities'!K37</f>
        <v>2.4623999999999997E-10</v>
      </c>
      <c r="N297" s="105">
        <f t="shared" si="18"/>
        <v>2.4623999999999997E-10</v>
      </c>
      <c r="O297" s="83">
        <f>G297*'2. Emissions Units &amp; Activities'!M37</f>
        <v>2.4623999999999997E-10</v>
      </c>
    </row>
    <row r="298" spans="1:15" x14ac:dyDescent="0.35">
      <c r="A298" s="79" t="s">
        <v>1478</v>
      </c>
      <c r="B298" s="100" t="s">
        <v>583</v>
      </c>
      <c r="C298" s="81" t="s">
        <v>584</v>
      </c>
      <c r="D298" s="115">
        <f>IFERROR(IF(OR($B298="",$B298="No CAS"),INDEX('DEQ Pollutant List'!$A$7:$A$611,MATCH($C298,'DEQ Pollutant List'!$C$7:$C$611,0)),INDEX('DEQ Pollutant List'!$A$7:$A$611,MATCH($B298,'DEQ Pollutant List'!$B$7:$B$611,0))),"")</f>
        <v>364</v>
      </c>
      <c r="E298" s="101">
        <v>0</v>
      </c>
      <c r="F298" s="102">
        <f>(0.0018*0.000002)</f>
        <v>3.5999999999999996E-9</v>
      </c>
      <c r="G298" s="103">
        <f t="shared" si="21"/>
        <v>3.5999999999999996E-9</v>
      </c>
      <c r="H298" s="83" t="s">
        <v>1397</v>
      </c>
      <c r="I298" s="104" t="s">
        <v>1464</v>
      </c>
      <c r="J298" s="102">
        <f>F298*'2. Emissions Units &amp; Activities'!H37</f>
        <v>3.1535999999999998E-5</v>
      </c>
      <c r="K298" s="105">
        <f t="shared" si="20"/>
        <v>3.1535999999999998E-5</v>
      </c>
      <c r="L298" s="83">
        <f>F298*'2. Emissions Units &amp; Activities'!J37</f>
        <v>3.1535999999999998E-5</v>
      </c>
      <c r="M298" s="102">
        <f>G298*'2. Emissions Units &amp; Activities'!K37</f>
        <v>8.6399999999999993E-8</v>
      </c>
      <c r="N298" s="105">
        <f t="shared" si="18"/>
        <v>8.6399999999999993E-8</v>
      </c>
      <c r="O298" s="83">
        <f>G298*'2. Emissions Units &amp; Activities'!M37</f>
        <v>8.6399999999999993E-8</v>
      </c>
    </row>
    <row r="299" spans="1:15" x14ac:dyDescent="0.35">
      <c r="A299" s="79" t="s">
        <v>1478</v>
      </c>
      <c r="B299" s="100" t="s">
        <v>945</v>
      </c>
      <c r="C299" s="81" t="s">
        <v>946</v>
      </c>
      <c r="D299" s="115">
        <f>IFERROR(IF(OR($B299="",$B299="No CAS"),INDEX('DEQ Pollutant List'!$A$7:$A$611,MATCH($C299,'DEQ Pollutant List'!$C$7:$C$611,0)),INDEX('DEQ Pollutant List'!$A$7:$A$611,MATCH($B299,'DEQ Pollutant List'!$B$7:$B$611,0))),"")</f>
        <v>575</v>
      </c>
      <c r="E299" s="101">
        <v>0</v>
      </c>
      <c r="F299" s="102">
        <f>(0.0018*0.0000007)</f>
        <v>1.26E-9</v>
      </c>
      <c r="G299" s="103">
        <f t="shared" si="21"/>
        <v>1.26E-9</v>
      </c>
      <c r="H299" s="83" t="s">
        <v>1397</v>
      </c>
      <c r="I299" s="104" t="s">
        <v>1464</v>
      </c>
      <c r="J299" s="102">
        <f>F299*'2. Emissions Units &amp; Activities'!H37</f>
        <v>1.1037599999999999E-5</v>
      </c>
      <c r="K299" s="105">
        <f t="shared" si="20"/>
        <v>1.1037599999999999E-5</v>
      </c>
      <c r="L299" s="83">
        <f>F299*'2. Emissions Units &amp; Activities'!J37</f>
        <v>1.1037599999999999E-5</v>
      </c>
      <c r="M299" s="102">
        <f>G299*'2. Emissions Units &amp; Activities'!K37</f>
        <v>3.0239999999999998E-8</v>
      </c>
      <c r="N299" s="105">
        <f t="shared" si="18"/>
        <v>3.0239999999999998E-8</v>
      </c>
      <c r="O299" s="83">
        <f>G299*'2. Emissions Units &amp; Activities'!M37</f>
        <v>3.0239999999999998E-8</v>
      </c>
    </row>
    <row r="300" spans="1:15" x14ac:dyDescent="0.35">
      <c r="A300" s="79" t="s">
        <v>1478</v>
      </c>
      <c r="B300" s="100" t="s">
        <v>1076</v>
      </c>
      <c r="C300" s="81" t="s">
        <v>1077</v>
      </c>
      <c r="D300" s="115">
        <f>IFERROR(IF(OR($B300="",$B300="No CAS"),INDEX('DEQ Pollutant List'!$A$7:$A$611,MATCH($C300,'DEQ Pollutant List'!$C$7:$C$611,0)),INDEX('DEQ Pollutant List'!$A$7:$A$611,MATCH($B300,'DEQ Pollutant List'!$B$7:$B$611,0))),"")</f>
        <v>632</v>
      </c>
      <c r="E300" s="101">
        <v>0</v>
      </c>
      <c r="F300" s="102">
        <f>(0.0018*0.0000003)</f>
        <v>5.4E-10</v>
      </c>
      <c r="G300" s="103">
        <f t="shared" si="21"/>
        <v>5.4E-10</v>
      </c>
      <c r="H300" s="83" t="s">
        <v>1397</v>
      </c>
      <c r="I300" s="104" t="s">
        <v>1464</v>
      </c>
      <c r="J300" s="102">
        <f>F300*'2. Emissions Units &amp; Activities'!H37</f>
        <v>4.7303999999999996E-6</v>
      </c>
      <c r="K300" s="105">
        <f t="shared" si="20"/>
        <v>4.7303999999999996E-6</v>
      </c>
      <c r="L300" s="83">
        <f>F300*'2. Emissions Units &amp; Activities'!J37</f>
        <v>4.7303999999999996E-6</v>
      </c>
      <c r="M300" s="102">
        <f>G300*'2. Emissions Units &amp; Activities'!K37</f>
        <v>1.296E-8</v>
      </c>
      <c r="N300" s="105">
        <f t="shared" si="18"/>
        <v>1.296E-8</v>
      </c>
      <c r="O300" s="83">
        <f>G300*'2. Emissions Units &amp; Activities'!M37</f>
        <v>1.296E-8</v>
      </c>
    </row>
    <row r="301" spans="1:15" x14ac:dyDescent="0.3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35">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3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35">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35">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35">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35">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35">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35">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35">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35">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35">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35">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35">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35">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35">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35">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35">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35">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35">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35">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x14ac:dyDescent="0.35">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x14ac:dyDescent="0.35">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x14ac:dyDescent="0.35">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x14ac:dyDescent="0.35">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x14ac:dyDescent="0.35">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x14ac:dyDescent="0.35">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x14ac:dyDescent="0.35">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x14ac:dyDescent="0.35">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x14ac:dyDescent="0.35">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x14ac:dyDescent="0.35">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x14ac:dyDescent="0.35">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x14ac:dyDescent="0.35">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x14ac:dyDescent="0.35">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x14ac:dyDescent="0.35">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x14ac:dyDescent="0.35">
      <c r="A534" s="79"/>
      <c r="B534" s="100"/>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1"/>
      <c r="F534" s="102"/>
      <c r="G534" s="103"/>
      <c r="H534" s="83"/>
      <c r="I534" s="104"/>
      <c r="J534" s="102"/>
      <c r="K534" s="105"/>
      <c r="L534" s="83"/>
      <c r="M534" s="102"/>
      <c r="N534" s="105"/>
      <c r="O534" s="83"/>
    </row>
    <row r="535" spans="1:15" x14ac:dyDescent="0.35">
      <c r="A535" s="79"/>
      <c r="B535" s="100"/>
      <c r="C535" s="81" t="str">
        <f>IFERROR(IF(B535="No CAS","",INDEX('DEQ Pollutant List'!$C$7:$C$611,MATCH('3. Pollutant Emissions - EF'!B535,'DEQ Pollutant List'!$B$7:$B$611,0))),"")</f>
        <v/>
      </c>
      <c r="D535" s="115" t="str">
        <f>IFERROR(IF(OR($B535="",$B535="No CAS"),INDEX('DEQ Pollutant List'!$A$7:$A$611,MATCH($C535,'DEQ Pollutant List'!$C$7:$C$611,0)),INDEX('DEQ Pollutant List'!$A$7:$A$611,MATCH($B535,'DEQ Pollutant List'!$B$7:$B$611,0))),"")</f>
        <v/>
      </c>
      <c r="E535" s="101"/>
      <c r="F535" s="102"/>
      <c r="G535" s="103"/>
      <c r="H535" s="83"/>
      <c r="I535" s="104"/>
      <c r="J535" s="102"/>
      <c r="K535" s="105"/>
      <c r="L535" s="83"/>
      <c r="M535" s="102"/>
      <c r="N535" s="105"/>
      <c r="O535" s="83"/>
    </row>
    <row r="536" spans="1:15" x14ac:dyDescent="0.35">
      <c r="A536" s="79"/>
      <c r="B536" s="100"/>
      <c r="C536" s="81" t="str">
        <f>IFERROR(IF(B536="No CAS","",INDEX('DEQ Pollutant List'!$C$7:$C$611,MATCH('3. Pollutant Emissions - EF'!B536,'DEQ Pollutant List'!$B$7:$B$611,0))),"")</f>
        <v/>
      </c>
      <c r="D536" s="115" t="str">
        <f>IFERROR(IF(OR($B536="",$B536="No CAS"),INDEX('DEQ Pollutant List'!$A$7:$A$611,MATCH($C536,'DEQ Pollutant List'!$C$7:$C$611,0)),INDEX('DEQ Pollutant List'!$A$7:$A$611,MATCH($B536,'DEQ Pollutant List'!$B$7:$B$611,0))),"")</f>
        <v/>
      </c>
      <c r="E536" s="101"/>
      <c r="F536" s="102"/>
      <c r="G536" s="103"/>
      <c r="H536" s="83"/>
      <c r="I536" s="104"/>
      <c r="J536" s="102"/>
      <c r="K536" s="105"/>
      <c r="L536" s="83"/>
      <c r="M536" s="102"/>
      <c r="N536" s="105"/>
      <c r="O536" s="83"/>
    </row>
    <row r="537" spans="1:15" x14ac:dyDescent="0.35">
      <c r="A537" s="79"/>
      <c r="B537" s="100"/>
      <c r="C537" s="81" t="str">
        <f>IFERROR(IF(B537="No CAS","",INDEX('DEQ Pollutant List'!$C$7:$C$611,MATCH('3. Pollutant Emissions - EF'!B537,'DEQ Pollutant List'!$B$7:$B$611,0))),"")</f>
        <v/>
      </c>
      <c r="D537" s="115" t="str">
        <f>IFERROR(IF(OR($B537="",$B537="No CAS"),INDEX('DEQ Pollutant List'!$A$7:$A$611,MATCH($C537,'DEQ Pollutant List'!$C$7:$C$611,0)),INDEX('DEQ Pollutant List'!$A$7:$A$611,MATCH($B537,'DEQ Pollutant List'!$B$7:$B$611,0))),"")</f>
        <v/>
      </c>
      <c r="E537" s="101"/>
      <c r="F537" s="102"/>
      <c r="G537" s="103"/>
      <c r="H537" s="83"/>
      <c r="I537" s="104"/>
      <c r="J537" s="102"/>
      <c r="K537" s="105"/>
      <c r="L537" s="83"/>
      <c r="M537" s="102"/>
      <c r="N537" s="105"/>
      <c r="O537" s="83"/>
    </row>
    <row r="538" spans="1:15" x14ac:dyDescent="0.35">
      <c r="A538" s="79"/>
      <c r="B538" s="100"/>
      <c r="C538" s="81" t="str">
        <f>IFERROR(IF(B538="No CAS","",INDEX('DEQ Pollutant List'!$C$7:$C$611,MATCH('3. Pollutant Emissions - EF'!B538,'DEQ Pollutant List'!$B$7:$B$611,0))),"")</f>
        <v/>
      </c>
      <c r="D538" s="115" t="str">
        <f>IFERROR(IF(OR($B538="",$B538="No CAS"),INDEX('DEQ Pollutant List'!$A$7:$A$611,MATCH($C538,'DEQ Pollutant List'!$C$7:$C$611,0)),INDEX('DEQ Pollutant List'!$A$7:$A$611,MATCH($B538,'DEQ Pollutant List'!$B$7:$B$611,0))),"")</f>
        <v/>
      </c>
      <c r="E538" s="101"/>
      <c r="F538" s="102"/>
      <c r="G538" s="103"/>
      <c r="H538" s="83"/>
      <c r="I538" s="104"/>
      <c r="J538" s="102"/>
      <c r="K538" s="105"/>
      <c r="L538" s="83"/>
      <c r="M538" s="102"/>
      <c r="N538" s="105"/>
      <c r="O538" s="83"/>
    </row>
    <row r="539" spans="1:15" x14ac:dyDescent="0.35">
      <c r="A539" s="79"/>
      <c r="B539" s="100"/>
      <c r="C539" s="81" t="str">
        <f>IFERROR(IF(B539="No CAS","",INDEX('DEQ Pollutant List'!$C$7:$C$611,MATCH('3. Pollutant Emissions - EF'!B539,'DEQ Pollutant List'!$B$7:$B$611,0))),"")</f>
        <v/>
      </c>
      <c r="D539" s="115" t="str">
        <f>IFERROR(IF(OR($B539="",$B539="No CAS"),INDEX('DEQ Pollutant List'!$A$7:$A$611,MATCH($C539,'DEQ Pollutant List'!$C$7:$C$611,0)),INDEX('DEQ Pollutant List'!$A$7:$A$611,MATCH($B539,'DEQ Pollutant List'!$B$7:$B$611,0))),"")</f>
        <v/>
      </c>
      <c r="E539" s="101"/>
      <c r="F539" s="102"/>
      <c r="G539" s="103"/>
      <c r="H539" s="83"/>
      <c r="I539" s="104"/>
      <c r="J539" s="102"/>
      <c r="K539" s="105"/>
      <c r="L539" s="83"/>
      <c r="M539" s="102"/>
      <c r="N539" s="105"/>
      <c r="O539" s="83"/>
    </row>
    <row r="540" spans="1:15" x14ac:dyDescent="0.35">
      <c r="A540" s="79"/>
      <c r="B540" s="100"/>
      <c r="C540" s="81" t="str">
        <f>IFERROR(IF(B540="No CAS","",INDEX('DEQ Pollutant List'!$C$7:$C$611,MATCH('3. Pollutant Emissions - EF'!B540,'DEQ Pollutant List'!$B$7:$B$611,0))),"")</f>
        <v/>
      </c>
      <c r="D540" s="115" t="str">
        <f>IFERROR(IF(OR($B540="",$B540="No CAS"),INDEX('DEQ Pollutant List'!$A$7:$A$611,MATCH($C540,'DEQ Pollutant List'!$C$7:$C$611,0)),INDEX('DEQ Pollutant List'!$A$7:$A$611,MATCH($B540,'DEQ Pollutant List'!$B$7:$B$611,0))),"")</f>
        <v/>
      </c>
      <c r="E540" s="101"/>
      <c r="F540" s="102"/>
      <c r="G540" s="103"/>
      <c r="H540" s="83"/>
      <c r="I540" s="104"/>
      <c r="J540" s="102"/>
      <c r="K540" s="105"/>
      <c r="L540" s="83"/>
      <c r="M540" s="102"/>
      <c r="N540" s="105"/>
      <c r="O540" s="83"/>
    </row>
    <row r="541" spans="1:15" x14ac:dyDescent="0.35">
      <c r="A541" s="79"/>
      <c r="B541" s="100"/>
      <c r="C541" s="81" t="str">
        <f>IFERROR(IF(B541="No CAS","",INDEX('DEQ Pollutant List'!$C$7:$C$611,MATCH('3. Pollutant Emissions - EF'!B541,'DEQ Pollutant List'!$B$7:$B$611,0))),"")</f>
        <v/>
      </c>
      <c r="D541" s="115" t="str">
        <f>IFERROR(IF(OR($B541="",$B541="No CAS"),INDEX('DEQ Pollutant List'!$A$7:$A$611,MATCH($C541,'DEQ Pollutant List'!$C$7:$C$611,0)),INDEX('DEQ Pollutant List'!$A$7:$A$611,MATCH($B541,'DEQ Pollutant List'!$B$7:$B$611,0))),"")</f>
        <v/>
      </c>
      <c r="E541" s="101"/>
      <c r="F541" s="102"/>
      <c r="G541" s="103"/>
      <c r="H541" s="83"/>
      <c r="I541" s="104"/>
      <c r="J541" s="102"/>
      <c r="K541" s="105"/>
      <c r="L541" s="83"/>
      <c r="M541" s="102"/>
      <c r="N541" s="105"/>
      <c r="O541" s="83"/>
    </row>
    <row r="542" spans="1:15" x14ac:dyDescent="0.35">
      <c r="A542" s="79"/>
      <c r="B542" s="100"/>
      <c r="C542" s="81" t="str">
        <f>IFERROR(IF(B542="No CAS","",INDEX('DEQ Pollutant List'!$C$7:$C$611,MATCH('3. Pollutant Emissions - EF'!B542,'DEQ Pollutant List'!$B$7:$B$611,0))),"")</f>
        <v/>
      </c>
      <c r="D542" s="115" t="str">
        <f>IFERROR(IF(OR($B542="",$B542="No CAS"),INDEX('DEQ Pollutant List'!$A$7:$A$611,MATCH($C542,'DEQ Pollutant List'!$C$7:$C$611,0)),INDEX('DEQ Pollutant List'!$A$7:$A$611,MATCH($B542,'DEQ Pollutant List'!$B$7:$B$611,0))),"")</f>
        <v/>
      </c>
      <c r="E542" s="101"/>
      <c r="F542" s="102"/>
      <c r="G542" s="103"/>
      <c r="H542" s="83"/>
      <c r="I542" s="104"/>
      <c r="J542" s="102"/>
      <c r="K542" s="105"/>
      <c r="L542" s="83"/>
      <c r="M542" s="102"/>
      <c r="N542" s="105"/>
      <c r="O542" s="83"/>
    </row>
    <row r="543" spans="1:15" x14ac:dyDescent="0.35">
      <c r="A543" s="79"/>
      <c r="B543" s="100"/>
      <c r="C543" s="81" t="str">
        <f>IFERROR(IF(B543="No CAS","",INDEX('DEQ Pollutant List'!$C$7:$C$611,MATCH('3. Pollutant Emissions - EF'!B543,'DEQ Pollutant List'!$B$7:$B$611,0))),"")</f>
        <v/>
      </c>
      <c r="D543" s="115" t="str">
        <f>IFERROR(IF(OR($B543="",$B543="No CAS"),INDEX('DEQ Pollutant List'!$A$7:$A$611,MATCH($C543,'DEQ Pollutant List'!$C$7:$C$611,0)),INDEX('DEQ Pollutant List'!$A$7:$A$611,MATCH($B543,'DEQ Pollutant List'!$B$7:$B$611,0))),"")</f>
        <v/>
      </c>
      <c r="E543" s="101"/>
      <c r="F543" s="102"/>
      <c r="G543" s="103"/>
      <c r="H543" s="83"/>
      <c r="I543" s="104"/>
      <c r="J543" s="102"/>
      <c r="K543" s="105"/>
      <c r="L543" s="83"/>
      <c r="M543" s="102"/>
      <c r="N543" s="105"/>
      <c r="O543" s="83"/>
    </row>
    <row r="544" spans="1:15" x14ac:dyDescent="0.35">
      <c r="A544" s="79"/>
      <c r="B544" s="100"/>
      <c r="C544" s="81" t="str">
        <f>IFERROR(IF(B544="No CAS","",INDEX('DEQ Pollutant List'!$C$7:$C$611,MATCH('3. Pollutant Emissions - EF'!B544,'DEQ Pollutant List'!$B$7:$B$611,0))),"")</f>
        <v/>
      </c>
      <c r="D544" s="115" t="str">
        <f>IFERROR(IF(OR($B544="",$B544="No CAS"),INDEX('DEQ Pollutant List'!$A$7:$A$611,MATCH($C544,'DEQ Pollutant List'!$C$7:$C$611,0)),INDEX('DEQ Pollutant List'!$A$7:$A$611,MATCH($B544,'DEQ Pollutant List'!$B$7:$B$611,0))),"")</f>
        <v/>
      </c>
      <c r="E544" s="101"/>
      <c r="F544" s="102"/>
      <c r="G544" s="103"/>
      <c r="H544" s="83"/>
      <c r="I544" s="104"/>
      <c r="J544" s="102"/>
      <c r="K544" s="105"/>
      <c r="L544" s="83"/>
      <c r="M544" s="102"/>
      <c r="N544" s="105"/>
      <c r="O544" s="83"/>
    </row>
    <row r="545" spans="1:15" x14ac:dyDescent="0.35">
      <c r="A545" s="79"/>
      <c r="B545" s="100"/>
      <c r="C545" s="81" t="str">
        <f>IFERROR(IF(B545="No CAS","",INDEX('DEQ Pollutant List'!$C$7:$C$611,MATCH('3. Pollutant Emissions - EF'!B545,'DEQ Pollutant List'!$B$7:$B$611,0))),"")</f>
        <v/>
      </c>
      <c r="D545" s="115" t="str">
        <f>IFERROR(IF(OR($B545="",$B545="No CAS"),INDEX('DEQ Pollutant List'!$A$7:$A$611,MATCH($C545,'DEQ Pollutant List'!$C$7:$C$611,0)),INDEX('DEQ Pollutant List'!$A$7:$A$611,MATCH($B545,'DEQ Pollutant List'!$B$7:$B$611,0))),"")</f>
        <v/>
      </c>
      <c r="E545" s="101"/>
      <c r="F545" s="102"/>
      <c r="G545" s="103"/>
      <c r="H545" s="83"/>
      <c r="I545" s="104"/>
      <c r="J545" s="102"/>
      <c r="K545" s="105"/>
      <c r="L545" s="83"/>
      <c r="M545" s="102"/>
      <c r="N545" s="105"/>
      <c r="O545" s="83"/>
    </row>
    <row r="546" spans="1:15" x14ac:dyDescent="0.35">
      <c r="A546" s="79"/>
      <c r="B546" s="100"/>
      <c r="C546" s="81" t="str">
        <f>IFERROR(IF(B546="No CAS","",INDEX('DEQ Pollutant List'!$C$7:$C$611,MATCH('3. Pollutant Emissions - EF'!B546,'DEQ Pollutant List'!$B$7:$B$611,0))),"")</f>
        <v/>
      </c>
      <c r="D546" s="115" t="str">
        <f>IFERROR(IF(OR($B546="",$B546="No CAS"),INDEX('DEQ Pollutant List'!$A$7:$A$611,MATCH($C546,'DEQ Pollutant List'!$C$7:$C$611,0)),INDEX('DEQ Pollutant List'!$A$7:$A$611,MATCH($B546,'DEQ Pollutant List'!$B$7:$B$611,0))),"")</f>
        <v/>
      </c>
      <c r="E546" s="101"/>
      <c r="F546" s="102"/>
      <c r="G546" s="103"/>
      <c r="H546" s="83"/>
      <c r="I546" s="104"/>
      <c r="J546" s="102"/>
      <c r="K546" s="105"/>
      <c r="L546" s="83"/>
      <c r="M546" s="102"/>
      <c r="N546" s="105"/>
      <c r="O546" s="83"/>
    </row>
    <row r="547" spans="1:15" x14ac:dyDescent="0.35">
      <c r="A547" s="79"/>
      <c r="B547" s="100"/>
      <c r="C547" s="81" t="str">
        <f>IFERROR(IF(B547="No CAS","",INDEX('DEQ Pollutant List'!$C$7:$C$611,MATCH('3. Pollutant Emissions - EF'!B547,'DEQ Pollutant List'!$B$7:$B$611,0))),"")</f>
        <v/>
      </c>
      <c r="D547" s="115" t="str">
        <f>IFERROR(IF(OR($B547="",$B547="No CAS"),INDEX('DEQ Pollutant List'!$A$7:$A$611,MATCH($C547,'DEQ Pollutant List'!$C$7:$C$611,0)),INDEX('DEQ Pollutant List'!$A$7:$A$611,MATCH($B547,'DEQ Pollutant List'!$B$7:$B$611,0))),"")</f>
        <v/>
      </c>
      <c r="E547" s="101"/>
      <c r="F547" s="102"/>
      <c r="G547" s="103"/>
      <c r="H547" s="83"/>
      <c r="I547" s="104"/>
      <c r="J547" s="102"/>
      <c r="K547" s="105"/>
      <c r="L547" s="83"/>
      <c r="M547" s="102"/>
      <c r="N547" s="105"/>
      <c r="O547" s="83"/>
    </row>
    <row r="548" spans="1:15" x14ac:dyDescent="0.35">
      <c r="A548" s="79"/>
      <c r="B548" s="100"/>
      <c r="C548" s="81" t="str">
        <f>IFERROR(IF(B548="No CAS","",INDEX('DEQ Pollutant List'!$C$7:$C$611,MATCH('3. Pollutant Emissions - EF'!B548,'DEQ Pollutant List'!$B$7:$B$611,0))),"")</f>
        <v/>
      </c>
      <c r="D548" s="115" t="str">
        <f>IFERROR(IF(OR($B548="",$B548="No CAS"),INDEX('DEQ Pollutant List'!$A$7:$A$611,MATCH($C548,'DEQ Pollutant List'!$C$7:$C$611,0)),INDEX('DEQ Pollutant List'!$A$7:$A$611,MATCH($B548,'DEQ Pollutant List'!$B$7:$B$611,0))),"")</f>
        <v/>
      </c>
      <c r="E548" s="101"/>
      <c r="F548" s="102"/>
      <c r="G548" s="103"/>
      <c r="H548" s="83"/>
      <c r="I548" s="104"/>
      <c r="J548" s="102"/>
      <c r="K548" s="105"/>
      <c r="L548" s="83"/>
      <c r="M548" s="102"/>
      <c r="N548" s="105"/>
      <c r="O548" s="83"/>
    </row>
    <row r="549" spans="1:15" x14ac:dyDescent="0.35">
      <c r="A549" s="79"/>
      <c r="B549" s="100"/>
      <c r="C549" s="81" t="str">
        <f>IFERROR(IF(B549="No CAS","",INDEX('DEQ Pollutant List'!$C$7:$C$611,MATCH('3. Pollutant Emissions - EF'!B549,'DEQ Pollutant List'!$B$7:$B$611,0))),"")</f>
        <v/>
      </c>
      <c r="D549" s="115" t="str">
        <f>IFERROR(IF(OR($B549="",$B549="No CAS"),INDEX('DEQ Pollutant List'!$A$7:$A$611,MATCH($C549,'DEQ Pollutant List'!$C$7:$C$611,0)),INDEX('DEQ Pollutant List'!$A$7:$A$611,MATCH($B549,'DEQ Pollutant List'!$B$7:$B$611,0))),"")</f>
        <v/>
      </c>
      <c r="E549" s="101"/>
      <c r="F549" s="102"/>
      <c r="G549" s="103"/>
      <c r="H549" s="83"/>
      <c r="I549" s="104"/>
      <c r="J549" s="102"/>
      <c r="K549" s="105"/>
      <c r="L549" s="83"/>
      <c r="M549" s="102"/>
      <c r="N549" s="105"/>
      <c r="O549" s="83"/>
    </row>
    <row r="550" spans="1:15" x14ac:dyDescent="0.35">
      <c r="A550" s="79"/>
      <c r="B550" s="100"/>
      <c r="C550" s="81" t="str">
        <f>IFERROR(IF(B550="No CAS","",INDEX('DEQ Pollutant List'!$C$7:$C$611,MATCH('3. Pollutant Emissions - EF'!B550,'DEQ Pollutant List'!$B$7:$B$611,0))),"")</f>
        <v/>
      </c>
      <c r="D550" s="115" t="str">
        <f>IFERROR(IF(OR($B550="",$B550="No CAS"),INDEX('DEQ Pollutant List'!$A$7:$A$611,MATCH($C550,'DEQ Pollutant List'!$C$7:$C$611,0)),INDEX('DEQ Pollutant List'!$A$7:$A$611,MATCH($B550,'DEQ Pollutant List'!$B$7:$B$611,0))),"")</f>
        <v/>
      </c>
      <c r="E550" s="101"/>
      <c r="F550" s="102"/>
      <c r="G550" s="103"/>
      <c r="H550" s="83"/>
      <c r="I550" s="104"/>
      <c r="J550" s="102"/>
      <c r="K550" s="105"/>
      <c r="L550" s="83"/>
      <c r="M550" s="102"/>
      <c r="N550" s="105"/>
      <c r="O550" s="83"/>
    </row>
    <row r="551" spans="1:15" x14ac:dyDescent="0.35">
      <c r="A551" s="79"/>
      <c r="B551" s="100"/>
      <c r="C551" s="81" t="str">
        <f>IFERROR(IF(B551="No CAS","",INDEX('DEQ Pollutant List'!$C$7:$C$611,MATCH('3. Pollutant Emissions - EF'!B551,'DEQ Pollutant List'!$B$7:$B$611,0))),"")</f>
        <v/>
      </c>
      <c r="D551" s="115" t="str">
        <f>IFERROR(IF(OR($B551="",$B551="No CAS"),INDEX('DEQ Pollutant List'!$A$7:$A$611,MATCH($C551,'DEQ Pollutant List'!$C$7:$C$611,0)),INDEX('DEQ Pollutant List'!$A$7:$A$611,MATCH($B551,'DEQ Pollutant List'!$B$7:$B$611,0))),"")</f>
        <v/>
      </c>
      <c r="E551" s="101"/>
      <c r="F551" s="102"/>
      <c r="G551" s="103"/>
      <c r="H551" s="83"/>
      <c r="I551" s="104"/>
      <c r="J551" s="102"/>
      <c r="K551" s="105"/>
      <c r="L551" s="83"/>
      <c r="M551" s="102"/>
      <c r="N551" s="105"/>
      <c r="O551" s="83"/>
    </row>
    <row r="552" spans="1:15" x14ac:dyDescent="0.35">
      <c r="A552" s="79"/>
      <c r="B552" s="100"/>
      <c r="C552" s="81" t="str">
        <f>IFERROR(IF(B552="No CAS","",INDEX('DEQ Pollutant List'!$C$7:$C$611,MATCH('3. Pollutant Emissions - EF'!B552,'DEQ Pollutant List'!$B$7:$B$611,0))),"")</f>
        <v/>
      </c>
      <c r="D552" s="115" t="str">
        <f>IFERROR(IF(OR($B552="",$B552="No CAS"),INDEX('DEQ Pollutant List'!$A$7:$A$611,MATCH($C552,'DEQ Pollutant List'!$C$7:$C$611,0)),INDEX('DEQ Pollutant List'!$A$7:$A$611,MATCH($B552,'DEQ Pollutant List'!$B$7:$B$611,0))),"")</f>
        <v/>
      </c>
      <c r="E552" s="101"/>
      <c r="F552" s="102"/>
      <c r="G552" s="103"/>
      <c r="H552" s="83"/>
      <c r="I552" s="104"/>
      <c r="J552" s="102"/>
      <c r="K552" s="105"/>
      <c r="L552" s="83"/>
      <c r="M552" s="102"/>
      <c r="N552" s="105"/>
      <c r="O552" s="83"/>
    </row>
    <row r="553" spans="1:15" x14ac:dyDescent="0.35">
      <c r="A553" s="79"/>
      <c r="B553" s="100"/>
      <c r="C553" s="81" t="str">
        <f>IFERROR(IF(B553="No CAS","",INDEX('DEQ Pollutant List'!$C$7:$C$611,MATCH('3. Pollutant Emissions - EF'!B553,'DEQ Pollutant List'!$B$7:$B$611,0))),"")</f>
        <v/>
      </c>
      <c r="D553" s="115" t="str">
        <f>IFERROR(IF(OR($B553="",$B553="No CAS"),INDEX('DEQ Pollutant List'!$A$7:$A$611,MATCH($C553,'DEQ Pollutant List'!$C$7:$C$611,0)),INDEX('DEQ Pollutant List'!$A$7:$A$611,MATCH($B553,'DEQ Pollutant List'!$B$7:$B$611,0))),"")</f>
        <v/>
      </c>
      <c r="E553" s="101"/>
      <c r="F553" s="102"/>
      <c r="G553" s="103"/>
      <c r="H553" s="83"/>
      <c r="I553" s="104"/>
      <c r="J553" s="102"/>
      <c r="K553" s="105"/>
      <c r="L553" s="83"/>
      <c r="M553" s="102"/>
      <c r="N553" s="105"/>
      <c r="O553" s="83"/>
    </row>
    <row r="554" spans="1:15" x14ac:dyDescent="0.35">
      <c r="A554" s="79"/>
      <c r="B554" s="100"/>
      <c r="C554" s="81" t="str">
        <f>IFERROR(IF(B554="No CAS","",INDEX('DEQ Pollutant List'!$C$7:$C$611,MATCH('3. Pollutant Emissions - EF'!B554,'DEQ Pollutant List'!$B$7:$B$611,0))),"")</f>
        <v/>
      </c>
      <c r="D554" s="115" t="str">
        <f>IFERROR(IF(OR($B554="",$B554="No CAS"),INDEX('DEQ Pollutant List'!$A$7:$A$611,MATCH($C554,'DEQ Pollutant List'!$C$7:$C$611,0)),INDEX('DEQ Pollutant List'!$A$7:$A$611,MATCH($B554,'DEQ Pollutant List'!$B$7:$B$611,0))),"")</f>
        <v/>
      </c>
      <c r="E554" s="101"/>
      <c r="F554" s="102"/>
      <c r="G554" s="103"/>
      <c r="H554" s="83"/>
      <c r="I554" s="104"/>
      <c r="J554" s="102"/>
      <c r="K554" s="105"/>
      <c r="L554" s="83"/>
      <c r="M554" s="102"/>
      <c r="N554" s="105"/>
      <c r="O554" s="83"/>
    </row>
    <row r="555" spans="1:15" x14ac:dyDescent="0.35">
      <c r="A555" s="79"/>
      <c r="B555" s="100"/>
      <c r="C555" s="81" t="str">
        <f>IFERROR(IF(B555="No CAS","",INDEX('DEQ Pollutant List'!$C$7:$C$611,MATCH('3. Pollutant Emissions - EF'!B555,'DEQ Pollutant List'!$B$7:$B$611,0))),"")</f>
        <v/>
      </c>
      <c r="D555" s="115" t="str">
        <f>IFERROR(IF(OR($B555="",$B555="No CAS"),INDEX('DEQ Pollutant List'!$A$7:$A$611,MATCH($C555,'DEQ Pollutant List'!$C$7:$C$611,0)),INDEX('DEQ Pollutant List'!$A$7:$A$611,MATCH($B555,'DEQ Pollutant List'!$B$7:$B$611,0))),"")</f>
        <v/>
      </c>
      <c r="E555" s="101"/>
      <c r="F555" s="102"/>
      <c r="G555" s="103"/>
      <c r="H555" s="83"/>
      <c r="I555" s="104"/>
      <c r="J555" s="102"/>
      <c r="K555" s="105"/>
      <c r="L555" s="83"/>
      <c r="M555" s="102"/>
      <c r="N555" s="105"/>
      <c r="O555" s="83"/>
    </row>
    <row r="556" spans="1:15" x14ac:dyDescent="0.35">
      <c r="A556" s="79"/>
      <c r="B556" s="100"/>
      <c r="C556" s="81" t="str">
        <f>IFERROR(IF(B556="No CAS","",INDEX('DEQ Pollutant List'!$C$7:$C$611,MATCH('3. Pollutant Emissions - EF'!B556,'DEQ Pollutant List'!$B$7:$B$611,0))),"")</f>
        <v/>
      </c>
      <c r="D556" s="115" t="str">
        <f>IFERROR(IF(OR($B556="",$B556="No CAS"),INDEX('DEQ Pollutant List'!$A$7:$A$611,MATCH($C556,'DEQ Pollutant List'!$C$7:$C$611,0)),INDEX('DEQ Pollutant List'!$A$7:$A$611,MATCH($B556,'DEQ Pollutant List'!$B$7:$B$611,0))),"")</f>
        <v/>
      </c>
      <c r="E556" s="101"/>
      <c r="F556" s="102"/>
      <c r="G556" s="103"/>
      <c r="H556" s="83"/>
      <c r="I556" s="104"/>
      <c r="J556" s="102"/>
      <c r="K556" s="105"/>
      <c r="L556" s="83"/>
      <c r="M556" s="102"/>
      <c r="N556" s="105"/>
      <c r="O556" s="83"/>
    </row>
    <row r="557" spans="1:15" x14ac:dyDescent="0.35">
      <c r="A557" s="79"/>
      <c r="B557" s="100"/>
      <c r="C557" s="81" t="str">
        <f>IFERROR(IF(B557="No CAS","",INDEX('DEQ Pollutant List'!$C$7:$C$611,MATCH('3. Pollutant Emissions - EF'!B557,'DEQ Pollutant List'!$B$7:$B$611,0))),"")</f>
        <v/>
      </c>
      <c r="D557" s="115" t="str">
        <f>IFERROR(IF(OR($B557="",$B557="No CAS"),INDEX('DEQ Pollutant List'!$A$7:$A$611,MATCH($C557,'DEQ Pollutant List'!$C$7:$C$611,0)),INDEX('DEQ Pollutant List'!$A$7:$A$611,MATCH($B557,'DEQ Pollutant List'!$B$7:$B$611,0))),"")</f>
        <v/>
      </c>
      <c r="E557" s="101"/>
      <c r="F557" s="102"/>
      <c r="G557" s="103"/>
      <c r="H557" s="83"/>
      <c r="I557" s="104"/>
      <c r="J557" s="102"/>
      <c r="K557" s="105"/>
      <c r="L557" s="83"/>
      <c r="M557" s="102"/>
      <c r="N557" s="105"/>
      <c r="O557" s="83"/>
    </row>
    <row r="558" spans="1:15" x14ac:dyDescent="0.35">
      <c r="A558" s="79"/>
      <c r="B558" s="100"/>
      <c r="C558" s="81" t="str">
        <f>IFERROR(IF(B558="No CAS","",INDEX('DEQ Pollutant List'!$C$7:$C$611,MATCH('3. Pollutant Emissions - EF'!B558,'DEQ Pollutant List'!$B$7:$B$611,0))),"")</f>
        <v/>
      </c>
      <c r="D558" s="115" t="str">
        <f>IFERROR(IF(OR($B558="",$B558="No CAS"),INDEX('DEQ Pollutant List'!$A$7:$A$611,MATCH($C558,'DEQ Pollutant List'!$C$7:$C$611,0)),INDEX('DEQ Pollutant List'!$A$7:$A$611,MATCH($B558,'DEQ Pollutant List'!$B$7:$B$611,0))),"")</f>
        <v/>
      </c>
      <c r="E558" s="101"/>
      <c r="F558" s="102"/>
      <c r="G558" s="103"/>
      <c r="H558" s="83"/>
      <c r="I558" s="104"/>
      <c r="J558" s="102"/>
      <c r="K558" s="105"/>
      <c r="L558" s="83"/>
      <c r="M558" s="102"/>
      <c r="N558" s="105"/>
      <c r="O558" s="83"/>
    </row>
    <row r="559" spans="1:15" x14ac:dyDescent="0.35">
      <c r="A559" s="79"/>
      <c r="B559" s="100"/>
      <c r="C559" s="81" t="str">
        <f>IFERROR(IF(B559="No CAS","",INDEX('DEQ Pollutant List'!$C$7:$C$611,MATCH('3. Pollutant Emissions - EF'!B559,'DEQ Pollutant List'!$B$7:$B$611,0))),"")</f>
        <v/>
      </c>
      <c r="D559" s="115" t="str">
        <f>IFERROR(IF(OR($B559="",$B559="No CAS"),INDEX('DEQ Pollutant List'!$A$7:$A$611,MATCH($C559,'DEQ Pollutant List'!$C$7:$C$611,0)),INDEX('DEQ Pollutant List'!$A$7:$A$611,MATCH($B559,'DEQ Pollutant List'!$B$7:$B$611,0))),"")</f>
        <v/>
      </c>
      <c r="E559" s="101"/>
      <c r="F559" s="102"/>
      <c r="G559" s="103"/>
      <c r="H559" s="83"/>
      <c r="I559" s="104"/>
      <c r="J559" s="102"/>
      <c r="K559" s="105"/>
      <c r="L559" s="83"/>
      <c r="M559" s="102"/>
      <c r="N559" s="105"/>
      <c r="O559" s="83"/>
    </row>
    <row r="560" spans="1:15" x14ac:dyDescent="0.35">
      <c r="A560" s="79"/>
      <c r="B560" s="100"/>
      <c r="C560" s="81" t="str">
        <f>IFERROR(IF(B560="No CAS","",INDEX('DEQ Pollutant List'!$C$7:$C$611,MATCH('3. Pollutant Emissions - EF'!B560,'DEQ Pollutant List'!$B$7:$B$611,0))),"")</f>
        <v/>
      </c>
      <c r="D560" s="115" t="str">
        <f>IFERROR(IF(OR($B560="",$B560="No CAS"),INDEX('DEQ Pollutant List'!$A$7:$A$611,MATCH($C560,'DEQ Pollutant List'!$C$7:$C$611,0)),INDEX('DEQ Pollutant List'!$A$7:$A$611,MATCH($B560,'DEQ Pollutant List'!$B$7:$B$611,0))),"")</f>
        <v/>
      </c>
      <c r="E560" s="101"/>
      <c r="F560" s="102"/>
      <c r="G560" s="103"/>
      <c r="H560" s="83"/>
      <c r="I560" s="104"/>
      <c r="J560" s="102"/>
      <c r="K560" s="105"/>
      <c r="L560" s="83"/>
      <c r="M560" s="102"/>
      <c r="N560" s="105"/>
      <c r="O560" s="83"/>
    </row>
    <row r="561" spans="1:15" x14ac:dyDescent="0.35">
      <c r="A561" s="79"/>
      <c r="B561" s="100"/>
      <c r="C561" s="81" t="str">
        <f>IFERROR(IF(B561="No CAS","",INDEX('DEQ Pollutant List'!$C$7:$C$611,MATCH('3. Pollutant Emissions - EF'!B561,'DEQ Pollutant List'!$B$7:$B$611,0))),"")</f>
        <v/>
      </c>
      <c r="D561" s="115" t="str">
        <f>IFERROR(IF(OR($B561="",$B561="No CAS"),INDEX('DEQ Pollutant List'!$A$7:$A$611,MATCH($C561,'DEQ Pollutant List'!$C$7:$C$611,0)),INDEX('DEQ Pollutant List'!$A$7:$A$611,MATCH($B561,'DEQ Pollutant List'!$B$7:$B$611,0))),"")</f>
        <v/>
      </c>
      <c r="E561" s="101"/>
      <c r="F561" s="102"/>
      <c r="G561" s="103"/>
      <c r="H561" s="83"/>
      <c r="I561" s="104"/>
      <c r="J561" s="102"/>
      <c r="K561" s="105"/>
      <c r="L561" s="83"/>
      <c r="M561" s="102"/>
      <c r="N561" s="105"/>
      <c r="O561" s="83"/>
    </row>
    <row r="562" spans="1:15" x14ac:dyDescent="0.35">
      <c r="A562" s="79"/>
      <c r="B562" s="100"/>
      <c r="C562" s="81" t="str">
        <f>IFERROR(IF(B562="No CAS","",INDEX('DEQ Pollutant List'!$C$7:$C$611,MATCH('3. Pollutant Emissions - EF'!B562,'DEQ Pollutant List'!$B$7:$B$611,0))),"")</f>
        <v/>
      </c>
      <c r="D562" s="115" t="str">
        <f>IFERROR(IF(OR($B562="",$B562="No CAS"),INDEX('DEQ Pollutant List'!$A$7:$A$611,MATCH($C562,'DEQ Pollutant List'!$C$7:$C$611,0)),INDEX('DEQ Pollutant List'!$A$7:$A$611,MATCH($B562,'DEQ Pollutant List'!$B$7:$B$611,0))),"")</f>
        <v/>
      </c>
      <c r="E562" s="101"/>
      <c r="F562" s="102"/>
      <c r="G562" s="103"/>
      <c r="H562" s="83"/>
      <c r="I562" s="104"/>
      <c r="J562" s="102"/>
      <c r="K562" s="105"/>
      <c r="L562" s="83"/>
      <c r="M562" s="102"/>
      <c r="N562" s="105"/>
      <c r="O562" s="83"/>
    </row>
    <row r="563" spans="1:15" x14ac:dyDescent="0.35">
      <c r="A563" s="79"/>
      <c r="B563" s="100"/>
      <c r="C563" s="81" t="str">
        <f>IFERROR(IF(B563="No CAS","",INDEX('DEQ Pollutant List'!$C$7:$C$611,MATCH('3. Pollutant Emissions - EF'!B563,'DEQ Pollutant List'!$B$7:$B$611,0))),"")</f>
        <v/>
      </c>
      <c r="D563" s="115" t="str">
        <f>IFERROR(IF(OR($B563="",$B563="No CAS"),INDEX('DEQ Pollutant List'!$A$7:$A$611,MATCH($C563,'DEQ Pollutant List'!$C$7:$C$611,0)),INDEX('DEQ Pollutant List'!$A$7:$A$611,MATCH($B563,'DEQ Pollutant List'!$B$7:$B$611,0))),"")</f>
        <v/>
      </c>
      <c r="E563" s="101"/>
      <c r="F563" s="102"/>
      <c r="G563" s="103"/>
      <c r="H563" s="83"/>
      <c r="I563" s="104"/>
      <c r="J563" s="102"/>
      <c r="K563" s="105"/>
      <c r="L563" s="83"/>
      <c r="M563" s="102"/>
      <c r="N563" s="105"/>
      <c r="O563" s="83"/>
    </row>
    <row r="564" spans="1:15" x14ac:dyDescent="0.35">
      <c r="A564" s="79"/>
      <c r="B564" s="100"/>
      <c r="C564" s="81" t="str">
        <f>IFERROR(IF(B564="No CAS","",INDEX('DEQ Pollutant List'!$C$7:$C$611,MATCH('3. Pollutant Emissions - EF'!B564,'DEQ Pollutant List'!$B$7:$B$611,0))),"")</f>
        <v/>
      </c>
      <c r="D564" s="115" t="str">
        <f>IFERROR(IF(OR($B564="",$B564="No CAS"),INDEX('DEQ Pollutant List'!$A$7:$A$611,MATCH($C564,'DEQ Pollutant List'!$C$7:$C$611,0)),INDEX('DEQ Pollutant List'!$A$7:$A$611,MATCH($B564,'DEQ Pollutant List'!$B$7:$B$611,0))),"")</f>
        <v/>
      </c>
      <c r="E564" s="101"/>
      <c r="F564" s="102"/>
      <c r="G564" s="103"/>
      <c r="H564" s="83"/>
      <c r="I564" s="104"/>
      <c r="J564" s="102"/>
      <c r="K564" s="105"/>
      <c r="L564" s="83"/>
      <c r="M564" s="102"/>
      <c r="N564" s="105"/>
      <c r="O564" s="83"/>
    </row>
    <row r="565" spans="1:15" x14ac:dyDescent="0.35">
      <c r="A565" s="79"/>
      <c r="B565" s="100"/>
      <c r="C565" s="81" t="str">
        <f>IFERROR(IF(B565="No CAS","",INDEX('DEQ Pollutant List'!$C$7:$C$611,MATCH('3. Pollutant Emissions - EF'!B565,'DEQ Pollutant List'!$B$7:$B$611,0))),"")</f>
        <v/>
      </c>
      <c r="D565" s="115" t="str">
        <f>IFERROR(IF(OR($B565="",$B565="No CAS"),INDEX('DEQ Pollutant List'!$A$7:$A$611,MATCH($C565,'DEQ Pollutant List'!$C$7:$C$611,0)),INDEX('DEQ Pollutant List'!$A$7:$A$611,MATCH($B565,'DEQ Pollutant List'!$B$7:$B$611,0))),"")</f>
        <v/>
      </c>
      <c r="E565" s="101"/>
      <c r="F565" s="102"/>
      <c r="G565" s="103"/>
      <c r="H565" s="83"/>
      <c r="I565" s="104"/>
      <c r="J565" s="102"/>
      <c r="K565" s="105"/>
      <c r="L565" s="83"/>
      <c r="M565" s="102"/>
      <c r="N565" s="105"/>
      <c r="O565" s="83"/>
    </row>
    <row r="566" spans="1:15" x14ac:dyDescent="0.35">
      <c r="A566" s="79"/>
      <c r="B566" s="100"/>
      <c r="C566" s="81" t="str">
        <f>IFERROR(IF(B566="No CAS","",INDEX('DEQ Pollutant List'!$C$7:$C$611,MATCH('3. Pollutant Emissions - EF'!B566,'DEQ Pollutant List'!$B$7:$B$611,0))),"")</f>
        <v/>
      </c>
      <c r="D566" s="115" t="str">
        <f>IFERROR(IF(OR($B566="",$B566="No CAS"),INDEX('DEQ Pollutant List'!$A$7:$A$611,MATCH($C566,'DEQ Pollutant List'!$C$7:$C$611,0)),INDEX('DEQ Pollutant List'!$A$7:$A$611,MATCH($B566,'DEQ Pollutant List'!$B$7:$B$611,0))),"")</f>
        <v/>
      </c>
      <c r="E566" s="101"/>
      <c r="F566" s="102"/>
      <c r="G566" s="103"/>
      <c r="H566" s="83"/>
      <c r="I566" s="104"/>
      <c r="J566" s="102"/>
      <c r="K566" s="105"/>
      <c r="L566" s="83"/>
      <c r="M566" s="102"/>
      <c r="N566" s="105"/>
      <c r="O566" s="83"/>
    </row>
    <row r="567" spans="1:15" x14ac:dyDescent="0.35">
      <c r="A567" s="79"/>
      <c r="B567" s="100"/>
      <c r="C567" s="81" t="str">
        <f>IFERROR(IF(B567="No CAS","",INDEX('DEQ Pollutant List'!$C$7:$C$611,MATCH('3. Pollutant Emissions - EF'!B567,'DEQ Pollutant List'!$B$7:$B$611,0))),"")</f>
        <v/>
      </c>
      <c r="D567" s="115" t="str">
        <f>IFERROR(IF(OR($B567="",$B567="No CAS"),INDEX('DEQ Pollutant List'!$A$7:$A$611,MATCH($C567,'DEQ Pollutant List'!$C$7:$C$611,0)),INDEX('DEQ Pollutant List'!$A$7:$A$611,MATCH($B567,'DEQ Pollutant List'!$B$7:$B$611,0))),"")</f>
        <v/>
      </c>
      <c r="E567" s="101"/>
      <c r="F567" s="102"/>
      <c r="G567" s="103"/>
      <c r="H567" s="83"/>
      <c r="I567" s="104"/>
      <c r="J567" s="102"/>
      <c r="K567" s="105"/>
      <c r="L567" s="83"/>
      <c r="M567" s="102"/>
      <c r="N567" s="105"/>
      <c r="O567" s="83"/>
    </row>
    <row r="568" spans="1:15" x14ac:dyDescent="0.35">
      <c r="A568" s="79"/>
      <c r="B568" s="100"/>
      <c r="C568" s="81" t="str">
        <f>IFERROR(IF(B568="No CAS","",INDEX('DEQ Pollutant List'!$C$7:$C$611,MATCH('3. Pollutant Emissions - EF'!B568,'DEQ Pollutant List'!$B$7:$B$611,0))),"")</f>
        <v/>
      </c>
      <c r="D568" s="115" t="str">
        <f>IFERROR(IF(OR($B568="",$B568="No CAS"),INDEX('DEQ Pollutant List'!$A$7:$A$611,MATCH($C568,'DEQ Pollutant List'!$C$7:$C$611,0)),INDEX('DEQ Pollutant List'!$A$7:$A$611,MATCH($B568,'DEQ Pollutant List'!$B$7:$B$611,0))),"")</f>
        <v/>
      </c>
      <c r="E568" s="101"/>
      <c r="F568" s="102"/>
      <c r="G568" s="103"/>
      <c r="H568" s="83"/>
      <c r="I568" s="104"/>
      <c r="J568" s="102"/>
      <c r="K568" s="105"/>
      <c r="L568" s="83"/>
      <c r="M568" s="102"/>
      <c r="N568" s="105"/>
      <c r="O568" s="83"/>
    </row>
    <row r="569" spans="1:15" x14ac:dyDescent="0.35">
      <c r="A569" s="79"/>
      <c r="B569" s="100"/>
      <c r="C569" s="81" t="str">
        <f>IFERROR(IF(B569="No CAS","",INDEX('DEQ Pollutant List'!$C$7:$C$611,MATCH('3. Pollutant Emissions - EF'!B569,'DEQ Pollutant List'!$B$7:$B$611,0))),"")</f>
        <v/>
      </c>
      <c r="D569" s="115" t="str">
        <f>IFERROR(IF(OR($B569="",$B569="No CAS"),INDEX('DEQ Pollutant List'!$A$7:$A$611,MATCH($C569,'DEQ Pollutant List'!$C$7:$C$611,0)),INDEX('DEQ Pollutant List'!$A$7:$A$611,MATCH($B569,'DEQ Pollutant List'!$B$7:$B$611,0))),"")</f>
        <v/>
      </c>
      <c r="E569" s="101"/>
      <c r="F569" s="102"/>
      <c r="G569" s="103"/>
      <c r="H569" s="83"/>
      <c r="I569" s="104"/>
      <c r="J569" s="102"/>
      <c r="K569" s="105"/>
      <c r="L569" s="83"/>
      <c r="M569" s="102"/>
      <c r="N569" s="105"/>
      <c r="O569" s="83"/>
    </row>
    <row r="570" spans="1:15" x14ac:dyDescent="0.35">
      <c r="A570" s="79"/>
      <c r="B570" s="100"/>
      <c r="C570" s="81" t="str">
        <f>IFERROR(IF(B570="No CAS","",INDEX('DEQ Pollutant List'!$C$7:$C$611,MATCH('3. Pollutant Emissions - EF'!B570,'DEQ Pollutant List'!$B$7:$B$611,0))),"")</f>
        <v/>
      </c>
      <c r="D570" s="115" t="str">
        <f>IFERROR(IF(OR($B570="",$B570="No CAS"),INDEX('DEQ Pollutant List'!$A$7:$A$611,MATCH($C570,'DEQ Pollutant List'!$C$7:$C$611,0)),INDEX('DEQ Pollutant List'!$A$7:$A$611,MATCH($B570,'DEQ Pollutant List'!$B$7:$B$611,0))),"")</f>
        <v/>
      </c>
      <c r="E570" s="101"/>
      <c r="F570" s="102"/>
      <c r="G570" s="103"/>
      <c r="H570" s="83"/>
      <c r="I570" s="104"/>
      <c r="J570" s="102"/>
      <c r="K570" s="105"/>
      <c r="L570" s="83"/>
      <c r="M570" s="102"/>
      <c r="N570" s="105"/>
      <c r="O570" s="83"/>
    </row>
    <row r="571" spans="1:15" x14ac:dyDescent="0.35">
      <c r="A571" s="79"/>
      <c r="B571" s="100"/>
      <c r="C571" s="81" t="str">
        <f>IFERROR(IF(B571="No CAS","",INDEX('DEQ Pollutant List'!$C$7:$C$611,MATCH('3. Pollutant Emissions - EF'!B571,'DEQ Pollutant List'!$B$7:$B$611,0))),"")</f>
        <v/>
      </c>
      <c r="D571" s="115" t="str">
        <f>IFERROR(IF(OR($B571="",$B571="No CAS"),INDEX('DEQ Pollutant List'!$A$7:$A$611,MATCH($C571,'DEQ Pollutant List'!$C$7:$C$611,0)),INDEX('DEQ Pollutant List'!$A$7:$A$611,MATCH($B571,'DEQ Pollutant List'!$B$7:$B$611,0))),"")</f>
        <v/>
      </c>
      <c r="E571" s="101"/>
      <c r="F571" s="102"/>
      <c r="G571" s="103"/>
      <c r="H571" s="83"/>
      <c r="I571" s="104"/>
      <c r="J571" s="102"/>
      <c r="K571" s="105"/>
      <c r="L571" s="83"/>
      <c r="M571" s="102"/>
      <c r="N571" s="105"/>
      <c r="O571" s="83"/>
    </row>
    <row r="572" spans="1:15" x14ac:dyDescent="0.35">
      <c r="A572" s="79"/>
      <c r="B572" s="100"/>
      <c r="C572" s="81" t="str">
        <f>IFERROR(IF(B572="No CAS","",INDEX('DEQ Pollutant List'!$C$7:$C$611,MATCH('3. Pollutant Emissions - EF'!B572,'DEQ Pollutant List'!$B$7:$B$611,0))),"")</f>
        <v/>
      </c>
      <c r="D572" s="115" t="str">
        <f>IFERROR(IF(OR($B572="",$B572="No CAS"),INDEX('DEQ Pollutant List'!$A$7:$A$611,MATCH($C572,'DEQ Pollutant List'!$C$7:$C$611,0)),INDEX('DEQ Pollutant List'!$A$7:$A$611,MATCH($B572,'DEQ Pollutant List'!$B$7:$B$611,0))),"")</f>
        <v/>
      </c>
      <c r="E572" s="101"/>
      <c r="F572" s="102"/>
      <c r="G572" s="103"/>
      <c r="H572" s="83"/>
      <c r="I572" s="104"/>
      <c r="J572" s="102"/>
      <c r="K572" s="105"/>
      <c r="L572" s="83"/>
      <c r="M572" s="102"/>
      <c r="N572" s="105"/>
      <c r="O572" s="83"/>
    </row>
    <row r="573" spans="1:15" x14ac:dyDescent="0.35">
      <c r="A573" s="79"/>
      <c r="B573" s="100"/>
      <c r="C573" s="81" t="str">
        <f>IFERROR(IF(B573="No CAS","",INDEX('DEQ Pollutant List'!$C$7:$C$611,MATCH('3. Pollutant Emissions - EF'!B573,'DEQ Pollutant List'!$B$7:$B$611,0))),"")</f>
        <v/>
      </c>
      <c r="D573" s="115" t="str">
        <f>IFERROR(IF(OR($B573="",$B573="No CAS"),INDEX('DEQ Pollutant List'!$A$7:$A$611,MATCH($C573,'DEQ Pollutant List'!$C$7:$C$611,0)),INDEX('DEQ Pollutant List'!$A$7:$A$611,MATCH($B573,'DEQ Pollutant List'!$B$7:$B$611,0))),"")</f>
        <v/>
      </c>
      <c r="E573" s="101"/>
      <c r="F573" s="102"/>
      <c r="G573" s="103"/>
      <c r="H573" s="83"/>
      <c r="I573" s="104"/>
      <c r="J573" s="102"/>
      <c r="K573" s="105"/>
      <c r="L573" s="83"/>
      <c r="M573" s="102"/>
      <c r="N573" s="105"/>
      <c r="O573" s="83"/>
    </row>
    <row r="574" spans="1:15" x14ac:dyDescent="0.35">
      <c r="A574" s="79"/>
      <c r="B574" s="100"/>
      <c r="C574" s="81" t="str">
        <f>IFERROR(IF(B574="No CAS","",INDEX('DEQ Pollutant List'!$C$7:$C$611,MATCH('3. Pollutant Emissions - EF'!B574,'DEQ Pollutant List'!$B$7:$B$611,0))),"")</f>
        <v/>
      </c>
      <c r="D574" s="115" t="str">
        <f>IFERROR(IF(OR($B574="",$B574="No CAS"),INDEX('DEQ Pollutant List'!$A$7:$A$611,MATCH($C574,'DEQ Pollutant List'!$C$7:$C$611,0)),INDEX('DEQ Pollutant List'!$A$7:$A$611,MATCH($B574,'DEQ Pollutant List'!$B$7:$B$611,0))),"")</f>
        <v/>
      </c>
      <c r="E574" s="101"/>
      <c r="F574" s="102"/>
      <c r="G574" s="103"/>
      <c r="H574" s="83"/>
      <c r="I574" s="104"/>
      <c r="J574" s="102"/>
      <c r="K574" s="105"/>
      <c r="L574" s="83"/>
      <c r="M574" s="102"/>
      <c r="N574" s="105"/>
      <c r="O574" s="83"/>
    </row>
    <row r="575" spans="1:15" x14ac:dyDescent="0.35">
      <c r="A575" s="79"/>
      <c r="B575" s="100"/>
      <c r="C575" s="81" t="str">
        <f>IFERROR(IF(B575="No CAS","",INDEX('DEQ Pollutant List'!$C$7:$C$611,MATCH('3. Pollutant Emissions - EF'!B575,'DEQ Pollutant List'!$B$7:$B$611,0))),"")</f>
        <v/>
      </c>
      <c r="D575" s="115" t="str">
        <f>IFERROR(IF(OR($B575="",$B575="No CAS"),INDEX('DEQ Pollutant List'!$A$7:$A$611,MATCH($C575,'DEQ Pollutant List'!$C$7:$C$611,0)),INDEX('DEQ Pollutant List'!$A$7:$A$611,MATCH($B575,'DEQ Pollutant List'!$B$7:$B$611,0))),"")</f>
        <v/>
      </c>
      <c r="E575" s="101"/>
      <c r="F575" s="102"/>
      <c r="G575" s="103"/>
      <c r="H575" s="83"/>
      <c r="I575" s="104"/>
      <c r="J575" s="102"/>
      <c r="K575" s="105"/>
      <c r="L575" s="83"/>
      <c r="M575" s="102"/>
      <c r="N575" s="105"/>
      <c r="O575" s="83"/>
    </row>
    <row r="576" spans="1:15" x14ac:dyDescent="0.35">
      <c r="A576" s="79"/>
      <c r="B576" s="100"/>
      <c r="C576" s="81" t="str">
        <f>IFERROR(IF(B576="No CAS","",INDEX('DEQ Pollutant List'!$C$7:$C$611,MATCH('3. Pollutant Emissions - EF'!B576,'DEQ Pollutant List'!$B$7:$B$611,0))),"")</f>
        <v/>
      </c>
      <c r="D576" s="115" t="str">
        <f>IFERROR(IF(OR($B576="",$B576="No CAS"),INDEX('DEQ Pollutant List'!$A$7:$A$611,MATCH($C576,'DEQ Pollutant List'!$C$7:$C$611,0)),INDEX('DEQ Pollutant List'!$A$7:$A$611,MATCH($B576,'DEQ Pollutant List'!$B$7:$B$611,0))),"")</f>
        <v/>
      </c>
      <c r="E576" s="101"/>
      <c r="F576" s="102"/>
      <c r="G576" s="103"/>
      <c r="H576" s="83"/>
      <c r="I576" s="104"/>
      <c r="J576" s="102"/>
      <c r="K576" s="105"/>
      <c r="L576" s="83"/>
      <c r="M576" s="102"/>
      <c r="N576" s="105"/>
      <c r="O576" s="83"/>
    </row>
    <row r="577" spans="1:15" x14ac:dyDescent="0.35">
      <c r="A577" s="79"/>
      <c r="B577" s="100"/>
      <c r="C577" s="81" t="str">
        <f>IFERROR(IF(B577="No CAS","",INDEX('DEQ Pollutant List'!$C$7:$C$611,MATCH('3. Pollutant Emissions - EF'!B577,'DEQ Pollutant List'!$B$7:$B$611,0))),"")</f>
        <v/>
      </c>
      <c r="D577" s="115" t="str">
        <f>IFERROR(IF(OR($B577="",$B577="No CAS"),INDEX('DEQ Pollutant List'!$A$7:$A$611,MATCH($C577,'DEQ Pollutant List'!$C$7:$C$611,0)),INDEX('DEQ Pollutant List'!$A$7:$A$611,MATCH($B577,'DEQ Pollutant List'!$B$7:$B$611,0))),"")</f>
        <v/>
      </c>
      <c r="E577" s="101"/>
      <c r="F577" s="102"/>
      <c r="G577" s="103"/>
      <c r="H577" s="83"/>
      <c r="I577" s="104"/>
      <c r="J577" s="102"/>
      <c r="K577" s="105"/>
      <c r="L577" s="83"/>
      <c r="M577" s="102"/>
      <c r="N577" s="105"/>
      <c r="O577" s="83"/>
    </row>
    <row r="578" spans="1:15" x14ac:dyDescent="0.35">
      <c r="A578" s="79"/>
      <c r="B578" s="100"/>
      <c r="C578" s="81" t="str">
        <f>IFERROR(IF(B578="No CAS","",INDEX('DEQ Pollutant List'!$C$7:$C$611,MATCH('3. Pollutant Emissions - EF'!B578,'DEQ Pollutant List'!$B$7:$B$611,0))),"")</f>
        <v/>
      </c>
      <c r="D578" s="115" t="str">
        <f>IFERROR(IF(OR($B578="",$B578="No CAS"),INDEX('DEQ Pollutant List'!$A$7:$A$611,MATCH($C578,'DEQ Pollutant List'!$C$7:$C$611,0)),INDEX('DEQ Pollutant List'!$A$7:$A$611,MATCH($B578,'DEQ Pollutant List'!$B$7:$B$611,0))),"")</f>
        <v/>
      </c>
      <c r="E578" s="101"/>
      <c r="F578" s="102"/>
      <c r="G578" s="103"/>
      <c r="H578" s="83"/>
      <c r="I578" s="104"/>
      <c r="J578" s="102"/>
      <c r="K578" s="105"/>
      <c r="L578" s="83"/>
      <c r="M578" s="102"/>
      <c r="N578" s="105"/>
      <c r="O578" s="83"/>
    </row>
    <row r="579" spans="1:15" x14ac:dyDescent="0.35">
      <c r="A579" s="79"/>
      <c r="B579" s="100"/>
      <c r="C579" s="81" t="str">
        <f>IFERROR(IF(B579="No CAS","",INDEX('DEQ Pollutant List'!$C$7:$C$611,MATCH('3. Pollutant Emissions - EF'!B579,'DEQ Pollutant List'!$B$7:$B$611,0))),"")</f>
        <v/>
      </c>
      <c r="D579" s="115" t="str">
        <f>IFERROR(IF(OR($B579="",$B579="No CAS"),INDEX('DEQ Pollutant List'!$A$7:$A$611,MATCH($C579,'DEQ Pollutant List'!$C$7:$C$611,0)),INDEX('DEQ Pollutant List'!$A$7:$A$611,MATCH($B579,'DEQ Pollutant List'!$B$7:$B$611,0))),"")</f>
        <v/>
      </c>
      <c r="E579" s="101"/>
      <c r="F579" s="102"/>
      <c r="G579" s="103"/>
      <c r="H579" s="83"/>
      <c r="I579" s="104"/>
      <c r="J579" s="102"/>
      <c r="K579" s="105"/>
      <c r="L579" s="83"/>
      <c r="M579" s="102"/>
      <c r="N579" s="105"/>
      <c r="O579" s="83"/>
    </row>
    <row r="580" spans="1:15" x14ac:dyDescent="0.35">
      <c r="A580" s="79"/>
      <c r="B580" s="100"/>
      <c r="C580" s="81" t="str">
        <f>IFERROR(IF(B580="No CAS","",INDEX('DEQ Pollutant List'!$C$7:$C$611,MATCH('3. Pollutant Emissions - EF'!B580,'DEQ Pollutant List'!$B$7:$B$611,0))),"")</f>
        <v/>
      </c>
      <c r="D580" s="115" t="str">
        <f>IFERROR(IF(OR($B580="",$B580="No CAS"),INDEX('DEQ Pollutant List'!$A$7:$A$611,MATCH($C580,'DEQ Pollutant List'!$C$7:$C$611,0)),INDEX('DEQ Pollutant List'!$A$7:$A$611,MATCH($B580,'DEQ Pollutant List'!$B$7:$B$611,0))),"")</f>
        <v/>
      </c>
      <c r="E580" s="101"/>
      <c r="F580" s="102"/>
      <c r="G580" s="103"/>
      <c r="H580" s="83"/>
      <c r="I580" s="104"/>
      <c r="J580" s="102"/>
      <c r="K580" s="105"/>
      <c r="L580" s="83"/>
      <c r="M580" s="102"/>
      <c r="N580" s="105"/>
      <c r="O580" s="83"/>
    </row>
    <row r="581" spans="1:15" x14ac:dyDescent="0.35">
      <c r="A581" s="79"/>
      <c r="B581" s="100"/>
      <c r="C581" s="81" t="str">
        <f>IFERROR(IF(B581="No CAS","",INDEX('DEQ Pollutant List'!$C$7:$C$611,MATCH('3. Pollutant Emissions - EF'!B581,'DEQ Pollutant List'!$B$7:$B$611,0))),"")</f>
        <v/>
      </c>
      <c r="D581" s="115" t="str">
        <f>IFERROR(IF(OR($B581="",$B581="No CAS"),INDEX('DEQ Pollutant List'!$A$7:$A$611,MATCH($C581,'DEQ Pollutant List'!$C$7:$C$611,0)),INDEX('DEQ Pollutant List'!$A$7:$A$611,MATCH($B581,'DEQ Pollutant List'!$B$7:$B$611,0))),"")</f>
        <v/>
      </c>
      <c r="E581" s="101"/>
      <c r="F581" s="102"/>
      <c r="G581" s="103"/>
      <c r="H581" s="83"/>
      <c r="I581" s="104"/>
      <c r="J581" s="102"/>
      <c r="K581" s="105"/>
      <c r="L581" s="83"/>
      <c r="M581" s="102"/>
      <c r="N581" s="105"/>
      <c r="O581" s="83"/>
    </row>
    <row r="582" spans="1:15" x14ac:dyDescent="0.35">
      <c r="A582" s="79"/>
      <c r="B582" s="100"/>
      <c r="C582" s="81" t="str">
        <f>IFERROR(IF(B582="No CAS","",INDEX('DEQ Pollutant List'!$C$7:$C$611,MATCH('3. Pollutant Emissions - EF'!B582,'DEQ Pollutant List'!$B$7:$B$611,0))),"")</f>
        <v/>
      </c>
      <c r="D582" s="115" t="str">
        <f>IFERROR(IF(OR($B582="",$B582="No CAS"),INDEX('DEQ Pollutant List'!$A$7:$A$611,MATCH($C582,'DEQ Pollutant List'!$C$7:$C$611,0)),INDEX('DEQ Pollutant List'!$A$7:$A$611,MATCH($B582,'DEQ Pollutant List'!$B$7:$B$611,0))),"")</f>
        <v/>
      </c>
      <c r="E582" s="101"/>
      <c r="F582" s="102"/>
      <c r="G582" s="103"/>
      <c r="H582" s="83"/>
      <c r="I582" s="104"/>
      <c r="J582" s="102"/>
      <c r="K582" s="105"/>
      <c r="L582" s="83"/>
      <c r="M582" s="102"/>
      <c r="N582" s="105"/>
      <c r="O582" s="83"/>
    </row>
    <row r="583" spans="1:15" x14ac:dyDescent="0.35">
      <c r="A583" s="79"/>
      <c r="B583" s="100"/>
      <c r="C583" s="81" t="str">
        <f>IFERROR(IF(B583="No CAS","",INDEX('DEQ Pollutant List'!$C$7:$C$611,MATCH('3. Pollutant Emissions - EF'!B583,'DEQ Pollutant List'!$B$7:$B$611,0))),"")</f>
        <v/>
      </c>
      <c r="D583" s="115" t="str">
        <f>IFERROR(IF(OR($B583="",$B583="No CAS"),INDEX('DEQ Pollutant List'!$A$7:$A$611,MATCH($C583,'DEQ Pollutant List'!$C$7:$C$611,0)),INDEX('DEQ Pollutant List'!$A$7:$A$611,MATCH($B583,'DEQ Pollutant List'!$B$7:$B$611,0))),"")</f>
        <v/>
      </c>
      <c r="E583" s="101"/>
      <c r="F583" s="102"/>
      <c r="G583" s="103"/>
      <c r="H583" s="83"/>
      <c r="I583" s="104"/>
      <c r="J583" s="102"/>
      <c r="K583" s="105"/>
      <c r="L583" s="83"/>
      <c r="M583" s="102"/>
      <c r="N583" s="105"/>
      <c r="O583" s="83"/>
    </row>
    <row r="584" spans="1:15" x14ac:dyDescent="0.35">
      <c r="A584" s="79"/>
      <c r="B584" s="100"/>
      <c r="C584" s="81" t="str">
        <f>IFERROR(IF(B584="No CAS","",INDEX('DEQ Pollutant List'!$C$7:$C$611,MATCH('3. Pollutant Emissions - EF'!B584,'DEQ Pollutant List'!$B$7:$B$611,0))),"")</f>
        <v/>
      </c>
      <c r="D584" s="115" t="str">
        <f>IFERROR(IF(OR($B584="",$B584="No CAS"),INDEX('DEQ Pollutant List'!$A$7:$A$611,MATCH($C584,'DEQ Pollutant List'!$C$7:$C$611,0)),INDEX('DEQ Pollutant List'!$A$7:$A$611,MATCH($B584,'DEQ Pollutant List'!$B$7:$B$611,0))),"")</f>
        <v/>
      </c>
      <c r="E584" s="101"/>
      <c r="F584" s="102"/>
      <c r="G584" s="103"/>
      <c r="H584" s="83"/>
      <c r="I584" s="104"/>
      <c r="J584" s="102"/>
      <c r="K584" s="105"/>
      <c r="L584" s="83"/>
      <c r="M584" s="102"/>
      <c r="N584" s="105"/>
      <c r="O584" s="83"/>
    </row>
    <row r="585" spans="1:15" x14ac:dyDescent="0.35">
      <c r="A585" s="79"/>
      <c r="B585" s="100"/>
      <c r="C585" s="81" t="str">
        <f>IFERROR(IF(B585="No CAS","",INDEX('DEQ Pollutant List'!$C$7:$C$611,MATCH('3. Pollutant Emissions - EF'!B585,'DEQ Pollutant List'!$B$7:$B$611,0))),"")</f>
        <v/>
      </c>
      <c r="D585" s="115" t="str">
        <f>IFERROR(IF(OR($B585="",$B585="No CAS"),INDEX('DEQ Pollutant List'!$A$7:$A$611,MATCH($C585,'DEQ Pollutant List'!$C$7:$C$611,0)),INDEX('DEQ Pollutant List'!$A$7:$A$611,MATCH($B585,'DEQ Pollutant List'!$B$7:$B$611,0))),"")</f>
        <v/>
      </c>
      <c r="E585" s="101"/>
      <c r="F585" s="102"/>
      <c r="G585" s="103"/>
      <c r="H585" s="83"/>
      <c r="I585" s="104"/>
      <c r="J585" s="102"/>
      <c r="K585" s="105"/>
      <c r="L585" s="83"/>
      <c r="M585" s="102"/>
      <c r="N585" s="105"/>
      <c r="O585" s="83"/>
    </row>
    <row r="586" spans="1:15" x14ac:dyDescent="0.35">
      <c r="A586" s="79"/>
      <c r="B586" s="100"/>
      <c r="C586" s="81" t="str">
        <f>IFERROR(IF(B586="No CAS","",INDEX('DEQ Pollutant List'!$C$7:$C$611,MATCH('3. Pollutant Emissions - EF'!B586,'DEQ Pollutant List'!$B$7:$B$611,0))),"")</f>
        <v/>
      </c>
      <c r="D586" s="115" t="str">
        <f>IFERROR(IF(OR($B586="",$B586="No CAS"),INDEX('DEQ Pollutant List'!$A$7:$A$611,MATCH($C586,'DEQ Pollutant List'!$C$7:$C$611,0)),INDEX('DEQ Pollutant List'!$A$7:$A$611,MATCH($B586,'DEQ Pollutant List'!$B$7:$B$611,0))),"")</f>
        <v/>
      </c>
      <c r="E586" s="101"/>
      <c r="F586" s="102"/>
      <c r="G586" s="103"/>
      <c r="H586" s="83"/>
      <c r="I586" s="104"/>
      <c r="J586" s="102"/>
      <c r="K586" s="105"/>
      <c r="L586" s="83"/>
      <c r="M586" s="102"/>
      <c r="N586" s="105"/>
      <c r="O586" s="83"/>
    </row>
    <row r="587" spans="1:15" x14ac:dyDescent="0.35">
      <c r="A587" s="79"/>
      <c r="B587" s="100"/>
      <c r="C587" s="81" t="str">
        <f>IFERROR(IF(B587="No CAS","",INDEX('DEQ Pollutant List'!$C$7:$C$611,MATCH('3. Pollutant Emissions - EF'!B587,'DEQ Pollutant List'!$B$7:$B$611,0))),"")</f>
        <v/>
      </c>
      <c r="D587" s="115" t="str">
        <f>IFERROR(IF(OR($B587="",$B587="No CAS"),INDEX('DEQ Pollutant List'!$A$7:$A$611,MATCH($C587,'DEQ Pollutant List'!$C$7:$C$611,0)),INDEX('DEQ Pollutant List'!$A$7:$A$611,MATCH($B587,'DEQ Pollutant List'!$B$7:$B$611,0))),"")</f>
        <v/>
      </c>
      <c r="E587" s="101"/>
      <c r="F587" s="102"/>
      <c r="G587" s="103"/>
      <c r="H587" s="83"/>
      <c r="I587" s="104"/>
      <c r="J587" s="102"/>
      <c r="K587" s="105"/>
      <c r="L587" s="83"/>
      <c r="M587" s="102"/>
      <c r="N587" s="105"/>
      <c r="O587" s="83"/>
    </row>
    <row r="588" spans="1:15" x14ac:dyDescent="0.35">
      <c r="A588" s="79"/>
      <c r="B588" s="100"/>
      <c r="C588" s="81" t="str">
        <f>IFERROR(IF(B588="No CAS","",INDEX('DEQ Pollutant List'!$C$7:$C$611,MATCH('3. Pollutant Emissions - EF'!B588,'DEQ Pollutant List'!$B$7:$B$611,0))),"")</f>
        <v/>
      </c>
      <c r="D588" s="115" t="str">
        <f>IFERROR(IF(OR($B588="",$B588="No CAS"),INDEX('DEQ Pollutant List'!$A$7:$A$611,MATCH($C588,'DEQ Pollutant List'!$C$7:$C$611,0)),INDEX('DEQ Pollutant List'!$A$7:$A$611,MATCH($B588,'DEQ Pollutant List'!$B$7:$B$611,0))),"")</f>
        <v/>
      </c>
      <c r="E588" s="101"/>
      <c r="F588" s="102"/>
      <c r="G588" s="103"/>
      <c r="H588" s="83"/>
      <c r="I588" s="104"/>
      <c r="J588" s="102"/>
      <c r="K588" s="105"/>
      <c r="L588" s="83"/>
      <c r="M588" s="102"/>
      <c r="N588" s="105"/>
      <c r="O588" s="83"/>
    </row>
    <row r="589" spans="1:15" x14ac:dyDescent="0.35">
      <c r="A589" s="79"/>
      <c r="B589" s="100"/>
      <c r="C589" s="81" t="str">
        <f>IFERROR(IF(B589="No CAS","",INDEX('DEQ Pollutant List'!$C$7:$C$611,MATCH('3. Pollutant Emissions - EF'!B589,'DEQ Pollutant List'!$B$7:$B$611,0))),"")</f>
        <v/>
      </c>
      <c r="D589" s="115" t="str">
        <f>IFERROR(IF(OR($B589="",$B589="No CAS"),INDEX('DEQ Pollutant List'!$A$7:$A$611,MATCH($C589,'DEQ Pollutant List'!$C$7:$C$611,0)),INDEX('DEQ Pollutant List'!$A$7:$A$611,MATCH($B589,'DEQ Pollutant List'!$B$7:$B$611,0))),"")</f>
        <v/>
      </c>
      <c r="E589" s="101"/>
      <c r="F589" s="102"/>
      <c r="G589" s="103"/>
      <c r="H589" s="83"/>
      <c r="I589" s="104"/>
      <c r="J589" s="102"/>
      <c r="K589" s="105"/>
      <c r="L589" s="83"/>
      <c r="M589" s="102"/>
      <c r="N589" s="105"/>
      <c r="O589" s="83"/>
    </row>
    <row r="590" spans="1:15" x14ac:dyDescent="0.35">
      <c r="A590" s="79"/>
      <c r="B590" s="100"/>
      <c r="C590" s="81" t="str">
        <f>IFERROR(IF(B590="No CAS","",INDEX('DEQ Pollutant List'!$C$7:$C$611,MATCH('3. Pollutant Emissions - EF'!B590,'DEQ Pollutant List'!$B$7:$B$611,0))),"")</f>
        <v/>
      </c>
      <c r="D590" s="115" t="str">
        <f>IFERROR(IF(OR($B590="",$B590="No CAS"),INDEX('DEQ Pollutant List'!$A$7:$A$611,MATCH($C590,'DEQ Pollutant List'!$C$7:$C$611,0)),INDEX('DEQ Pollutant List'!$A$7:$A$611,MATCH($B590,'DEQ Pollutant List'!$B$7:$B$611,0))),"")</f>
        <v/>
      </c>
      <c r="E590" s="101"/>
      <c r="F590" s="102"/>
      <c r="G590" s="103"/>
      <c r="H590" s="83"/>
      <c r="I590" s="104"/>
      <c r="J590" s="102"/>
      <c r="K590" s="105"/>
      <c r="L590" s="83"/>
      <c r="M590" s="102"/>
      <c r="N590" s="105"/>
      <c r="O590" s="83"/>
    </row>
    <row r="591" spans="1:15" x14ac:dyDescent="0.35">
      <c r="A591" s="79"/>
      <c r="B591" s="100"/>
      <c r="C591" s="81" t="str">
        <f>IFERROR(IF(B591="No CAS","",INDEX('DEQ Pollutant List'!$C$7:$C$611,MATCH('3. Pollutant Emissions - EF'!B591,'DEQ Pollutant List'!$B$7:$B$611,0))),"")</f>
        <v/>
      </c>
      <c r="D591" s="115" t="str">
        <f>IFERROR(IF(OR($B591="",$B591="No CAS"),INDEX('DEQ Pollutant List'!$A$7:$A$611,MATCH($C591,'DEQ Pollutant List'!$C$7:$C$611,0)),INDEX('DEQ Pollutant List'!$A$7:$A$611,MATCH($B591,'DEQ Pollutant List'!$B$7:$B$611,0))),"")</f>
        <v/>
      </c>
      <c r="E591" s="101"/>
      <c r="F591" s="102"/>
      <c r="G591" s="103"/>
      <c r="H591" s="83"/>
      <c r="I591" s="104"/>
      <c r="J591" s="102"/>
      <c r="K591" s="105"/>
      <c r="L591" s="83"/>
      <c r="M591" s="102"/>
      <c r="N591" s="105"/>
      <c r="O591" s="83"/>
    </row>
    <row r="592" spans="1:15" x14ac:dyDescent="0.35">
      <c r="A592" s="79"/>
      <c r="B592" s="100"/>
      <c r="C592" s="81" t="str">
        <f>IFERROR(IF(B592="No CAS","",INDEX('DEQ Pollutant List'!$C$7:$C$611,MATCH('3. Pollutant Emissions - EF'!B592,'DEQ Pollutant List'!$B$7:$B$611,0))),"")</f>
        <v/>
      </c>
      <c r="D592" s="115" t="str">
        <f>IFERROR(IF(OR($B592="",$B592="No CAS"),INDEX('DEQ Pollutant List'!$A$7:$A$611,MATCH($C592,'DEQ Pollutant List'!$C$7:$C$611,0)),INDEX('DEQ Pollutant List'!$A$7:$A$611,MATCH($B592,'DEQ Pollutant List'!$B$7:$B$611,0))),"")</f>
        <v/>
      </c>
      <c r="E592" s="101"/>
      <c r="F592" s="102"/>
      <c r="G592" s="103"/>
      <c r="H592" s="83"/>
      <c r="I592" s="104"/>
      <c r="J592" s="102"/>
      <c r="K592" s="105"/>
      <c r="L592" s="83"/>
      <c r="M592" s="102"/>
      <c r="N592" s="105"/>
      <c r="O592" s="83"/>
    </row>
    <row r="593" spans="1:15" x14ac:dyDescent="0.35">
      <c r="A593" s="79"/>
      <c r="B593" s="100"/>
      <c r="C593" s="81" t="str">
        <f>IFERROR(IF(B593="No CAS","",INDEX('DEQ Pollutant List'!$C$7:$C$611,MATCH('3. Pollutant Emissions - EF'!B593,'DEQ Pollutant List'!$B$7:$B$611,0))),"")</f>
        <v/>
      </c>
      <c r="D593" s="115" t="str">
        <f>IFERROR(IF(OR($B593="",$B593="No CAS"),INDEX('DEQ Pollutant List'!$A$7:$A$611,MATCH($C593,'DEQ Pollutant List'!$C$7:$C$611,0)),INDEX('DEQ Pollutant List'!$A$7:$A$611,MATCH($B593,'DEQ Pollutant List'!$B$7:$B$611,0))),"")</f>
        <v/>
      </c>
      <c r="E593" s="101"/>
      <c r="F593" s="102"/>
      <c r="G593" s="103"/>
      <c r="H593" s="83"/>
      <c r="I593" s="104"/>
      <c r="J593" s="102"/>
      <c r="K593" s="105"/>
      <c r="L593" s="83"/>
      <c r="M593" s="102"/>
      <c r="N593" s="105"/>
      <c r="O593" s="83"/>
    </row>
    <row r="594" spans="1:15" x14ac:dyDescent="0.35">
      <c r="A594" s="79"/>
      <c r="B594" s="100"/>
      <c r="C594" s="81" t="str">
        <f>IFERROR(IF(B594="No CAS","",INDEX('DEQ Pollutant List'!$C$7:$C$611,MATCH('3. Pollutant Emissions - EF'!B594,'DEQ Pollutant List'!$B$7:$B$611,0))),"")</f>
        <v/>
      </c>
      <c r="D594" s="115" t="str">
        <f>IFERROR(IF(OR($B594="",$B594="No CAS"),INDEX('DEQ Pollutant List'!$A$7:$A$611,MATCH($C594,'DEQ Pollutant List'!$C$7:$C$611,0)),INDEX('DEQ Pollutant List'!$A$7:$A$611,MATCH($B594,'DEQ Pollutant List'!$B$7:$B$611,0))),"")</f>
        <v/>
      </c>
      <c r="E594" s="101"/>
      <c r="F594" s="102"/>
      <c r="G594" s="103"/>
      <c r="H594" s="83"/>
      <c r="I594" s="104"/>
      <c r="J594" s="102"/>
      <c r="K594" s="105"/>
      <c r="L594" s="83"/>
      <c r="M594" s="102"/>
      <c r="N594" s="105"/>
      <c r="O594" s="83"/>
    </row>
    <row r="595" spans="1:15" x14ac:dyDescent="0.35">
      <c r="A595" s="79"/>
      <c r="B595" s="100"/>
      <c r="C595" s="81" t="str">
        <f>IFERROR(IF(B595="No CAS","",INDEX('DEQ Pollutant List'!$C$7:$C$611,MATCH('3. Pollutant Emissions - EF'!B595,'DEQ Pollutant List'!$B$7:$B$611,0))),"")</f>
        <v/>
      </c>
      <c r="D595" s="115" t="str">
        <f>IFERROR(IF(OR($B595="",$B595="No CAS"),INDEX('DEQ Pollutant List'!$A$7:$A$611,MATCH($C595,'DEQ Pollutant List'!$C$7:$C$611,0)),INDEX('DEQ Pollutant List'!$A$7:$A$611,MATCH($B595,'DEQ Pollutant List'!$B$7:$B$611,0))),"")</f>
        <v/>
      </c>
      <c r="E595" s="101"/>
      <c r="F595" s="102"/>
      <c r="G595" s="103"/>
      <c r="H595" s="83"/>
      <c r="I595" s="104"/>
      <c r="J595" s="102"/>
      <c r="K595" s="105"/>
      <c r="L595" s="83"/>
      <c r="M595" s="102"/>
      <c r="N595" s="105"/>
      <c r="O595" s="83"/>
    </row>
    <row r="596" spans="1:15" x14ac:dyDescent="0.35">
      <c r="A596" s="79"/>
      <c r="B596" s="100"/>
      <c r="C596" s="81" t="str">
        <f>IFERROR(IF(B596="No CAS","",INDEX('DEQ Pollutant List'!$C$7:$C$611,MATCH('3. Pollutant Emissions - EF'!B596,'DEQ Pollutant List'!$B$7:$B$611,0))),"")</f>
        <v/>
      </c>
      <c r="D596" s="115" t="str">
        <f>IFERROR(IF(OR($B596="",$B596="No CAS"),INDEX('DEQ Pollutant List'!$A$7:$A$611,MATCH($C596,'DEQ Pollutant List'!$C$7:$C$611,0)),INDEX('DEQ Pollutant List'!$A$7:$A$611,MATCH($B596,'DEQ Pollutant List'!$B$7:$B$611,0))),"")</f>
        <v/>
      </c>
      <c r="E596" s="101"/>
      <c r="F596" s="102"/>
      <c r="G596" s="103"/>
      <c r="H596" s="83"/>
      <c r="I596" s="104"/>
      <c r="J596" s="102"/>
      <c r="K596" s="105"/>
      <c r="L596" s="83"/>
      <c r="M596" s="102"/>
      <c r="N596" s="105"/>
      <c r="O596" s="83"/>
    </row>
    <row r="597" spans="1:15" x14ac:dyDescent="0.35">
      <c r="A597" s="79"/>
      <c r="B597" s="100"/>
      <c r="C597" s="81" t="str">
        <f>IFERROR(IF(B597="No CAS","",INDEX('DEQ Pollutant List'!$C$7:$C$611,MATCH('3. Pollutant Emissions - EF'!B597,'DEQ Pollutant List'!$B$7:$B$611,0))),"")</f>
        <v/>
      </c>
      <c r="D597" s="115" t="str">
        <f>IFERROR(IF(OR($B597="",$B597="No CAS"),INDEX('DEQ Pollutant List'!$A$7:$A$611,MATCH($C597,'DEQ Pollutant List'!$C$7:$C$611,0)),INDEX('DEQ Pollutant List'!$A$7:$A$611,MATCH($B597,'DEQ Pollutant List'!$B$7:$B$611,0))),"")</f>
        <v/>
      </c>
      <c r="E597" s="101"/>
      <c r="F597" s="102"/>
      <c r="G597" s="103"/>
      <c r="H597" s="83"/>
      <c r="I597" s="104"/>
      <c r="J597" s="102"/>
      <c r="K597" s="105"/>
      <c r="L597" s="83"/>
      <c r="M597" s="102"/>
      <c r="N597" s="105"/>
      <c r="O597" s="83"/>
    </row>
    <row r="598" spans="1:15" x14ac:dyDescent="0.35">
      <c r="A598" s="79"/>
      <c r="B598" s="100"/>
      <c r="C598" s="81" t="str">
        <f>IFERROR(IF(B598="No CAS","",INDEX('DEQ Pollutant List'!$C$7:$C$611,MATCH('3. Pollutant Emissions - EF'!B598,'DEQ Pollutant List'!$B$7:$B$611,0))),"")</f>
        <v/>
      </c>
      <c r="D598" s="115" t="str">
        <f>IFERROR(IF(OR($B598="",$B598="No CAS"),INDEX('DEQ Pollutant List'!$A$7:$A$611,MATCH($C598,'DEQ Pollutant List'!$C$7:$C$611,0)),INDEX('DEQ Pollutant List'!$A$7:$A$611,MATCH($B598,'DEQ Pollutant List'!$B$7:$B$611,0))),"")</f>
        <v/>
      </c>
      <c r="E598" s="101"/>
      <c r="F598" s="102"/>
      <c r="G598" s="103"/>
      <c r="H598" s="83"/>
      <c r="I598" s="104"/>
      <c r="J598" s="102"/>
      <c r="K598" s="105"/>
      <c r="L598" s="83"/>
      <c r="M598" s="102"/>
      <c r="N598" s="105"/>
      <c r="O598" s="83"/>
    </row>
    <row r="599" spans="1:15" x14ac:dyDescent="0.35">
      <c r="A599" s="79"/>
      <c r="B599" s="100"/>
      <c r="C599" s="81" t="str">
        <f>IFERROR(IF(B599="No CAS","",INDEX('DEQ Pollutant List'!$C$7:$C$611,MATCH('3. Pollutant Emissions - EF'!B599,'DEQ Pollutant List'!$B$7:$B$611,0))),"")</f>
        <v/>
      </c>
      <c r="D599" s="115" t="str">
        <f>IFERROR(IF(OR($B599="",$B599="No CAS"),INDEX('DEQ Pollutant List'!$A$7:$A$611,MATCH($C599,'DEQ Pollutant List'!$C$7:$C$611,0)),INDEX('DEQ Pollutant List'!$A$7:$A$611,MATCH($B599,'DEQ Pollutant List'!$B$7:$B$611,0))),"")</f>
        <v/>
      </c>
      <c r="E599" s="101"/>
      <c r="F599" s="102"/>
      <c r="G599" s="103"/>
      <c r="H599" s="83"/>
      <c r="I599" s="104"/>
      <c r="J599" s="102"/>
      <c r="K599" s="105"/>
      <c r="L599" s="83"/>
      <c r="M599" s="102"/>
      <c r="N599" s="105"/>
      <c r="O599" s="83"/>
    </row>
    <row r="600" spans="1:15" x14ac:dyDescent="0.35">
      <c r="A600" s="79"/>
      <c r="B600" s="100"/>
      <c r="C600" s="81" t="str">
        <f>IFERROR(IF(B600="No CAS","",INDEX('DEQ Pollutant List'!$C$7:$C$611,MATCH('3. Pollutant Emissions - EF'!B600,'DEQ Pollutant List'!$B$7:$B$611,0))),"")</f>
        <v/>
      </c>
      <c r="D600" s="115" t="str">
        <f>IFERROR(IF(OR($B600="",$B600="No CAS"),INDEX('DEQ Pollutant List'!$A$7:$A$611,MATCH($C600,'DEQ Pollutant List'!$C$7:$C$611,0)),INDEX('DEQ Pollutant List'!$A$7:$A$611,MATCH($B600,'DEQ Pollutant List'!$B$7:$B$611,0))),"")</f>
        <v/>
      </c>
      <c r="E600" s="101"/>
      <c r="F600" s="102"/>
      <c r="G600" s="103"/>
      <c r="H600" s="83"/>
      <c r="I600" s="104"/>
      <c r="J600" s="102"/>
      <c r="K600" s="105"/>
      <c r="L600" s="83"/>
      <c r="M600" s="102"/>
      <c r="N600" s="105"/>
      <c r="O600" s="83"/>
    </row>
    <row r="601" spans="1:15" x14ac:dyDescent="0.35">
      <c r="A601" s="79"/>
      <c r="B601" s="100"/>
      <c r="C601" s="81" t="str">
        <f>IFERROR(IF(B601="No CAS","",INDEX('DEQ Pollutant List'!$C$7:$C$611,MATCH('3. Pollutant Emissions - EF'!B601,'DEQ Pollutant List'!$B$7:$B$611,0))),"")</f>
        <v/>
      </c>
      <c r="D601" s="115" t="str">
        <f>IFERROR(IF(OR($B601="",$B601="No CAS"),INDEX('DEQ Pollutant List'!$A$7:$A$611,MATCH($C601,'DEQ Pollutant List'!$C$7:$C$611,0)),INDEX('DEQ Pollutant List'!$A$7:$A$611,MATCH($B601,'DEQ Pollutant List'!$B$7:$B$611,0))),"")</f>
        <v/>
      </c>
      <c r="E601" s="101"/>
      <c r="F601" s="102"/>
      <c r="G601" s="103"/>
      <c r="H601" s="83"/>
      <c r="I601" s="104"/>
      <c r="J601" s="102"/>
      <c r="K601" s="105"/>
      <c r="L601" s="83"/>
      <c r="M601" s="102"/>
      <c r="N601" s="105"/>
      <c r="O601" s="83"/>
    </row>
    <row r="602" spans="1:15" x14ac:dyDescent="0.35">
      <c r="A602" s="79"/>
      <c r="B602" s="100"/>
      <c r="C602" s="81" t="str">
        <f>IFERROR(IF(B602="No CAS","",INDEX('DEQ Pollutant List'!$C$7:$C$611,MATCH('3. Pollutant Emissions - EF'!B602,'DEQ Pollutant List'!$B$7:$B$611,0))),"")</f>
        <v/>
      </c>
      <c r="D602" s="115" t="str">
        <f>IFERROR(IF(OR($B602="",$B602="No CAS"),INDEX('DEQ Pollutant List'!$A$7:$A$611,MATCH($C602,'DEQ Pollutant List'!$C$7:$C$611,0)),INDEX('DEQ Pollutant List'!$A$7:$A$611,MATCH($B602,'DEQ Pollutant List'!$B$7:$B$611,0))),"")</f>
        <v/>
      </c>
      <c r="E602" s="101"/>
      <c r="F602" s="102"/>
      <c r="G602" s="103"/>
      <c r="H602" s="83"/>
      <c r="I602" s="104"/>
      <c r="J602" s="102"/>
      <c r="K602" s="105"/>
      <c r="L602" s="83"/>
      <c r="M602" s="102"/>
      <c r="N602" s="105"/>
      <c r="O602" s="83"/>
    </row>
    <row r="603" spans="1:15" x14ac:dyDescent="0.35">
      <c r="A603" s="79"/>
      <c r="B603" s="100"/>
      <c r="C603" s="81" t="str">
        <f>IFERROR(IF(B603="No CAS","",INDEX('DEQ Pollutant List'!$C$7:$C$611,MATCH('3. Pollutant Emissions - EF'!B603,'DEQ Pollutant List'!$B$7:$B$611,0))),"")</f>
        <v/>
      </c>
      <c r="D603" s="115" t="str">
        <f>IFERROR(IF(OR($B603="",$B603="No CAS"),INDEX('DEQ Pollutant List'!$A$7:$A$611,MATCH($C603,'DEQ Pollutant List'!$C$7:$C$611,0)),INDEX('DEQ Pollutant List'!$A$7:$A$611,MATCH($B603,'DEQ Pollutant List'!$B$7:$B$611,0))),"")</f>
        <v/>
      </c>
      <c r="E603" s="101"/>
      <c r="F603" s="102"/>
      <c r="G603" s="103"/>
      <c r="H603" s="83"/>
      <c r="I603" s="104"/>
      <c r="J603" s="102"/>
      <c r="K603" s="105"/>
      <c r="L603" s="83"/>
      <c r="M603" s="102"/>
      <c r="N603" s="105"/>
      <c r="O603" s="83"/>
    </row>
    <row r="604" spans="1:15" x14ac:dyDescent="0.35">
      <c r="A604" s="79"/>
      <c r="B604" s="100"/>
      <c r="C604" s="81" t="str">
        <f>IFERROR(IF(B604="No CAS","",INDEX('DEQ Pollutant List'!$C$7:$C$611,MATCH('3. Pollutant Emissions - EF'!B604,'DEQ Pollutant List'!$B$7:$B$611,0))),"")</f>
        <v/>
      </c>
      <c r="D604" s="115" t="str">
        <f>IFERROR(IF(OR($B604="",$B604="No CAS"),INDEX('DEQ Pollutant List'!$A$7:$A$611,MATCH($C604,'DEQ Pollutant List'!$C$7:$C$611,0)),INDEX('DEQ Pollutant List'!$A$7:$A$611,MATCH($B604,'DEQ Pollutant List'!$B$7:$B$611,0))),"")</f>
        <v/>
      </c>
      <c r="E604" s="101"/>
      <c r="F604" s="102"/>
      <c r="G604" s="103"/>
      <c r="H604" s="83"/>
      <c r="I604" s="104"/>
      <c r="J604" s="102"/>
      <c r="K604" s="105"/>
      <c r="L604" s="83"/>
      <c r="M604" s="102"/>
      <c r="N604" s="105"/>
      <c r="O604" s="83"/>
    </row>
    <row r="605" spans="1:15" x14ac:dyDescent="0.35">
      <c r="A605" s="79"/>
      <c r="B605" s="100"/>
      <c r="C605" s="81" t="str">
        <f>IFERROR(IF(B605="No CAS","",INDEX('DEQ Pollutant List'!$C$7:$C$611,MATCH('3. Pollutant Emissions - EF'!B605,'DEQ Pollutant List'!$B$7:$B$611,0))),"")</f>
        <v/>
      </c>
      <c r="D605" s="115" t="str">
        <f>IFERROR(IF(OR($B605="",$B605="No CAS"),INDEX('DEQ Pollutant List'!$A$7:$A$611,MATCH($C605,'DEQ Pollutant List'!$C$7:$C$611,0)),INDEX('DEQ Pollutant List'!$A$7:$A$611,MATCH($B605,'DEQ Pollutant List'!$B$7:$B$611,0))),"")</f>
        <v/>
      </c>
      <c r="E605" s="101"/>
      <c r="F605" s="102"/>
      <c r="G605" s="103"/>
      <c r="H605" s="83"/>
      <c r="I605" s="104"/>
      <c r="J605" s="102"/>
      <c r="K605" s="105"/>
      <c r="L605" s="83"/>
      <c r="M605" s="102"/>
      <c r="N605" s="105"/>
      <c r="O605" s="83"/>
    </row>
    <row r="606" spans="1:15" x14ac:dyDescent="0.35">
      <c r="A606" s="79"/>
      <c r="B606" s="100"/>
      <c r="C606" s="81" t="str">
        <f>IFERROR(IF(B606="No CAS","",INDEX('DEQ Pollutant List'!$C$7:$C$611,MATCH('3. Pollutant Emissions - EF'!B606,'DEQ Pollutant List'!$B$7:$B$611,0))),"")</f>
        <v/>
      </c>
      <c r="D606" s="115" t="str">
        <f>IFERROR(IF(OR($B606="",$B606="No CAS"),INDEX('DEQ Pollutant List'!$A$7:$A$611,MATCH($C606,'DEQ Pollutant List'!$C$7:$C$611,0)),INDEX('DEQ Pollutant List'!$A$7:$A$611,MATCH($B606,'DEQ Pollutant List'!$B$7:$B$611,0))),"")</f>
        <v/>
      </c>
      <c r="E606" s="101"/>
      <c r="F606" s="102"/>
      <c r="G606" s="103"/>
      <c r="H606" s="83"/>
      <c r="I606" s="104"/>
      <c r="J606" s="102"/>
      <c r="K606" s="105"/>
      <c r="L606" s="83"/>
      <c r="M606" s="102"/>
      <c r="N606" s="105"/>
      <c r="O606" s="83"/>
    </row>
    <row r="607" spans="1:15" x14ac:dyDescent="0.35">
      <c r="A607" s="79"/>
      <c r="B607" s="100"/>
      <c r="C607" s="81" t="str">
        <f>IFERROR(IF(B607="No CAS","",INDEX('DEQ Pollutant List'!$C$7:$C$611,MATCH('3. Pollutant Emissions - EF'!B607,'DEQ Pollutant List'!$B$7:$B$611,0))),"")</f>
        <v/>
      </c>
      <c r="D607" s="115" t="str">
        <f>IFERROR(IF(OR($B607="",$B607="No CAS"),INDEX('DEQ Pollutant List'!$A$7:$A$611,MATCH($C607,'DEQ Pollutant List'!$C$7:$C$611,0)),INDEX('DEQ Pollutant List'!$A$7:$A$611,MATCH($B607,'DEQ Pollutant List'!$B$7:$B$611,0))),"")</f>
        <v/>
      </c>
      <c r="E607" s="101"/>
      <c r="F607" s="102"/>
      <c r="G607" s="103"/>
      <c r="H607" s="83"/>
      <c r="I607" s="104"/>
      <c r="J607" s="102"/>
      <c r="K607" s="105"/>
      <c r="L607" s="83"/>
      <c r="M607" s="102"/>
      <c r="N607" s="105"/>
      <c r="O607" s="83"/>
    </row>
    <row r="608" spans="1:15" x14ac:dyDescent="0.35">
      <c r="A608" s="79"/>
      <c r="B608" s="100"/>
      <c r="C608" s="81" t="str">
        <f>IFERROR(IF(B608="No CAS","",INDEX('DEQ Pollutant List'!$C$7:$C$611,MATCH('3. Pollutant Emissions - EF'!B608,'DEQ Pollutant List'!$B$7:$B$611,0))),"")</f>
        <v/>
      </c>
      <c r="D608" s="115" t="str">
        <f>IFERROR(IF(OR($B608="",$B608="No CAS"),INDEX('DEQ Pollutant List'!$A$7:$A$611,MATCH($C608,'DEQ Pollutant List'!$C$7:$C$611,0)),INDEX('DEQ Pollutant List'!$A$7:$A$611,MATCH($B608,'DEQ Pollutant List'!$B$7:$B$611,0))),"")</f>
        <v/>
      </c>
      <c r="E608" s="101"/>
      <c r="F608" s="102"/>
      <c r="G608" s="103"/>
      <c r="H608" s="83"/>
      <c r="I608" s="104"/>
      <c r="J608" s="102"/>
      <c r="K608" s="105"/>
      <c r="L608" s="83"/>
      <c r="M608" s="102"/>
      <c r="N608" s="105"/>
      <c r="O608" s="83"/>
    </row>
    <row r="609" spans="1:15" x14ac:dyDescent="0.35">
      <c r="A609" s="79"/>
      <c r="B609" s="100"/>
      <c r="C609" s="81" t="str">
        <f>IFERROR(IF(B609="No CAS","",INDEX('DEQ Pollutant List'!$C$7:$C$611,MATCH('3. Pollutant Emissions - EF'!B609,'DEQ Pollutant List'!$B$7:$B$611,0))),"")</f>
        <v/>
      </c>
      <c r="D609" s="115" t="str">
        <f>IFERROR(IF(OR($B609="",$B609="No CAS"),INDEX('DEQ Pollutant List'!$A$7:$A$611,MATCH($C609,'DEQ Pollutant List'!$C$7:$C$611,0)),INDEX('DEQ Pollutant List'!$A$7:$A$611,MATCH($B609,'DEQ Pollutant List'!$B$7:$B$611,0))),"")</f>
        <v/>
      </c>
      <c r="E609" s="101"/>
      <c r="F609" s="102"/>
      <c r="G609" s="103"/>
      <c r="H609" s="83"/>
      <c r="I609" s="104"/>
      <c r="J609" s="102"/>
      <c r="K609" s="105"/>
      <c r="L609" s="83"/>
      <c r="M609" s="102"/>
      <c r="N609" s="105"/>
      <c r="O609" s="83"/>
    </row>
    <row r="610" spans="1:15" x14ac:dyDescent="0.35">
      <c r="A610" s="79"/>
      <c r="B610" s="100"/>
      <c r="C610" s="81" t="str">
        <f>IFERROR(IF(B610="No CAS","",INDEX('DEQ Pollutant List'!$C$7:$C$611,MATCH('3. Pollutant Emissions - EF'!B610,'DEQ Pollutant List'!$B$7:$B$611,0))),"")</f>
        <v/>
      </c>
      <c r="D610" s="115" t="str">
        <f>IFERROR(IF(OR($B610="",$B610="No CAS"),INDEX('DEQ Pollutant List'!$A$7:$A$611,MATCH($C610,'DEQ Pollutant List'!$C$7:$C$611,0)),INDEX('DEQ Pollutant List'!$A$7:$A$611,MATCH($B610,'DEQ Pollutant List'!$B$7:$B$611,0))),"")</f>
        <v/>
      </c>
      <c r="E610" s="101"/>
      <c r="F610" s="102"/>
      <c r="G610" s="103"/>
      <c r="H610" s="83"/>
      <c r="I610" s="104"/>
      <c r="J610" s="102"/>
      <c r="K610" s="105"/>
      <c r="L610" s="83"/>
      <c r="M610" s="102"/>
      <c r="N610" s="105"/>
      <c r="O610" s="83"/>
    </row>
    <row r="611" spans="1:15" x14ac:dyDescent="0.35">
      <c r="A611" s="79"/>
      <c r="B611" s="100"/>
      <c r="C611" s="81" t="str">
        <f>IFERROR(IF(B611="No CAS","",INDEX('DEQ Pollutant List'!$C$7:$C$611,MATCH('3. Pollutant Emissions - EF'!B611,'DEQ Pollutant List'!$B$7:$B$611,0))),"")</f>
        <v/>
      </c>
      <c r="D611" s="115" t="str">
        <f>IFERROR(IF(OR($B611="",$B611="No CAS"),INDEX('DEQ Pollutant List'!$A$7:$A$611,MATCH($C611,'DEQ Pollutant List'!$C$7:$C$611,0)),INDEX('DEQ Pollutant List'!$A$7:$A$611,MATCH($B611,'DEQ Pollutant List'!$B$7:$B$611,0))),"")</f>
        <v/>
      </c>
      <c r="E611" s="101"/>
      <c r="F611" s="102"/>
      <c r="G611" s="103"/>
      <c r="H611" s="83"/>
      <c r="I611" s="104"/>
      <c r="J611" s="102"/>
      <c r="K611" s="105"/>
      <c r="L611" s="83"/>
      <c r="M611" s="102"/>
      <c r="N611" s="105"/>
      <c r="O611" s="83"/>
    </row>
    <row r="612" spans="1:15" x14ac:dyDescent="0.35">
      <c r="A612" s="79"/>
      <c r="B612" s="100"/>
      <c r="C612" s="81" t="str">
        <f>IFERROR(IF(B612="No CAS","",INDEX('DEQ Pollutant List'!$C$7:$C$611,MATCH('3. Pollutant Emissions - EF'!B612,'DEQ Pollutant List'!$B$7:$B$611,0))),"")</f>
        <v/>
      </c>
      <c r="D612" s="115" t="str">
        <f>IFERROR(IF(OR($B612="",$B612="No CAS"),INDEX('DEQ Pollutant List'!$A$7:$A$611,MATCH($C612,'DEQ Pollutant List'!$C$7:$C$611,0)),INDEX('DEQ Pollutant List'!$A$7:$A$611,MATCH($B612,'DEQ Pollutant List'!$B$7:$B$611,0))),"")</f>
        <v/>
      </c>
      <c r="E612" s="101"/>
      <c r="F612" s="102"/>
      <c r="G612" s="103"/>
      <c r="H612" s="83"/>
      <c r="I612" s="104"/>
      <c r="J612" s="102"/>
      <c r="K612" s="105"/>
      <c r="L612" s="83"/>
      <c r="M612" s="102"/>
      <c r="N612" s="105"/>
      <c r="O612" s="83"/>
    </row>
    <row r="613" spans="1:15" x14ac:dyDescent="0.35">
      <c r="A613" s="79"/>
      <c r="B613" s="100"/>
      <c r="C613" s="81" t="str">
        <f>IFERROR(IF(B613="No CAS","",INDEX('DEQ Pollutant List'!$C$7:$C$611,MATCH('3. Pollutant Emissions - EF'!B613,'DEQ Pollutant List'!$B$7:$B$611,0))),"")</f>
        <v/>
      </c>
      <c r="D613" s="115" t="str">
        <f>IFERROR(IF(OR($B613="",$B613="No CAS"),INDEX('DEQ Pollutant List'!$A$7:$A$611,MATCH($C613,'DEQ Pollutant List'!$C$7:$C$611,0)),INDEX('DEQ Pollutant List'!$A$7:$A$611,MATCH($B613,'DEQ Pollutant List'!$B$7:$B$611,0))),"")</f>
        <v/>
      </c>
      <c r="E613" s="101"/>
      <c r="F613" s="102"/>
      <c r="G613" s="103"/>
      <c r="H613" s="83"/>
      <c r="I613" s="104"/>
      <c r="J613" s="102"/>
      <c r="K613" s="105"/>
      <c r="L613" s="83"/>
      <c r="M613" s="102"/>
      <c r="N613" s="105"/>
      <c r="O613" s="83"/>
    </row>
    <row r="614" spans="1:15" x14ac:dyDescent="0.35">
      <c r="A614" s="79"/>
      <c r="B614" s="100"/>
      <c r="C614" s="81" t="str">
        <f>IFERROR(IF(B614="No CAS","",INDEX('DEQ Pollutant List'!$C$7:$C$611,MATCH('3. Pollutant Emissions - EF'!B614,'DEQ Pollutant List'!$B$7:$B$611,0))),"")</f>
        <v/>
      </c>
      <c r="D614" s="115" t="str">
        <f>IFERROR(IF(OR($B614="",$B614="No CAS"),INDEX('DEQ Pollutant List'!$A$7:$A$611,MATCH($C614,'DEQ Pollutant List'!$C$7:$C$611,0)),INDEX('DEQ Pollutant List'!$A$7:$A$611,MATCH($B614,'DEQ Pollutant List'!$B$7:$B$611,0))),"")</f>
        <v/>
      </c>
      <c r="E614" s="101"/>
      <c r="F614" s="102"/>
      <c r="G614" s="103"/>
      <c r="H614" s="83"/>
      <c r="I614" s="104"/>
      <c r="J614" s="102"/>
      <c r="K614" s="105"/>
      <c r="L614" s="83"/>
      <c r="M614" s="102"/>
      <c r="N614" s="105"/>
      <c r="O614" s="83"/>
    </row>
    <row r="615" spans="1:15" x14ac:dyDescent="0.35">
      <c r="A615" s="79"/>
      <c r="B615" s="100"/>
      <c r="C615" s="81" t="str">
        <f>IFERROR(IF(B615="No CAS","",INDEX('DEQ Pollutant List'!$C$7:$C$611,MATCH('3. Pollutant Emissions - EF'!B615,'DEQ Pollutant List'!$B$7:$B$611,0))),"")</f>
        <v/>
      </c>
      <c r="D615" s="115" t="str">
        <f>IFERROR(IF(OR($B615="",$B615="No CAS"),INDEX('DEQ Pollutant List'!$A$7:$A$611,MATCH($C615,'DEQ Pollutant List'!$C$7:$C$611,0)),INDEX('DEQ Pollutant List'!$A$7:$A$611,MATCH($B615,'DEQ Pollutant List'!$B$7:$B$611,0))),"")</f>
        <v/>
      </c>
      <c r="E615" s="101"/>
      <c r="F615" s="102"/>
      <c r="G615" s="103"/>
      <c r="H615" s="83"/>
      <c r="I615" s="104"/>
      <c r="J615" s="102"/>
      <c r="K615" s="105"/>
      <c r="L615" s="83"/>
      <c r="M615" s="102"/>
      <c r="N615" s="105"/>
      <c r="O615" s="83"/>
    </row>
    <row r="616" spans="1:15" x14ac:dyDescent="0.35">
      <c r="A616" s="79"/>
      <c r="B616" s="100"/>
      <c r="C616" s="81" t="str">
        <f>IFERROR(IF(B616="No CAS","",INDEX('DEQ Pollutant List'!$C$7:$C$611,MATCH('3. Pollutant Emissions - EF'!B616,'DEQ Pollutant List'!$B$7:$B$611,0))),"")</f>
        <v/>
      </c>
      <c r="D616" s="115" t="str">
        <f>IFERROR(IF(OR($B616="",$B616="No CAS"),INDEX('DEQ Pollutant List'!$A$7:$A$611,MATCH($C616,'DEQ Pollutant List'!$C$7:$C$611,0)),INDEX('DEQ Pollutant List'!$A$7:$A$611,MATCH($B616,'DEQ Pollutant List'!$B$7:$B$611,0))),"")</f>
        <v/>
      </c>
      <c r="E616" s="101"/>
      <c r="F616" s="102"/>
      <c r="G616" s="103"/>
      <c r="H616" s="83"/>
      <c r="I616" s="104"/>
      <c r="J616" s="102"/>
      <c r="K616" s="105"/>
      <c r="L616" s="83"/>
      <c r="M616" s="102"/>
      <c r="N616" s="105"/>
      <c r="O616" s="83"/>
    </row>
    <row r="617" spans="1:15" x14ac:dyDescent="0.35">
      <c r="A617" s="79"/>
      <c r="B617" s="100"/>
      <c r="C617" s="81" t="str">
        <f>IFERROR(IF(B617="No CAS","",INDEX('DEQ Pollutant List'!$C$7:$C$611,MATCH('3. Pollutant Emissions - EF'!B617,'DEQ Pollutant List'!$B$7:$B$611,0))),"")</f>
        <v/>
      </c>
      <c r="D617" s="115" t="str">
        <f>IFERROR(IF(OR($B617="",$B617="No CAS"),INDEX('DEQ Pollutant List'!$A$7:$A$611,MATCH($C617,'DEQ Pollutant List'!$C$7:$C$611,0)),INDEX('DEQ Pollutant List'!$A$7:$A$611,MATCH($B617,'DEQ Pollutant List'!$B$7:$B$611,0))),"")</f>
        <v/>
      </c>
      <c r="E617" s="101"/>
      <c r="F617" s="102"/>
      <c r="G617" s="103"/>
      <c r="H617" s="83"/>
      <c r="I617" s="104"/>
      <c r="J617" s="102"/>
      <c r="K617" s="105"/>
      <c r="L617" s="83"/>
      <c r="M617" s="102"/>
      <c r="N617" s="105"/>
      <c r="O617" s="83"/>
    </row>
    <row r="618" spans="1:15" x14ac:dyDescent="0.35">
      <c r="A618" s="79"/>
      <c r="B618" s="100"/>
      <c r="C618" s="81" t="str">
        <f>IFERROR(IF(B618="No CAS","",INDEX('DEQ Pollutant List'!$C$7:$C$611,MATCH('3. Pollutant Emissions - EF'!B618,'DEQ Pollutant List'!$B$7:$B$611,0))),"")</f>
        <v/>
      </c>
      <c r="D618" s="115" t="str">
        <f>IFERROR(IF(OR($B618="",$B618="No CAS"),INDEX('DEQ Pollutant List'!$A$7:$A$611,MATCH($C618,'DEQ Pollutant List'!$C$7:$C$611,0)),INDEX('DEQ Pollutant List'!$A$7:$A$611,MATCH($B618,'DEQ Pollutant List'!$B$7:$B$611,0))),"")</f>
        <v/>
      </c>
      <c r="E618" s="101"/>
      <c r="F618" s="102"/>
      <c r="G618" s="103"/>
      <c r="H618" s="83"/>
      <c r="I618" s="104"/>
      <c r="J618" s="102"/>
      <c r="K618" s="105"/>
      <c r="L618" s="83"/>
      <c r="M618" s="102"/>
      <c r="N618" s="105"/>
      <c r="O618" s="83"/>
    </row>
    <row r="619" spans="1:15" x14ac:dyDescent="0.35">
      <c r="A619" s="79"/>
      <c r="B619" s="100"/>
      <c r="C619" s="81" t="str">
        <f>IFERROR(IF(B619="No CAS","",INDEX('DEQ Pollutant List'!$C$7:$C$611,MATCH('3. Pollutant Emissions - EF'!B619,'DEQ Pollutant List'!$B$7:$B$611,0))),"")</f>
        <v/>
      </c>
      <c r="D619" s="115" t="str">
        <f>IFERROR(IF(OR($B619="",$B619="No CAS"),INDEX('DEQ Pollutant List'!$A$7:$A$611,MATCH($C619,'DEQ Pollutant List'!$C$7:$C$611,0)),INDEX('DEQ Pollutant List'!$A$7:$A$611,MATCH($B619,'DEQ Pollutant List'!$B$7:$B$611,0))),"")</f>
        <v/>
      </c>
      <c r="E619" s="101"/>
      <c r="F619" s="102"/>
      <c r="G619" s="103"/>
      <c r="H619" s="83"/>
      <c r="I619" s="104"/>
      <c r="J619" s="102"/>
      <c r="K619" s="105"/>
      <c r="L619" s="83"/>
      <c r="M619" s="102"/>
      <c r="N619" s="105"/>
      <c r="O619" s="83"/>
    </row>
    <row r="620" spans="1:15" x14ac:dyDescent="0.35">
      <c r="A620" s="79"/>
      <c r="B620" s="100"/>
      <c r="C620" s="81" t="str">
        <f>IFERROR(IF(B620="No CAS","",INDEX('DEQ Pollutant List'!$C$7:$C$611,MATCH('3. Pollutant Emissions - EF'!B620,'DEQ Pollutant List'!$B$7:$B$611,0))),"")</f>
        <v/>
      </c>
      <c r="D620" s="115" t="str">
        <f>IFERROR(IF(OR($B620="",$B620="No CAS"),INDEX('DEQ Pollutant List'!$A$7:$A$611,MATCH($C620,'DEQ Pollutant List'!$C$7:$C$611,0)),INDEX('DEQ Pollutant List'!$A$7:$A$611,MATCH($B620,'DEQ Pollutant List'!$B$7:$B$611,0))),"")</f>
        <v/>
      </c>
      <c r="E620" s="101"/>
      <c r="F620" s="102"/>
      <c r="G620" s="103"/>
      <c r="H620" s="83"/>
      <c r="I620" s="104"/>
      <c r="J620" s="102"/>
      <c r="K620" s="105"/>
      <c r="L620" s="83"/>
      <c r="M620" s="102"/>
      <c r="N620" s="105"/>
      <c r="O620" s="83"/>
    </row>
    <row r="621" spans="1:15" x14ac:dyDescent="0.35">
      <c r="A621" s="79"/>
      <c r="B621" s="100"/>
      <c r="C621" s="81" t="str">
        <f>IFERROR(IF(B621="No CAS","",INDEX('DEQ Pollutant List'!$C$7:$C$611,MATCH('3. Pollutant Emissions - EF'!B621,'DEQ Pollutant List'!$B$7:$B$611,0))),"")</f>
        <v/>
      </c>
      <c r="D621" s="115" t="str">
        <f>IFERROR(IF(OR($B621="",$B621="No CAS"),INDEX('DEQ Pollutant List'!$A$7:$A$611,MATCH($C621,'DEQ Pollutant List'!$C$7:$C$611,0)),INDEX('DEQ Pollutant List'!$A$7:$A$611,MATCH($B621,'DEQ Pollutant List'!$B$7:$B$611,0))),"")</f>
        <v/>
      </c>
      <c r="E621" s="101"/>
      <c r="F621" s="102"/>
      <c r="G621" s="103"/>
      <c r="H621" s="83"/>
      <c r="I621" s="104"/>
      <c r="J621" s="102"/>
      <c r="K621" s="105"/>
      <c r="L621" s="83"/>
      <c r="M621" s="102"/>
      <c r="N621" s="105"/>
      <c r="O621" s="83"/>
    </row>
    <row r="622" spans="1:15" x14ac:dyDescent="0.35">
      <c r="A622" s="79"/>
      <c r="B622" s="100"/>
      <c r="C622" s="81" t="str">
        <f>IFERROR(IF(B622="No CAS","",INDEX('DEQ Pollutant List'!$C$7:$C$611,MATCH('3. Pollutant Emissions - EF'!B622,'DEQ Pollutant List'!$B$7:$B$611,0))),"")</f>
        <v/>
      </c>
      <c r="D622" s="115" t="str">
        <f>IFERROR(IF(OR($B622="",$B622="No CAS"),INDEX('DEQ Pollutant List'!$A$7:$A$611,MATCH($C622,'DEQ Pollutant List'!$C$7:$C$611,0)),INDEX('DEQ Pollutant List'!$A$7:$A$611,MATCH($B622,'DEQ Pollutant List'!$B$7:$B$611,0))),"")</f>
        <v/>
      </c>
      <c r="E622" s="101"/>
      <c r="F622" s="102"/>
      <c r="G622" s="103"/>
      <c r="H622" s="83"/>
      <c r="I622" s="104"/>
      <c r="J622" s="102"/>
      <c r="K622" s="105"/>
      <c r="L622" s="83"/>
      <c r="M622" s="102"/>
      <c r="N622" s="105"/>
      <c r="O622" s="83"/>
    </row>
    <row r="623" spans="1:15" x14ac:dyDescent="0.35">
      <c r="A623" s="79"/>
      <c r="B623" s="100"/>
      <c r="C623" s="81" t="str">
        <f>IFERROR(IF(B623="No CAS","",INDEX('DEQ Pollutant List'!$C$7:$C$611,MATCH('3. Pollutant Emissions - EF'!B623,'DEQ Pollutant List'!$B$7:$B$611,0))),"")</f>
        <v/>
      </c>
      <c r="D623" s="115" t="str">
        <f>IFERROR(IF(OR($B623="",$B623="No CAS"),INDEX('DEQ Pollutant List'!$A$7:$A$611,MATCH($C623,'DEQ Pollutant List'!$C$7:$C$611,0)),INDEX('DEQ Pollutant List'!$A$7:$A$611,MATCH($B623,'DEQ Pollutant List'!$B$7:$B$611,0))),"")</f>
        <v/>
      </c>
      <c r="E623" s="101"/>
      <c r="F623" s="102"/>
      <c r="G623" s="103"/>
      <c r="H623" s="83"/>
      <c r="I623" s="104"/>
      <c r="J623" s="102"/>
      <c r="K623" s="105"/>
      <c r="L623" s="83"/>
      <c r="M623" s="102"/>
      <c r="N623" s="105"/>
      <c r="O623" s="83"/>
    </row>
    <row r="624" spans="1:15" x14ac:dyDescent="0.35">
      <c r="A624" s="79"/>
      <c r="B624" s="100"/>
      <c r="C624" s="81" t="str">
        <f>IFERROR(IF(B624="No CAS","",INDEX('DEQ Pollutant List'!$C$7:$C$611,MATCH('3. Pollutant Emissions - EF'!B624,'DEQ Pollutant List'!$B$7:$B$611,0))),"")</f>
        <v/>
      </c>
      <c r="D624" s="115" t="str">
        <f>IFERROR(IF(OR($B624="",$B624="No CAS"),INDEX('DEQ Pollutant List'!$A$7:$A$611,MATCH($C624,'DEQ Pollutant List'!$C$7:$C$611,0)),INDEX('DEQ Pollutant List'!$A$7:$A$611,MATCH($B624,'DEQ Pollutant List'!$B$7:$B$611,0))),"")</f>
        <v/>
      </c>
      <c r="E624" s="101"/>
      <c r="F624" s="102"/>
      <c r="G624" s="103"/>
      <c r="H624" s="83"/>
      <c r="I624" s="104"/>
      <c r="J624" s="102"/>
      <c r="K624" s="105"/>
      <c r="L624" s="83"/>
      <c r="M624" s="102"/>
      <c r="N624" s="105"/>
      <c r="O624" s="83"/>
    </row>
    <row r="625" spans="1:15" x14ac:dyDescent="0.35">
      <c r="A625" s="79"/>
      <c r="B625" s="100"/>
      <c r="C625" s="81" t="str">
        <f>IFERROR(IF(B625="No CAS","",INDEX('DEQ Pollutant List'!$C$7:$C$611,MATCH('3. Pollutant Emissions - EF'!B625,'DEQ Pollutant List'!$B$7:$B$611,0))),"")</f>
        <v/>
      </c>
      <c r="D625" s="115" t="str">
        <f>IFERROR(IF(OR($B625="",$B625="No CAS"),INDEX('DEQ Pollutant List'!$A$7:$A$611,MATCH($C625,'DEQ Pollutant List'!$C$7:$C$611,0)),INDEX('DEQ Pollutant List'!$A$7:$A$611,MATCH($B625,'DEQ Pollutant List'!$B$7:$B$611,0))),"")</f>
        <v/>
      </c>
      <c r="E625" s="101"/>
      <c r="F625" s="102"/>
      <c r="G625" s="103"/>
      <c r="H625" s="83"/>
      <c r="I625" s="104"/>
      <c r="J625" s="102"/>
      <c r="K625" s="105"/>
      <c r="L625" s="83"/>
      <c r="M625" s="102"/>
      <c r="N625" s="105"/>
      <c r="O625" s="83"/>
    </row>
    <row r="626" spans="1:15" x14ac:dyDescent="0.35">
      <c r="A626" s="79"/>
      <c r="B626" s="100"/>
      <c r="C626" s="81" t="str">
        <f>IFERROR(IF(B626="No CAS","",INDEX('DEQ Pollutant List'!$C$7:$C$611,MATCH('3. Pollutant Emissions - EF'!B626,'DEQ Pollutant List'!$B$7:$B$611,0))),"")</f>
        <v/>
      </c>
      <c r="D626" s="115" t="str">
        <f>IFERROR(IF(OR($B626="",$B626="No CAS"),INDEX('DEQ Pollutant List'!$A$7:$A$611,MATCH($C626,'DEQ Pollutant List'!$C$7:$C$611,0)),INDEX('DEQ Pollutant List'!$A$7:$A$611,MATCH($B626,'DEQ Pollutant List'!$B$7:$B$611,0))),"")</f>
        <v/>
      </c>
      <c r="E626" s="101"/>
      <c r="F626" s="102"/>
      <c r="G626" s="103"/>
      <c r="H626" s="83"/>
      <c r="I626" s="104"/>
      <c r="J626" s="102"/>
      <c r="K626" s="105"/>
      <c r="L626" s="83"/>
      <c r="M626" s="102"/>
      <c r="N626" s="105"/>
      <c r="O626" s="83"/>
    </row>
    <row r="627" spans="1:15" x14ac:dyDescent="0.35">
      <c r="A627" s="79"/>
      <c r="B627" s="100"/>
      <c r="C627" s="81" t="str">
        <f>IFERROR(IF(B627="No CAS","",INDEX('DEQ Pollutant List'!$C$7:$C$611,MATCH('3. Pollutant Emissions - EF'!B627,'DEQ Pollutant List'!$B$7:$B$611,0))),"")</f>
        <v/>
      </c>
      <c r="D627" s="115" t="str">
        <f>IFERROR(IF(OR($B627="",$B627="No CAS"),INDEX('DEQ Pollutant List'!$A$7:$A$611,MATCH($C627,'DEQ Pollutant List'!$C$7:$C$611,0)),INDEX('DEQ Pollutant List'!$A$7:$A$611,MATCH($B627,'DEQ Pollutant List'!$B$7:$B$611,0))),"")</f>
        <v/>
      </c>
      <c r="E627" s="101"/>
      <c r="F627" s="102"/>
      <c r="G627" s="103"/>
      <c r="H627" s="83"/>
      <c r="I627" s="104"/>
      <c r="J627" s="102"/>
      <c r="K627" s="105"/>
      <c r="L627" s="83"/>
      <c r="M627" s="102"/>
      <c r="N627" s="105"/>
      <c r="O627" s="83"/>
    </row>
    <row r="628" spans="1:15" x14ac:dyDescent="0.35">
      <c r="A628" s="79"/>
      <c r="B628" s="100"/>
      <c r="C628" s="81" t="str">
        <f>IFERROR(IF(B628="No CAS","",INDEX('DEQ Pollutant List'!$C$7:$C$611,MATCH('3. Pollutant Emissions - EF'!B628,'DEQ Pollutant List'!$B$7:$B$611,0))),"")</f>
        <v/>
      </c>
      <c r="D628" s="115" t="str">
        <f>IFERROR(IF(OR($B628="",$B628="No CAS"),INDEX('DEQ Pollutant List'!$A$7:$A$611,MATCH($C628,'DEQ Pollutant List'!$C$7:$C$611,0)),INDEX('DEQ Pollutant List'!$A$7:$A$611,MATCH($B628,'DEQ Pollutant List'!$B$7:$B$611,0))),"")</f>
        <v/>
      </c>
      <c r="E628" s="101"/>
      <c r="F628" s="102"/>
      <c r="G628" s="103"/>
      <c r="H628" s="83"/>
      <c r="I628" s="104"/>
      <c r="J628" s="102"/>
      <c r="K628" s="105"/>
      <c r="L628" s="83"/>
      <c r="M628" s="102"/>
      <c r="N628" s="105"/>
      <c r="O628" s="83"/>
    </row>
    <row r="629" spans="1:15" x14ac:dyDescent="0.35">
      <c r="A629" s="79"/>
      <c r="B629" s="100"/>
      <c r="C629" s="81" t="str">
        <f>IFERROR(IF(B629="No CAS","",INDEX('DEQ Pollutant List'!$C$7:$C$611,MATCH('3. Pollutant Emissions - EF'!B629,'DEQ Pollutant List'!$B$7:$B$611,0))),"")</f>
        <v/>
      </c>
      <c r="D629" s="115" t="str">
        <f>IFERROR(IF(OR($B629="",$B629="No CAS"),INDEX('DEQ Pollutant List'!$A$7:$A$611,MATCH($C629,'DEQ Pollutant List'!$C$7:$C$611,0)),INDEX('DEQ Pollutant List'!$A$7:$A$611,MATCH($B629,'DEQ Pollutant List'!$B$7:$B$611,0))),"")</f>
        <v/>
      </c>
      <c r="E629" s="101"/>
      <c r="F629" s="102"/>
      <c r="G629" s="103"/>
      <c r="H629" s="83"/>
      <c r="I629" s="104"/>
      <c r="J629" s="102"/>
      <c r="K629" s="105"/>
      <c r="L629" s="83"/>
      <c r="M629" s="102"/>
      <c r="N629" s="105"/>
      <c r="O629" s="83"/>
    </row>
    <row r="630" spans="1:15" x14ac:dyDescent="0.35">
      <c r="A630" s="79"/>
      <c r="B630" s="100"/>
      <c r="C630" s="81" t="str">
        <f>IFERROR(IF(B630="No CAS","",INDEX('DEQ Pollutant List'!$C$7:$C$611,MATCH('3. Pollutant Emissions - EF'!B630,'DEQ Pollutant List'!$B$7:$B$611,0))),"")</f>
        <v/>
      </c>
      <c r="D630" s="115" t="str">
        <f>IFERROR(IF(OR($B630="",$B630="No CAS"),INDEX('DEQ Pollutant List'!$A$7:$A$611,MATCH($C630,'DEQ Pollutant List'!$C$7:$C$611,0)),INDEX('DEQ Pollutant List'!$A$7:$A$611,MATCH($B630,'DEQ Pollutant List'!$B$7:$B$611,0))),"")</f>
        <v/>
      </c>
      <c r="E630" s="101"/>
      <c r="F630" s="102"/>
      <c r="G630" s="103"/>
      <c r="H630" s="83"/>
      <c r="I630" s="104"/>
      <c r="J630" s="102"/>
      <c r="K630" s="105"/>
      <c r="L630" s="83"/>
      <c r="M630" s="102"/>
      <c r="N630" s="105"/>
      <c r="O630" s="83"/>
    </row>
    <row r="631" spans="1:15" x14ac:dyDescent="0.35">
      <c r="A631" s="79"/>
      <c r="B631" s="100"/>
      <c r="C631" s="81" t="str">
        <f>IFERROR(IF(B631="No CAS","",INDEX('DEQ Pollutant List'!$C$7:$C$611,MATCH('3. Pollutant Emissions - EF'!B631,'DEQ Pollutant List'!$B$7:$B$611,0))),"")</f>
        <v/>
      </c>
      <c r="D631" s="115" t="str">
        <f>IFERROR(IF(OR($B631="",$B631="No CAS"),INDEX('DEQ Pollutant List'!$A$7:$A$611,MATCH($C631,'DEQ Pollutant List'!$C$7:$C$611,0)),INDEX('DEQ Pollutant List'!$A$7:$A$611,MATCH($B631,'DEQ Pollutant List'!$B$7:$B$611,0))),"")</f>
        <v/>
      </c>
      <c r="E631" s="101"/>
      <c r="F631" s="102"/>
      <c r="G631" s="103"/>
      <c r="H631" s="83"/>
      <c r="I631" s="104"/>
      <c r="J631" s="102"/>
      <c r="K631" s="105"/>
      <c r="L631" s="83"/>
      <c r="M631" s="102"/>
      <c r="N631" s="105"/>
      <c r="O631" s="83"/>
    </row>
    <row r="632" spans="1:15" x14ac:dyDescent="0.35">
      <c r="A632" s="79"/>
      <c r="B632" s="100"/>
      <c r="C632" s="81" t="str">
        <f>IFERROR(IF(B632="No CAS","",INDEX('DEQ Pollutant List'!$C$7:$C$611,MATCH('3. Pollutant Emissions - EF'!B632,'DEQ Pollutant List'!$B$7:$B$611,0))),"")</f>
        <v/>
      </c>
      <c r="D632" s="115" t="str">
        <f>IFERROR(IF(OR($B632="",$B632="No CAS"),INDEX('DEQ Pollutant List'!$A$7:$A$611,MATCH($C632,'DEQ Pollutant List'!$C$7:$C$611,0)),INDEX('DEQ Pollutant List'!$A$7:$A$611,MATCH($B632,'DEQ Pollutant List'!$B$7:$B$611,0))),"")</f>
        <v/>
      </c>
      <c r="E632" s="101"/>
      <c r="F632" s="102"/>
      <c r="G632" s="103"/>
      <c r="H632" s="83"/>
      <c r="I632" s="104"/>
      <c r="J632" s="102"/>
      <c r="K632" s="105"/>
      <c r="L632" s="83"/>
      <c r="M632" s="102"/>
      <c r="N632" s="105"/>
      <c r="O632" s="83"/>
    </row>
    <row r="633" spans="1:15" x14ac:dyDescent="0.35">
      <c r="A633" s="79"/>
      <c r="B633" s="100"/>
      <c r="C633" s="81" t="str">
        <f>IFERROR(IF(B633="No CAS","",INDEX('DEQ Pollutant List'!$C$7:$C$611,MATCH('3. Pollutant Emissions - EF'!B633,'DEQ Pollutant List'!$B$7:$B$611,0))),"")</f>
        <v/>
      </c>
      <c r="D633" s="115" t="str">
        <f>IFERROR(IF(OR($B633="",$B633="No CAS"),INDEX('DEQ Pollutant List'!$A$7:$A$611,MATCH($C633,'DEQ Pollutant List'!$C$7:$C$611,0)),INDEX('DEQ Pollutant List'!$A$7:$A$611,MATCH($B633,'DEQ Pollutant List'!$B$7:$B$611,0))),"")</f>
        <v/>
      </c>
      <c r="E633" s="101"/>
      <c r="F633" s="102"/>
      <c r="G633" s="103"/>
      <c r="H633" s="83"/>
      <c r="I633" s="104"/>
      <c r="J633" s="102"/>
      <c r="K633" s="105"/>
      <c r="L633" s="83"/>
      <c r="M633" s="102"/>
      <c r="N633" s="105"/>
      <c r="O633" s="83"/>
    </row>
    <row r="634" spans="1:15" x14ac:dyDescent="0.35">
      <c r="A634" s="79"/>
      <c r="B634" s="100"/>
      <c r="C634" s="81" t="str">
        <f>IFERROR(IF(B634="No CAS","",INDEX('DEQ Pollutant List'!$C$7:$C$611,MATCH('3. Pollutant Emissions - EF'!B634,'DEQ Pollutant List'!$B$7:$B$611,0))),"")</f>
        <v/>
      </c>
      <c r="D634" s="115" t="str">
        <f>IFERROR(IF(OR($B634="",$B634="No CAS"),INDEX('DEQ Pollutant List'!$A$7:$A$611,MATCH($C634,'DEQ Pollutant List'!$C$7:$C$611,0)),INDEX('DEQ Pollutant List'!$A$7:$A$611,MATCH($B634,'DEQ Pollutant List'!$B$7:$B$611,0))),"")</f>
        <v/>
      </c>
      <c r="E634" s="101"/>
      <c r="F634" s="102"/>
      <c r="G634" s="103"/>
      <c r="H634" s="83"/>
      <c r="I634" s="104"/>
      <c r="J634" s="102"/>
      <c r="K634" s="105"/>
      <c r="L634" s="83"/>
      <c r="M634" s="102"/>
      <c r="N634" s="105"/>
      <c r="O634" s="83"/>
    </row>
    <row r="635" spans="1:15" x14ac:dyDescent="0.35">
      <c r="A635" s="79"/>
      <c r="B635" s="100"/>
      <c r="C635" s="81" t="str">
        <f>IFERROR(IF(B635="No CAS","",INDEX('DEQ Pollutant List'!$C$7:$C$611,MATCH('3. Pollutant Emissions - EF'!B635,'DEQ Pollutant List'!$B$7:$B$611,0))),"")</f>
        <v/>
      </c>
      <c r="D635" s="115" t="str">
        <f>IFERROR(IF(OR($B635="",$B635="No CAS"),INDEX('DEQ Pollutant List'!$A$7:$A$611,MATCH($C635,'DEQ Pollutant List'!$C$7:$C$611,0)),INDEX('DEQ Pollutant List'!$A$7:$A$611,MATCH($B635,'DEQ Pollutant List'!$B$7:$B$611,0))),"")</f>
        <v/>
      </c>
      <c r="E635" s="101"/>
      <c r="F635" s="102"/>
      <c r="G635" s="103"/>
      <c r="H635" s="83"/>
      <c r="I635" s="104"/>
      <c r="J635" s="102"/>
      <c r="K635" s="105"/>
      <c r="L635" s="83"/>
      <c r="M635" s="102"/>
      <c r="N635" s="105"/>
      <c r="O635" s="83"/>
    </row>
    <row r="636" spans="1:15" x14ac:dyDescent="0.35">
      <c r="A636" s="79"/>
      <c r="B636" s="100"/>
      <c r="C636" s="81" t="str">
        <f>IFERROR(IF(B636="No CAS","",INDEX('DEQ Pollutant List'!$C$7:$C$611,MATCH('3. Pollutant Emissions - EF'!B636,'DEQ Pollutant List'!$B$7:$B$611,0))),"")</f>
        <v/>
      </c>
      <c r="D636" s="115" t="str">
        <f>IFERROR(IF(OR($B636="",$B636="No CAS"),INDEX('DEQ Pollutant List'!$A$7:$A$611,MATCH($C636,'DEQ Pollutant List'!$C$7:$C$611,0)),INDEX('DEQ Pollutant List'!$A$7:$A$611,MATCH($B636,'DEQ Pollutant List'!$B$7:$B$611,0))),"")</f>
        <v/>
      </c>
      <c r="E636" s="101"/>
      <c r="F636" s="102"/>
      <c r="G636" s="103"/>
      <c r="H636" s="83"/>
      <c r="I636" s="104"/>
      <c r="J636" s="102"/>
      <c r="K636" s="105"/>
      <c r="L636" s="83"/>
      <c r="M636" s="102"/>
      <c r="N636" s="105"/>
      <c r="O636" s="83"/>
    </row>
    <row r="637" spans="1:15" x14ac:dyDescent="0.35">
      <c r="A637" s="79"/>
      <c r="B637" s="100"/>
      <c r="C637" s="81" t="str">
        <f>IFERROR(IF(B637="No CAS","",INDEX('DEQ Pollutant List'!$C$7:$C$611,MATCH('3. Pollutant Emissions - EF'!B637,'DEQ Pollutant List'!$B$7:$B$611,0))),"")</f>
        <v/>
      </c>
      <c r="D637" s="115" t="str">
        <f>IFERROR(IF(OR($B637="",$B637="No CAS"),INDEX('DEQ Pollutant List'!$A$7:$A$611,MATCH($C637,'DEQ Pollutant List'!$C$7:$C$611,0)),INDEX('DEQ Pollutant List'!$A$7:$A$611,MATCH($B637,'DEQ Pollutant List'!$B$7:$B$611,0))),"")</f>
        <v/>
      </c>
      <c r="E637" s="101"/>
      <c r="F637" s="102"/>
      <c r="G637" s="103"/>
      <c r="H637" s="83"/>
      <c r="I637" s="104"/>
      <c r="J637" s="102"/>
      <c r="K637" s="105"/>
      <c r="L637" s="83"/>
      <c r="M637" s="102"/>
      <c r="N637" s="105"/>
      <c r="O637" s="83"/>
    </row>
    <row r="638" spans="1:15" x14ac:dyDescent="0.35">
      <c r="A638" s="79"/>
      <c r="B638" s="100"/>
      <c r="C638" s="81" t="str">
        <f>IFERROR(IF(B638="No CAS","",INDEX('DEQ Pollutant List'!$C$7:$C$611,MATCH('3. Pollutant Emissions - EF'!B638,'DEQ Pollutant List'!$B$7:$B$611,0))),"")</f>
        <v/>
      </c>
      <c r="D638" s="115" t="str">
        <f>IFERROR(IF(OR($B638="",$B638="No CAS"),INDEX('DEQ Pollutant List'!$A$7:$A$611,MATCH($C638,'DEQ Pollutant List'!$C$7:$C$611,0)),INDEX('DEQ Pollutant List'!$A$7:$A$611,MATCH($B638,'DEQ Pollutant List'!$B$7:$B$611,0))),"")</f>
        <v/>
      </c>
      <c r="E638" s="101"/>
      <c r="F638" s="102"/>
      <c r="G638" s="103"/>
      <c r="H638" s="83"/>
      <c r="I638" s="104"/>
      <c r="J638" s="102"/>
      <c r="K638" s="105"/>
      <c r="L638" s="83"/>
      <c r="M638" s="102"/>
      <c r="N638" s="105"/>
      <c r="O638" s="83"/>
    </row>
    <row r="639" spans="1:15" x14ac:dyDescent="0.35">
      <c r="A639" s="79"/>
      <c r="B639" s="100"/>
      <c r="C639" s="81" t="str">
        <f>IFERROR(IF(B639="No CAS","",INDEX('DEQ Pollutant List'!$C$7:$C$611,MATCH('3. Pollutant Emissions - EF'!B639,'DEQ Pollutant List'!$B$7:$B$611,0))),"")</f>
        <v/>
      </c>
      <c r="D639" s="115" t="str">
        <f>IFERROR(IF(OR($B639="",$B639="No CAS"),INDEX('DEQ Pollutant List'!$A$7:$A$611,MATCH($C639,'DEQ Pollutant List'!$C$7:$C$611,0)),INDEX('DEQ Pollutant List'!$A$7:$A$611,MATCH($B639,'DEQ Pollutant List'!$B$7:$B$611,0))),"")</f>
        <v/>
      </c>
      <c r="E639" s="101"/>
      <c r="F639" s="102"/>
      <c r="G639" s="103"/>
      <c r="H639" s="83"/>
      <c r="I639" s="104"/>
      <c r="J639" s="102"/>
      <c r="K639" s="105"/>
      <c r="L639" s="83"/>
      <c r="M639" s="102"/>
      <c r="N639" s="105"/>
      <c r="O639" s="83"/>
    </row>
    <row r="640" spans="1:15" x14ac:dyDescent="0.35">
      <c r="A640" s="79"/>
      <c r="B640" s="100"/>
      <c r="C640" s="81" t="str">
        <f>IFERROR(IF(B640="No CAS","",INDEX('DEQ Pollutant List'!$C$7:$C$611,MATCH('3. Pollutant Emissions - EF'!B640,'DEQ Pollutant List'!$B$7:$B$611,0))),"")</f>
        <v/>
      </c>
      <c r="D640" s="115" t="str">
        <f>IFERROR(IF(OR($B640="",$B640="No CAS"),INDEX('DEQ Pollutant List'!$A$7:$A$611,MATCH($C640,'DEQ Pollutant List'!$C$7:$C$611,0)),INDEX('DEQ Pollutant List'!$A$7:$A$611,MATCH($B640,'DEQ Pollutant List'!$B$7:$B$611,0))),"")</f>
        <v/>
      </c>
      <c r="E640" s="101"/>
      <c r="F640" s="102"/>
      <c r="G640" s="103"/>
      <c r="H640" s="83"/>
      <c r="I640" s="104"/>
      <c r="J640" s="102"/>
      <c r="K640" s="105"/>
      <c r="L640" s="83"/>
      <c r="M640" s="102"/>
      <c r="N640" s="105"/>
      <c r="O640" s="83"/>
    </row>
    <row r="641" spans="1:15" x14ac:dyDescent="0.35">
      <c r="A641" s="79"/>
      <c r="B641" s="100"/>
      <c r="C641" s="81" t="str">
        <f>IFERROR(IF(B641="No CAS","",INDEX('DEQ Pollutant List'!$C$7:$C$611,MATCH('3. Pollutant Emissions - EF'!B641,'DEQ Pollutant List'!$B$7:$B$611,0))),"")</f>
        <v/>
      </c>
      <c r="D641" s="115" t="str">
        <f>IFERROR(IF(OR($B641="",$B641="No CAS"),INDEX('DEQ Pollutant List'!$A$7:$A$611,MATCH($C641,'DEQ Pollutant List'!$C$7:$C$611,0)),INDEX('DEQ Pollutant List'!$A$7:$A$611,MATCH($B641,'DEQ Pollutant List'!$B$7:$B$611,0))),"")</f>
        <v/>
      </c>
      <c r="E641" s="101"/>
      <c r="F641" s="102"/>
      <c r="G641" s="103"/>
      <c r="H641" s="83"/>
      <c r="I641" s="104"/>
      <c r="J641" s="102"/>
      <c r="K641" s="105"/>
      <c r="L641" s="83"/>
      <c r="M641" s="102"/>
      <c r="N641" s="105"/>
      <c r="O641" s="83"/>
    </row>
    <row r="642" spans="1:15" x14ac:dyDescent="0.35">
      <c r="A642" s="79"/>
      <c r="B642" s="100"/>
      <c r="C642" s="81" t="str">
        <f>IFERROR(IF(B642="No CAS","",INDEX('DEQ Pollutant List'!$C$7:$C$611,MATCH('3. Pollutant Emissions - EF'!B642,'DEQ Pollutant List'!$B$7:$B$611,0))),"")</f>
        <v/>
      </c>
      <c r="D642" s="115" t="str">
        <f>IFERROR(IF(OR($B642="",$B642="No CAS"),INDEX('DEQ Pollutant List'!$A$7:$A$611,MATCH($C642,'DEQ Pollutant List'!$C$7:$C$611,0)),INDEX('DEQ Pollutant List'!$A$7:$A$611,MATCH($B642,'DEQ Pollutant List'!$B$7:$B$611,0))),"")</f>
        <v/>
      </c>
      <c r="E642" s="101"/>
      <c r="F642" s="102"/>
      <c r="G642" s="103"/>
      <c r="H642" s="83"/>
      <c r="I642" s="104"/>
      <c r="J642" s="102"/>
      <c r="K642" s="105"/>
      <c r="L642" s="83"/>
      <c r="M642" s="102"/>
      <c r="N642" s="105"/>
      <c r="O642" s="83"/>
    </row>
    <row r="643" spans="1:15" x14ac:dyDescent="0.35">
      <c r="A643" s="79"/>
      <c r="B643" s="100"/>
      <c r="C643" s="81" t="str">
        <f>IFERROR(IF(B643="No CAS","",INDEX('DEQ Pollutant List'!$C$7:$C$611,MATCH('3. Pollutant Emissions - EF'!B643,'DEQ Pollutant List'!$B$7:$B$611,0))),"")</f>
        <v/>
      </c>
      <c r="D643" s="115" t="str">
        <f>IFERROR(IF(OR($B643="",$B643="No CAS"),INDEX('DEQ Pollutant List'!$A$7:$A$611,MATCH($C643,'DEQ Pollutant List'!$C$7:$C$611,0)),INDEX('DEQ Pollutant List'!$A$7:$A$611,MATCH($B643,'DEQ Pollutant List'!$B$7:$B$611,0))),"")</f>
        <v/>
      </c>
      <c r="E643" s="101"/>
      <c r="F643" s="102"/>
      <c r="G643" s="103"/>
      <c r="H643" s="83"/>
      <c r="I643" s="104"/>
      <c r="J643" s="102"/>
      <c r="K643" s="105"/>
      <c r="L643" s="83"/>
      <c r="M643" s="102"/>
      <c r="N643" s="105"/>
      <c r="O643" s="83"/>
    </row>
    <row r="644" spans="1:15" x14ac:dyDescent="0.35">
      <c r="A644" s="79"/>
      <c r="B644" s="100"/>
      <c r="C644" s="81" t="str">
        <f>IFERROR(IF(B644="No CAS","",INDEX('DEQ Pollutant List'!$C$7:$C$611,MATCH('3. Pollutant Emissions - EF'!B644,'DEQ Pollutant List'!$B$7:$B$611,0))),"")</f>
        <v/>
      </c>
      <c r="D644" s="115" t="str">
        <f>IFERROR(IF(OR($B644="",$B644="No CAS"),INDEX('DEQ Pollutant List'!$A$7:$A$611,MATCH($C644,'DEQ Pollutant List'!$C$7:$C$611,0)),INDEX('DEQ Pollutant List'!$A$7:$A$611,MATCH($B644,'DEQ Pollutant List'!$B$7:$B$611,0))),"")</f>
        <v/>
      </c>
      <c r="E644" s="101"/>
      <c r="F644" s="102"/>
      <c r="G644" s="103"/>
      <c r="H644" s="83"/>
      <c r="I644" s="104"/>
      <c r="J644" s="102"/>
      <c r="K644" s="105"/>
      <c r="L644" s="83"/>
      <c r="M644" s="102"/>
      <c r="N644" s="105"/>
      <c r="O644" s="83"/>
    </row>
    <row r="645" spans="1:15" x14ac:dyDescent="0.35">
      <c r="A645" s="79"/>
      <c r="B645" s="100"/>
      <c r="C645" s="81" t="str">
        <f>IFERROR(IF(B645="No CAS","",INDEX('DEQ Pollutant List'!$C$7:$C$611,MATCH('3. Pollutant Emissions - EF'!B645,'DEQ Pollutant List'!$B$7:$B$611,0))),"")</f>
        <v/>
      </c>
      <c r="D645" s="115" t="str">
        <f>IFERROR(IF(OR($B645="",$B645="No CAS"),INDEX('DEQ Pollutant List'!$A$7:$A$611,MATCH($C645,'DEQ Pollutant List'!$C$7:$C$611,0)),INDEX('DEQ Pollutant List'!$A$7:$A$611,MATCH($B645,'DEQ Pollutant List'!$B$7:$B$611,0))),"")</f>
        <v/>
      </c>
      <c r="E645" s="101"/>
      <c r="F645" s="102"/>
      <c r="G645" s="103"/>
      <c r="H645" s="83"/>
      <c r="I645" s="104"/>
      <c r="J645" s="102"/>
      <c r="K645" s="105"/>
      <c r="L645" s="83"/>
      <c r="M645" s="102"/>
      <c r="N645" s="105"/>
      <c r="O645" s="83"/>
    </row>
    <row r="646" spans="1:15" x14ac:dyDescent="0.35">
      <c r="A646" s="79"/>
      <c r="B646" s="100"/>
      <c r="C646" s="81" t="str">
        <f>IFERROR(IF(B646="No CAS","",INDEX('DEQ Pollutant List'!$C$7:$C$611,MATCH('3. Pollutant Emissions - EF'!B646,'DEQ Pollutant List'!$B$7:$B$611,0))),"")</f>
        <v/>
      </c>
      <c r="D646" s="115" t="str">
        <f>IFERROR(IF(OR($B646="",$B646="No CAS"),INDEX('DEQ Pollutant List'!$A$7:$A$611,MATCH($C646,'DEQ Pollutant List'!$C$7:$C$611,0)),INDEX('DEQ Pollutant List'!$A$7:$A$611,MATCH($B646,'DEQ Pollutant List'!$B$7:$B$611,0))),"")</f>
        <v/>
      </c>
      <c r="E646" s="101"/>
      <c r="F646" s="102"/>
      <c r="G646" s="103"/>
      <c r="H646" s="83"/>
      <c r="I646" s="104"/>
      <c r="J646" s="102"/>
      <c r="K646" s="105"/>
      <c r="L646" s="83"/>
      <c r="M646" s="102"/>
      <c r="N646" s="105"/>
      <c r="O646" s="83"/>
    </row>
    <row r="647" spans="1:15" x14ac:dyDescent="0.35">
      <c r="A647" s="79"/>
      <c r="B647" s="100"/>
      <c r="C647" s="81" t="str">
        <f>IFERROR(IF(B647="No CAS","",INDEX('DEQ Pollutant List'!$C$7:$C$611,MATCH('3. Pollutant Emissions - EF'!B647,'DEQ Pollutant List'!$B$7:$B$611,0))),"")</f>
        <v/>
      </c>
      <c r="D647" s="115" t="str">
        <f>IFERROR(IF(OR($B647="",$B647="No CAS"),INDEX('DEQ Pollutant List'!$A$7:$A$611,MATCH($C647,'DEQ Pollutant List'!$C$7:$C$611,0)),INDEX('DEQ Pollutant List'!$A$7:$A$611,MATCH($B647,'DEQ Pollutant List'!$B$7:$B$611,0))),"")</f>
        <v/>
      </c>
      <c r="E647" s="101"/>
      <c r="F647" s="102"/>
      <c r="G647" s="103"/>
      <c r="H647" s="83"/>
      <c r="I647" s="104"/>
      <c r="J647" s="102"/>
      <c r="K647" s="105"/>
      <c r="L647" s="83"/>
      <c r="M647" s="102"/>
      <c r="N647" s="105"/>
      <c r="O647" s="83"/>
    </row>
    <row r="648" spans="1:15" x14ac:dyDescent="0.35">
      <c r="A648" s="79"/>
      <c r="B648" s="100"/>
      <c r="C648" s="81" t="str">
        <f>IFERROR(IF(B648="No CAS","",INDEX('DEQ Pollutant List'!$C$7:$C$611,MATCH('3. Pollutant Emissions - EF'!B648,'DEQ Pollutant List'!$B$7:$B$611,0))),"")</f>
        <v/>
      </c>
      <c r="D648" s="115" t="str">
        <f>IFERROR(IF(OR($B648="",$B648="No CAS"),INDEX('DEQ Pollutant List'!$A$7:$A$611,MATCH($C648,'DEQ Pollutant List'!$C$7:$C$611,0)),INDEX('DEQ Pollutant List'!$A$7:$A$611,MATCH($B648,'DEQ Pollutant List'!$B$7:$B$611,0))),"")</f>
        <v/>
      </c>
      <c r="E648" s="101"/>
      <c r="F648" s="102"/>
      <c r="G648" s="103"/>
      <c r="H648" s="83"/>
      <c r="I648" s="104"/>
      <c r="J648" s="102"/>
      <c r="K648" s="105"/>
      <c r="L648" s="83"/>
      <c r="M648" s="102"/>
      <c r="N648" s="105"/>
      <c r="O648" s="83"/>
    </row>
    <row r="649" spans="1:15" x14ac:dyDescent="0.35">
      <c r="A649" s="79"/>
      <c r="B649" s="100"/>
      <c r="C649" s="81" t="str">
        <f>IFERROR(IF(B649="No CAS","",INDEX('DEQ Pollutant List'!$C$7:$C$611,MATCH('3. Pollutant Emissions - EF'!B649,'DEQ Pollutant List'!$B$7:$B$611,0))),"")</f>
        <v/>
      </c>
      <c r="D649" s="115" t="str">
        <f>IFERROR(IF(OR($B649="",$B649="No CAS"),INDEX('DEQ Pollutant List'!$A$7:$A$611,MATCH($C649,'DEQ Pollutant List'!$C$7:$C$611,0)),INDEX('DEQ Pollutant List'!$A$7:$A$611,MATCH($B649,'DEQ Pollutant List'!$B$7:$B$611,0))),"")</f>
        <v/>
      </c>
      <c r="E649" s="101"/>
      <c r="F649" s="102"/>
      <c r="G649" s="103"/>
      <c r="H649" s="83"/>
      <c r="I649" s="104"/>
      <c r="J649" s="102"/>
      <c r="K649" s="105"/>
      <c r="L649" s="83"/>
      <c r="M649" s="102"/>
      <c r="N649" s="105"/>
      <c r="O649" s="83"/>
    </row>
    <row r="650" spans="1:15" x14ac:dyDescent="0.35">
      <c r="A650" s="79"/>
      <c r="B650" s="100"/>
      <c r="C650" s="81" t="str">
        <f>IFERROR(IF(B650="No CAS","",INDEX('DEQ Pollutant List'!$C$7:$C$611,MATCH('3. Pollutant Emissions - EF'!B650,'DEQ Pollutant List'!$B$7:$B$611,0))),"")</f>
        <v/>
      </c>
      <c r="D650" s="115" t="str">
        <f>IFERROR(IF(OR($B650="",$B650="No CAS"),INDEX('DEQ Pollutant List'!$A$7:$A$611,MATCH($C650,'DEQ Pollutant List'!$C$7:$C$611,0)),INDEX('DEQ Pollutant List'!$A$7:$A$611,MATCH($B650,'DEQ Pollutant List'!$B$7:$B$611,0))),"")</f>
        <v/>
      </c>
      <c r="E650" s="101"/>
      <c r="F650" s="102"/>
      <c r="G650" s="103"/>
      <c r="H650" s="83"/>
      <c r="I650" s="104"/>
      <c r="J650" s="102"/>
      <c r="K650" s="105"/>
      <c r="L650" s="83"/>
      <c r="M650" s="102"/>
      <c r="N650" s="105"/>
      <c r="O650" s="83"/>
    </row>
    <row r="651" spans="1:15" x14ac:dyDescent="0.35">
      <c r="A651" s="79"/>
      <c r="B651" s="100"/>
      <c r="C651" s="81" t="str">
        <f>IFERROR(IF(B651="No CAS","",INDEX('DEQ Pollutant List'!$C$7:$C$611,MATCH('3. Pollutant Emissions - EF'!B651,'DEQ Pollutant List'!$B$7:$B$611,0))),"")</f>
        <v/>
      </c>
      <c r="D651" s="115" t="str">
        <f>IFERROR(IF(OR($B651="",$B651="No CAS"),INDEX('DEQ Pollutant List'!$A$7:$A$611,MATCH($C651,'DEQ Pollutant List'!$C$7:$C$611,0)),INDEX('DEQ Pollutant List'!$A$7:$A$611,MATCH($B651,'DEQ Pollutant List'!$B$7:$B$611,0))),"")</f>
        <v/>
      </c>
      <c r="E651" s="101"/>
      <c r="F651" s="102"/>
      <c r="G651" s="103"/>
      <c r="H651" s="83"/>
      <c r="I651" s="104"/>
      <c r="J651" s="102"/>
      <c r="K651" s="105"/>
      <c r="L651" s="83"/>
      <c r="M651" s="102"/>
      <c r="N651" s="105"/>
      <c r="O651" s="83"/>
    </row>
    <row r="652" spans="1:15" x14ac:dyDescent="0.35">
      <c r="A652" s="79"/>
      <c r="B652" s="100"/>
      <c r="C652" s="81" t="str">
        <f>IFERROR(IF(B652="No CAS","",INDEX('DEQ Pollutant List'!$C$7:$C$611,MATCH('3. Pollutant Emissions - EF'!B652,'DEQ Pollutant List'!$B$7:$B$611,0))),"")</f>
        <v/>
      </c>
      <c r="D652" s="115" t="str">
        <f>IFERROR(IF(OR($B652="",$B652="No CAS"),INDEX('DEQ Pollutant List'!$A$7:$A$611,MATCH($C652,'DEQ Pollutant List'!$C$7:$C$611,0)),INDEX('DEQ Pollutant List'!$A$7:$A$611,MATCH($B652,'DEQ Pollutant List'!$B$7:$B$611,0))),"")</f>
        <v/>
      </c>
      <c r="E652" s="101"/>
      <c r="F652" s="102"/>
      <c r="G652" s="103"/>
      <c r="H652" s="83"/>
      <c r="I652" s="104"/>
      <c r="J652" s="102"/>
      <c r="K652" s="105"/>
      <c r="L652" s="83"/>
      <c r="M652" s="102"/>
      <c r="N652" s="105"/>
      <c r="O652" s="83"/>
    </row>
    <row r="653" spans="1:15" x14ac:dyDescent="0.35">
      <c r="A653" s="79"/>
      <c r="B653" s="100"/>
      <c r="C653" s="81" t="str">
        <f>IFERROR(IF(B653="No CAS","",INDEX('DEQ Pollutant List'!$C$7:$C$611,MATCH('3. Pollutant Emissions - EF'!B653,'DEQ Pollutant List'!$B$7:$B$611,0))),"")</f>
        <v/>
      </c>
      <c r="D653" s="115" t="str">
        <f>IFERROR(IF(OR($B653="",$B653="No CAS"),INDEX('DEQ Pollutant List'!$A$7:$A$611,MATCH($C653,'DEQ Pollutant List'!$C$7:$C$611,0)),INDEX('DEQ Pollutant List'!$A$7:$A$611,MATCH($B653,'DEQ Pollutant List'!$B$7:$B$611,0))),"")</f>
        <v/>
      </c>
      <c r="E653" s="101"/>
      <c r="F653" s="102"/>
      <c r="G653" s="103"/>
      <c r="H653" s="83"/>
      <c r="I653" s="104"/>
      <c r="J653" s="102"/>
      <c r="K653" s="105"/>
      <c r="L653" s="83"/>
      <c r="M653" s="102"/>
      <c r="N653" s="105"/>
      <c r="O653" s="83"/>
    </row>
    <row r="654" spans="1:15" x14ac:dyDescent="0.35">
      <c r="A654" s="79"/>
      <c r="B654" s="100"/>
      <c r="C654" s="81" t="str">
        <f>IFERROR(IF(B654="No CAS","",INDEX('DEQ Pollutant List'!$C$7:$C$611,MATCH('3. Pollutant Emissions - EF'!B654,'DEQ Pollutant List'!$B$7:$B$611,0))),"")</f>
        <v/>
      </c>
      <c r="D654" s="115" t="str">
        <f>IFERROR(IF(OR($B654="",$B654="No CAS"),INDEX('DEQ Pollutant List'!$A$7:$A$611,MATCH($C654,'DEQ Pollutant List'!$C$7:$C$611,0)),INDEX('DEQ Pollutant List'!$A$7:$A$611,MATCH($B654,'DEQ Pollutant List'!$B$7:$B$611,0))),"")</f>
        <v/>
      </c>
      <c r="E654" s="101"/>
      <c r="F654" s="102"/>
      <c r="G654" s="103"/>
      <c r="H654" s="83"/>
      <c r="I654" s="104"/>
      <c r="J654" s="102"/>
      <c r="K654" s="105"/>
      <c r="L654" s="83"/>
      <c r="M654" s="102"/>
      <c r="N654" s="105"/>
      <c r="O654" s="83"/>
    </row>
    <row r="655" spans="1:15" x14ac:dyDescent="0.35">
      <c r="A655" s="79"/>
      <c r="B655" s="100"/>
      <c r="C655" s="81" t="str">
        <f>IFERROR(IF(B655="No CAS","",INDEX('DEQ Pollutant List'!$C$7:$C$611,MATCH('3. Pollutant Emissions - EF'!B655,'DEQ Pollutant List'!$B$7:$B$611,0))),"")</f>
        <v/>
      </c>
      <c r="D655" s="115" t="str">
        <f>IFERROR(IF(OR($B655="",$B655="No CAS"),INDEX('DEQ Pollutant List'!$A$7:$A$611,MATCH($C655,'DEQ Pollutant List'!$C$7:$C$611,0)),INDEX('DEQ Pollutant List'!$A$7:$A$611,MATCH($B655,'DEQ Pollutant List'!$B$7:$B$611,0))),"")</f>
        <v/>
      </c>
      <c r="E655" s="101"/>
      <c r="F655" s="102"/>
      <c r="G655" s="103"/>
      <c r="H655" s="83"/>
      <c r="I655" s="104"/>
      <c r="J655" s="102"/>
      <c r="K655" s="105"/>
      <c r="L655" s="83"/>
      <c r="M655" s="102"/>
      <c r="N655" s="105"/>
      <c r="O655" s="83"/>
    </row>
    <row r="656" spans="1:15" x14ac:dyDescent="0.35">
      <c r="A656" s="79"/>
      <c r="B656" s="100"/>
      <c r="C656" s="81" t="str">
        <f>IFERROR(IF(B656="No CAS","",INDEX('DEQ Pollutant List'!$C$7:$C$611,MATCH('3. Pollutant Emissions - EF'!B656,'DEQ Pollutant List'!$B$7:$B$611,0))),"")</f>
        <v/>
      </c>
      <c r="D656" s="115" t="str">
        <f>IFERROR(IF(OR($B656="",$B656="No CAS"),INDEX('DEQ Pollutant List'!$A$7:$A$611,MATCH($C656,'DEQ Pollutant List'!$C$7:$C$611,0)),INDEX('DEQ Pollutant List'!$A$7:$A$611,MATCH($B656,'DEQ Pollutant List'!$B$7:$B$611,0))),"")</f>
        <v/>
      </c>
      <c r="E656" s="101"/>
      <c r="F656" s="102"/>
      <c r="G656" s="103"/>
      <c r="H656" s="83"/>
      <c r="I656" s="104"/>
      <c r="J656" s="102"/>
      <c r="K656" s="105"/>
      <c r="L656" s="83"/>
      <c r="M656" s="102"/>
      <c r="N656" s="105"/>
      <c r="O656" s="83"/>
    </row>
    <row r="657" spans="1:15" x14ac:dyDescent="0.35">
      <c r="A657" s="79"/>
      <c r="B657" s="100"/>
      <c r="C657" s="81" t="str">
        <f>IFERROR(IF(B657="No CAS","",INDEX('DEQ Pollutant List'!$C$7:$C$611,MATCH('3. Pollutant Emissions - EF'!B657,'DEQ Pollutant List'!$B$7:$B$611,0))),"")</f>
        <v/>
      </c>
      <c r="D657" s="115" t="str">
        <f>IFERROR(IF(OR($B657="",$B657="No CAS"),INDEX('DEQ Pollutant List'!$A$7:$A$611,MATCH($C657,'DEQ Pollutant List'!$C$7:$C$611,0)),INDEX('DEQ Pollutant List'!$A$7:$A$611,MATCH($B657,'DEQ Pollutant List'!$B$7:$B$611,0))),"")</f>
        <v/>
      </c>
      <c r="E657" s="101"/>
      <c r="F657" s="102"/>
      <c r="G657" s="103"/>
      <c r="H657" s="83"/>
      <c r="I657" s="104"/>
      <c r="J657" s="102"/>
      <c r="K657" s="105"/>
      <c r="L657" s="83"/>
      <c r="M657" s="102"/>
      <c r="N657" s="105"/>
      <c r="O657" s="83"/>
    </row>
    <row r="658" spans="1:15" x14ac:dyDescent="0.35">
      <c r="A658" s="79"/>
      <c r="B658" s="100"/>
      <c r="C658" s="81" t="str">
        <f>IFERROR(IF(B658="No CAS","",INDEX('DEQ Pollutant List'!$C$7:$C$611,MATCH('3. Pollutant Emissions - EF'!B658,'DEQ Pollutant List'!$B$7:$B$611,0))),"")</f>
        <v/>
      </c>
      <c r="D658" s="115" t="str">
        <f>IFERROR(IF(OR($B658="",$B658="No CAS"),INDEX('DEQ Pollutant List'!$A$7:$A$611,MATCH($C658,'DEQ Pollutant List'!$C$7:$C$611,0)),INDEX('DEQ Pollutant List'!$A$7:$A$611,MATCH($B658,'DEQ Pollutant List'!$B$7:$B$611,0))),"")</f>
        <v/>
      </c>
      <c r="E658" s="101"/>
      <c r="F658" s="102"/>
      <c r="G658" s="103"/>
      <c r="H658" s="83"/>
      <c r="I658" s="104"/>
      <c r="J658" s="102"/>
      <c r="K658" s="105"/>
      <c r="L658" s="83"/>
      <c r="M658" s="102"/>
      <c r="N658" s="105"/>
      <c r="O658" s="83"/>
    </row>
    <row r="659" spans="1:15" x14ac:dyDescent="0.35">
      <c r="A659" s="79"/>
      <c r="B659" s="100"/>
      <c r="C659" s="81" t="str">
        <f>IFERROR(IF(B659="No CAS","",INDEX('DEQ Pollutant List'!$C$7:$C$611,MATCH('3. Pollutant Emissions - EF'!B659,'DEQ Pollutant List'!$B$7:$B$611,0))),"")</f>
        <v/>
      </c>
      <c r="D659" s="115" t="str">
        <f>IFERROR(IF(OR($B659="",$B659="No CAS"),INDEX('DEQ Pollutant List'!$A$7:$A$611,MATCH($C659,'DEQ Pollutant List'!$C$7:$C$611,0)),INDEX('DEQ Pollutant List'!$A$7:$A$611,MATCH($B659,'DEQ Pollutant List'!$B$7:$B$611,0))),"")</f>
        <v/>
      </c>
      <c r="E659" s="101"/>
      <c r="F659" s="102"/>
      <c r="G659" s="103"/>
      <c r="H659" s="83"/>
      <c r="I659" s="104"/>
      <c r="J659" s="102"/>
      <c r="K659" s="105"/>
      <c r="L659" s="83"/>
      <c r="M659" s="102"/>
      <c r="N659" s="105"/>
      <c r="O659" s="83"/>
    </row>
    <row r="660" spans="1:15" x14ac:dyDescent="0.35">
      <c r="A660" s="79"/>
      <c r="B660" s="100"/>
      <c r="C660" s="81" t="str">
        <f>IFERROR(IF(B660="No CAS","",INDEX('DEQ Pollutant List'!$C$7:$C$611,MATCH('3. Pollutant Emissions - EF'!B660,'DEQ Pollutant List'!$B$7:$B$611,0))),"")</f>
        <v/>
      </c>
      <c r="D660" s="115" t="str">
        <f>IFERROR(IF(OR($B660="",$B660="No CAS"),INDEX('DEQ Pollutant List'!$A$7:$A$611,MATCH($C660,'DEQ Pollutant List'!$C$7:$C$611,0)),INDEX('DEQ Pollutant List'!$A$7:$A$611,MATCH($B660,'DEQ Pollutant List'!$B$7:$B$611,0))),"")</f>
        <v/>
      </c>
      <c r="E660" s="101"/>
      <c r="F660" s="102"/>
      <c r="G660" s="103"/>
      <c r="H660" s="83"/>
      <c r="I660" s="104"/>
      <c r="J660" s="102"/>
      <c r="K660" s="105"/>
      <c r="L660" s="83"/>
      <c r="M660" s="102"/>
      <c r="N660" s="105"/>
      <c r="O660" s="83"/>
    </row>
    <row r="661" spans="1:15" x14ac:dyDescent="0.35">
      <c r="A661" s="79"/>
      <c r="B661" s="100"/>
      <c r="C661" s="81" t="str">
        <f>IFERROR(IF(B661="No CAS","",INDEX('DEQ Pollutant List'!$C$7:$C$611,MATCH('3. Pollutant Emissions - EF'!B661,'DEQ Pollutant List'!$B$7:$B$611,0))),"")</f>
        <v/>
      </c>
      <c r="D661" s="115" t="str">
        <f>IFERROR(IF(OR($B661="",$B661="No CAS"),INDEX('DEQ Pollutant List'!$A$7:$A$611,MATCH($C661,'DEQ Pollutant List'!$C$7:$C$611,0)),INDEX('DEQ Pollutant List'!$A$7:$A$611,MATCH($B661,'DEQ Pollutant List'!$B$7:$B$611,0))),"")</f>
        <v/>
      </c>
      <c r="E661" s="101"/>
      <c r="F661" s="102"/>
      <c r="G661" s="103"/>
      <c r="H661" s="83"/>
      <c r="I661" s="104"/>
      <c r="J661" s="102"/>
      <c r="K661" s="105"/>
      <c r="L661" s="83"/>
      <c r="M661" s="102"/>
      <c r="N661" s="105"/>
      <c r="O661" s="83"/>
    </row>
    <row r="662" spans="1:15" x14ac:dyDescent="0.35">
      <c r="A662" s="79"/>
      <c r="B662" s="100"/>
      <c r="C662" s="81" t="str">
        <f>IFERROR(IF(B662="No CAS","",INDEX('DEQ Pollutant List'!$C$7:$C$611,MATCH('3. Pollutant Emissions - EF'!B662,'DEQ Pollutant List'!$B$7:$B$611,0))),"")</f>
        <v/>
      </c>
      <c r="D662" s="115" t="str">
        <f>IFERROR(IF(OR($B662="",$B662="No CAS"),INDEX('DEQ Pollutant List'!$A$7:$A$611,MATCH($C662,'DEQ Pollutant List'!$C$7:$C$611,0)),INDEX('DEQ Pollutant List'!$A$7:$A$611,MATCH($B662,'DEQ Pollutant List'!$B$7:$B$611,0))),"")</f>
        <v/>
      </c>
      <c r="E662" s="101"/>
      <c r="F662" s="102"/>
      <c r="G662" s="103"/>
      <c r="H662" s="83"/>
      <c r="I662" s="104"/>
      <c r="J662" s="102"/>
      <c r="K662" s="105"/>
      <c r="L662" s="83"/>
      <c r="M662" s="102"/>
      <c r="N662" s="105"/>
      <c r="O662" s="83"/>
    </row>
    <row r="663" spans="1:15" x14ac:dyDescent="0.35">
      <c r="A663" s="79"/>
      <c r="B663" s="100"/>
      <c r="C663" s="81" t="str">
        <f>IFERROR(IF(B663="No CAS","",INDEX('DEQ Pollutant List'!$C$7:$C$611,MATCH('3. Pollutant Emissions - EF'!B663,'DEQ Pollutant List'!$B$7:$B$611,0))),"")</f>
        <v/>
      </c>
      <c r="D663" s="115" t="str">
        <f>IFERROR(IF(OR($B663="",$B663="No CAS"),INDEX('DEQ Pollutant List'!$A$7:$A$611,MATCH($C663,'DEQ Pollutant List'!$C$7:$C$611,0)),INDEX('DEQ Pollutant List'!$A$7:$A$611,MATCH($B663,'DEQ Pollutant List'!$B$7:$B$611,0))),"")</f>
        <v/>
      </c>
      <c r="E663" s="101"/>
      <c r="F663" s="102"/>
      <c r="G663" s="103"/>
      <c r="H663" s="83"/>
      <c r="I663" s="104"/>
      <c r="J663" s="102"/>
      <c r="K663" s="105"/>
      <c r="L663" s="83"/>
      <c r="M663" s="102"/>
      <c r="N663" s="105"/>
      <c r="O663" s="83"/>
    </row>
    <row r="664" spans="1:15" x14ac:dyDescent="0.35">
      <c r="A664" s="79"/>
      <c r="B664" s="100"/>
      <c r="C664" s="81" t="str">
        <f>IFERROR(IF(B664="No CAS","",INDEX('DEQ Pollutant List'!$C$7:$C$611,MATCH('3. Pollutant Emissions - EF'!B664,'DEQ Pollutant List'!$B$7:$B$611,0))),"")</f>
        <v/>
      </c>
      <c r="D664" s="115" t="str">
        <f>IFERROR(IF(OR($B664="",$B664="No CAS"),INDEX('DEQ Pollutant List'!$A$7:$A$611,MATCH($C664,'DEQ Pollutant List'!$C$7:$C$611,0)),INDEX('DEQ Pollutant List'!$A$7:$A$611,MATCH($B664,'DEQ Pollutant List'!$B$7:$B$611,0))),"")</f>
        <v/>
      </c>
      <c r="E664" s="101"/>
      <c r="F664" s="102"/>
      <c r="G664" s="103"/>
      <c r="H664" s="83"/>
      <c r="I664" s="104"/>
      <c r="J664" s="102"/>
      <c r="K664" s="105"/>
      <c r="L664" s="83"/>
      <c r="M664" s="102"/>
      <c r="N664" s="105"/>
      <c r="O664" s="83"/>
    </row>
    <row r="665" spans="1:15" x14ac:dyDescent="0.35">
      <c r="A665" s="79"/>
      <c r="B665" s="100"/>
      <c r="C665" s="81" t="str">
        <f>IFERROR(IF(B665="No CAS","",INDEX('DEQ Pollutant List'!$C$7:$C$611,MATCH('3. Pollutant Emissions - EF'!B665,'DEQ Pollutant List'!$B$7:$B$611,0))),"")</f>
        <v/>
      </c>
      <c r="D665" s="115" t="str">
        <f>IFERROR(IF(OR($B665="",$B665="No CAS"),INDEX('DEQ Pollutant List'!$A$7:$A$611,MATCH($C665,'DEQ Pollutant List'!$C$7:$C$611,0)),INDEX('DEQ Pollutant List'!$A$7:$A$611,MATCH($B665,'DEQ Pollutant List'!$B$7:$B$611,0))),"")</f>
        <v/>
      </c>
      <c r="E665" s="101"/>
      <c r="F665" s="102"/>
      <c r="G665" s="103"/>
      <c r="H665" s="83"/>
      <c r="I665" s="104"/>
      <c r="J665" s="102"/>
      <c r="K665" s="105"/>
      <c r="L665" s="83"/>
      <c r="M665" s="102"/>
      <c r="N665" s="105"/>
      <c r="O665" s="83"/>
    </row>
    <row r="666" spans="1:15" x14ac:dyDescent="0.35">
      <c r="A666" s="79"/>
      <c r="B666" s="100"/>
      <c r="C666" s="81" t="str">
        <f>IFERROR(IF(B666="No CAS","",INDEX('DEQ Pollutant List'!$C$7:$C$611,MATCH('3. Pollutant Emissions - EF'!B666,'DEQ Pollutant List'!$B$7:$B$611,0))),"")</f>
        <v/>
      </c>
      <c r="D666" s="115" t="str">
        <f>IFERROR(IF(OR($B666="",$B666="No CAS"),INDEX('DEQ Pollutant List'!$A$7:$A$611,MATCH($C666,'DEQ Pollutant List'!$C$7:$C$611,0)),INDEX('DEQ Pollutant List'!$A$7:$A$611,MATCH($B666,'DEQ Pollutant List'!$B$7:$B$611,0))),"")</f>
        <v/>
      </c>
      <c r="E666" s="101"/>
      <c r="F666" s="102"/>
      <c r="G666" s="103"/>
      <c r="H666" s="83"/>
      <c r="I666" s="104"/>
      <c r="J666" s="102"/>
      <c r="K666" s="105"/>
      <c r="L666" s="83"/>
      <c r="M666" s="102"/>
      <c r="N666" s="105"/>
      <c r="O666" s="83"/>
    </row>
    <row r="667" spans="1:15" x14ac:dyDescent="0.35">
      <c r="A667" s="79"/>
      <c r="B667" s="100"/>
      <c r="C667" s="81" t="str">
        <f>IFERROR(IF(B667="No CAS","",INDEX('DEQ Pollutant List'!$C$7:$C$611,MATCH('3. Pollutant Emissions - EF'!B667,'DEQ Pollutant List'!$B$7:$B$611,0))),"")</f>
        <v/>
      </c>
      <c r="D667" s="115" t="str">
        <f>IFERROR(IF(OR($B667="",$B667="No CAS"),INDEX('DEQ Pollutant List'!$A$7:$A$611,MATCH($C667,'DEQ Pollutant List'!$C$7:$C$611,0)),INDEX('DEQ Pollutant List'!$A$7:$A$611,MATCH($B667,'DEQ Pollutant List'!$B$7:$B$611,0))),"")</f>
        <v/>
      </c>
      <c r="E667" s="101"/>
      <c r="F667" s="102"/>
      <c r="G667" s="103"/>
      <c r="H667" s="83"/>
      <c r="I667" s="104"/>
      <c r="J667" s="102"/>
      <c r="K667" s="105"/>
      <c r="L667" s="83"/>
      <c r="M667" s="102"/>
      <c r="N667" s="105"/>
      <c r="O667" s="83"/>
    </row>
    <row r="668" spans="1:15" x14ac:dyDescent="0.35">
      <c r="A668" s="79"/>
      <c r="B668" s="100"/>
      <c r="C668" s="81" t="str">
        <f>IFERROR(IF(B668="No CAS","",INDEX('DEQ Pollutant List'!$C$7:$C$611,MATCH('3. Pollutant Emissions - EF'!B668,'DEQ Pollutant List'!$B$7:$B$611,0))),"")</f>
        <v/>
      </c>
      <c r="D668" s="115" t="str">
        <f>IFERROR(IF(OR($B668="",$B668="No CAS"),INDEX('DEQ Pollutant List'!$A$7:$A$611,MATCH($C668,'DEQ Pollutant List'!$C$7:$C$611,0)),INDEX('DEQ Pollutant List'!$A$7:$A$611,MATCH($B668,'DEQ Pollutant List'!$B$7:$B$611,0))),"")</f>
        <v/>
      </c>
      <c r="E668" s="101"/>
      <c r="F668" s="102"/>
      <c r="G668" s="103"/>
      <c r="H668" s="83"/>
      <c r="I668" s="104"/>
      <c r="J668" s="102"/>
      <c r="K668" s="105"/>
      <c r="L668" s="83"/>
      <c r="M668" s="102"/>
      <c r="N668" s="105"/>
      <c r="O668" s="83"/>
    </row>
    <row r="669" spans="1:15" x14ac:dyDescent="0.35">
      <c r="A669" s="79"/>
      <c r="B669" s="100"/>
      <c r="C669" s="81" t="str">
        <f>IFERROR(IF(B669="No CAS","",INDEX('DEQ Pollutant List'!$C$7:$C$611,MATCH('3. Pollutant Emissions - EF'!B669,'DEQ Pollutant List'!$B$7:$B$611,0))),"")</f>
        <v/>
      </c>
      <c r="D669" s="115" t="str">
        <f>IFERROR(IF(OR($B669="",$B669="No CAS"),INDEX('DEQ Pollutant List'!$A$7:$A$611,MATCH($C669,'DEQ Pollutant List'!$C$7:$C$611,0)),INDEX('DEQ Pollutant List'!$A$7:$A$611,MATCH($B669,'DEQ Pollutant List'!$B$7:$B$611,0))),"")</f>
        <v/>
      </c>
      <c r="E669" s="101"/>
      <c r="F669" s="102"/>
      <c r="G669" s="103"/>
      <c r="H669" s="83"/>
      <c r="I669" s="104"/>
      <c r="J669" s="102"/>
      <c r="K669" s="105"/>
      <c r="L669" s="83"/>
      <c r="M669" s="102"/>
      <c r="N669" s="105"/>
      <c r="O669" s="83"/>
    </row>
    <row r="670" spans="1:15" x14ac:dyDescent="0.35">
      <c r="A670" s="79"/>
      <c r="B670" s="100"/>
      <c r="C670" s="81" t="str">
        <f>IFERROR(IF(B670="No CAS","",INDEX('DEQ Pollutant List'!$C$7:$C$611,MATCH('3. Pollutant Emissions - EF'!B670,'DEQ Pollutant List'!$B$7:$B$611,0))),"")</f>
        <v/>
      </c>
      <c r="D670" s="115" t="str">
        <f>IFERROR(IF(OR($B670="",$B670="No CAS"),INDEX('DEQ Pollutant List'!$A$7:$A$611,MATCH($C670,'DEQ Pollutant List'!$C$7:$C$611,0)),INDEX('DEQ Pollutant List'!$A$7:$A$611,MATCH($B670,'DEQ Pollutant List'!$B$7:$B$611,0))),"")</f>
        <v/>
      </c>
      <c r="E670" s="101"/>
      <c r="F670" s="102"/>
      <c r="G670" s="103"/>
      <c r="H670" s="83"/>
      <c r="I670" s="104"/>
      <c r="J670" s="102"/>
      <c r="K670" s="105"/>
      <c r="L670" s="83"/>
      <c r="M670" s="102"/>
      <c r="N670" s="105"/>
      <c r="O670" s="83"/>
    </row>
    <row r="671" spans="1:15" x14ac:dyDescent="0.35">
      <c r="A671" s="79"/>
      <c r="B671" s="100"/>
      <c r="C671" s="81" t="str">
        <f>IFERROR(IF(B671="No CAS","",INDEX('DEQ Pollutant List'!$C$7:$C$611,MATCH('3. Pollutant Emissions - EF'!B671,'DEQ Pollutant List'!$B$7:$B$611,0))),"")</f>
        <v/>
      </c>
      <c r="D671" s="115" t="str">
        <f>IFERROR(IF(OR($B671="",$B671="No CAS"),INDEX('DEQ Pollutant List'!$A$7:$A$611,MATCH($C671,'DEQ Pollutant List'!$C$7:$C$611,0)),INDEX('DEQ Pollutant List'!$A$7:$A$611,MATCH($B671,'DEQ Pollutant List'!$B$7:$B$611,0))),"")</f>
        <v/>
      </c>
      <c r="E671" s="101"/>
      <c r="F671" s="102"/>
      <c r="G671" s="103"/>
      <c r="H671" s="83"/>
      <c r="I671" s="104"/>
      <c r="J671" s="102"/>
      <c r="K671" s="105"/>
      <c r="L671" s="83"/>
      <c r="M671" s="102"/>
      <c r="N671" s="105"/>
      <c r="O671" s="83"/>
    </row>
    <row r="672" spans="1:15" x14ac:dyDescent="0.35">
      <c r="A672" s="79"/>
      <c r="B672" s="100"/>
      <c r="C672" s="81" t="str">
        <f>IFERROR(IF(B672="No CAS","",INDEX('DEQ Pollutant List'!$C$7:$C$611,MATCH('3. Pollutant Emissions - EF'!B672,'DEQ Pollutant List'!$B$7:$B$611,0))),"")</f>
        <v/>
      </c>
      <c r="D672" s="115" t="str">
        <f>IFERROR(IF(OR($B672="",$B672="No CAS"),INDEX('DEQ Pollutant List'!$A$7:$A$611,MATCH($C672,'DEQ Pollutant List'!$C$7:$C$611,0)),INDEX('DEQ Pollutant List'!$A$7:$A$611,MATCH($B672,'DEQ Pollutant List'!$B$7:$B$611,0))),"")</f>
        <v/>
      </c>
      <c r="E672" s="101"/>
      <c r="F672" s="102"/>
      <c r="G672" s="103"/>
      <c r="H672" s="83"/>
      <c r="I672" s="104"/>
      <c r="J672" s="102"/>
      <c r="K672" s="105"/>
      <c r="L672" s="83"/>
      <c r="M672" s="102"/>
      <c r="N672" s="105"/>
      <c r="O672" s="83"/>
    </row>
    <row r="673" spans="1:15" x14ac:dyDescent="0.35">
      <c r="A673" s="79"/>
      <c r="B673" s="100"/>
      <c r="C673" s="81" t="str">
        <f>IFERROR(IF(B673="No CAS","",INDEX('DEQ Pollutant List'!$C$7:$C$611,MATCH('3. Pollutant Emissions - EF'!B673,'DEQ Pollutant List'!$B$7:$B$611,0))),"")</f>
        <v/>
      </c>
      <c r="D673" s="115" t="str">
        <f>IFERROR(IF(OR($B673="",$B673="No CAS"),INDEX('DEQ Pollutant List'!$A$7:$A$611,MATCH($C673,'DEQ Pollutant List'!$C$7:$C$611,0)),INDEX('DEQ Pollutant List'!$A$7:$A$611,MATCH($B673,'DEQ Pollutant List'!$B$7:$B$611,0))),"")</f>
        <v/>
      </c>
      <c r="E673" s="101"/>
      <c r="F673" s="102"/>
      <c r="G673" s="103"/>
      <c r="H673" s="83"/>
      <c r="I673" s="104"/>
      <c r="J673" s="102"/>
      <c r="K673" s="105"/>
      <c r="L673" s="83"/>
      <c r="M673" s="102"/>
      <c r="N673" s="105"/>
      <c r="O673" s="83"/>
    </row>
    <row r="674" spans="1:15" x14ac:dyDescent="0.35">
      <c r="A674" s="79"/>
      <c r="B674" s="100"/>
      <c r="C674" s="81" t="str">
        <f>IFERROR(IF(B674="No CAS","",INDEX('DEQ Pollutant List'!$C$7:$C$611,MATCH('3. Pollutant Emissions - EF'!B674,'DEQ Pollutant List'!$B$7:$B$611,0))),"")</f>
        <v/>
      </c>
      <c r="D674" s="115" t="str">
        <f>IFERROR(IF(OR($B674="",$B674="No CAS"),INDEX('DEQ Pollutant List'!$A$7:$A$611,MATCH($C674,'DEQ Pollutant List'!$C$7:$C$611,0)),INDEX('DEQ Pollutant List'!$A$7:$A$611,MATCH($B674,'DEQ Pollutant List'!$B$7:$B$611,0))),"")</f>
        <v/>
      </c>
      <c r="E674" s="101"/>
      <c r="F674" s="102"/>
      <c r="G674" s="103"/>
      <c r="H674" s="83"/>
      <c r="I674" s="104"/>
      <c r="J674" s="102"/>
      <c r="K674" s="105"/>
      <c r="L674" s="83"/>
      <c r="M674" s="102"/>
      <c r="N674" s="105"/>
      <c r="O674" s="83"/>
    </row>
    <row r="675" spans="1:15" x14ac:dyDescent="0.35">
      <c r="A675" s="79"/>
      <c r="B675" s="100"/>
      <c r="C675" s="81" t="str">
        <f>IFERROR(IF(B675="No CAS","",INDEX('DEQ Pollutant List'!$C$7:$C$611,MATCH('3. Pollutant Emissions - EF'!B675,'DEQ Pollutant List'!$B$7:$B$611,0))),"")</f>
        <v/>
      </c>
      <c r="D675" s="115" t="str">
        <f>IFERROR(IF(OR($B675="",$B675="No CAS"),INDEX('DEQ Pollutant List'!$A$7:$A$611,MATCH($C675,'DEQ Pollutant List'!$C$7:$C$611,0)),INDEX('DEQ Pollutant List'!$A$7:$A$611,MATCH($B675,'DEQ Pollutant List'!$B$7:$B$611,0))),"")</f>
        <v/>
      </c>
      <c r="E675" s="101"/>
      <c r="F675" s="102"/>
      <c r="G675" s="103"/>
      <c r="H675" s="83"/>
      <c r="I675" s="104"/>
      <c r="J675" s="102"/>
      <c r="K675" s="105"/>
      <c r="L675" s="83"/>
      <c r="M675" s="102"/>
      <c r="N675" s="105"/>
      <c r="O675" s="83"/>
    </row>
    <row r="676" spans="1:15" x14ac:dyDescent="0.35">
      <c r="A676" s="79"/>
      <c r="B676" s="100"/>
      <c r="C676" s="81" t="str">
        <f>IFERROR(IF(B676="No CAS","",INDEX('DEQ Pollutant List'!$C$7:$C$611,MATCH('3. Pollutant Emissions - EF'!B676,'DEQ Pollutant List'!$B$7:$B$611,0))),"")</f>
        <v/>
      </c>
      <c r="D676" s="115" t="str">
        <f>IFERROR(IF(OR($B676="",$B676="No CAS"),INDEX('DEQ Pollutant List'!$A$7:$A$611,MATCH($C676,'DEQ Pollutant List'!$C$7:$C$611,0)),INDEX('DEQ Pollutant List'!$A$7:$A$611,MATCH($B676,'DEQ Pollutant List'!$B$7:$B$611,0))),"")</f>
        <v/>
      </c>
      <c r="E676" s="101"/>
      <c r="F676" s="102"/>
      <c r="G676" s="103"/>
      <c r="H676" s="83"/>
      <c r="I676" s="104"/>
      <c r="J676" s="102"/>
      <c r="K676" s="105"/>
      <c r="L676" s="83"/>
      <c r="M676" s="102"/>
      <c r="N676" s="105"/>
      <c r="O676" s="83"/>
    </row>
    <row r="677" spans="1:15" x14ac:dyDescent="0.35">
      <c r="A677" s="79"/>
      <c r="B677" s="100"/>
      <c r="C677" s="81" t="str">
        <f>IFERROR(IF(B677="No CAS","",INDEX('DEQ Pollutant List'!$C$7:$C$611,MATCH('3. Pollutant Emissions - EF'!B677,'DEQ Pollutant List'!$B$7:$B$611,0))),"")</f>
        <v/>
      </c>
      <c r="D677" s="115" t="str">
        <f>IFERROR(IF(OR($B677="",$B677="No CAS"),INDEX('DEQ Pollutant List'!$A$7:$A$611,MATCH($C677,'DEQ Pollutant List'!$C$7:$C$611,0)),INDEX('DEQ Pollutant List'!$A$7:$A$611,MATCH($B677,'DEQ Pollutant List'!$B$7:$B$611,0))),"")</f>
        <v/>
      </c>
      <c r="E677" s="101"/>
      <c r="F677" s="102"/>
      <c r="G677" s="103"/>
      <c r="H677" s="83"/>
      <c r="I677" s="104"/>
      <c r="J677" s="102"/>
      <c r="K677" s="105"/>
      <c r="L677" s="83"/>
      <c r="M677" s="102"/>
      <c r="N677" s="105"/>
      <c r="O677" s="83"/>
    </row>
    <row r="678" spans="1:15" x14ac:dyDescent="0.35">
      <c r="A678" s="79"/>
      <c r="B678" s="100"/>
      <c r="C678" s="81" t="str">
        <f>IFERROR(IF(B678="No CAS","",INDEX('DEQ Pollutant List'!$C$7:$C$611,MATCH('3. Pollutant Emissions - EF'!B678,'DEQ Pollutant List'!$B$7:$B$611,0))),"")</f>
        <v/>
      </c>
      <c r="D678" s="115" t="str">
        <f>IFERROR(IF(OR($B678="",$B678="No CAS"),INDEX('DEQ Pollutant List'!$A$7:$A$611,MATCH($C678,'DEQ Pollutant List'!$C$7:$C$611,0)),INDEX('DEQ Pollutant List'!$A$7:$A$611,MATCH($B678,'DEQ Pollutant List'!$B$7:$B$611,0))),"")</f>
        <v/>
      </c>
      <c r="E678" s="101"/>
      <c r="F678" s="102"/>
      <c r="G678" s="103"/>
      <c r="H678" s="83"/>
      <c r="I678" s="104"/>
      <c r="J678" s="102"/>
      <c r="K678" s="105"/>
      <c r="L678" s="83"/>
      <c r="M678" s="102"/>
      <c r="N678" s="105"/>
      <c r="O678" s="83"/>
    </row>
    <row r="679" spans="1:15" x14ac:dyDescent="0.35">
      <c r="A679" s="79"/>
      <c r="B679" s="100"/>
      <c r="C679" s="81" t="str">
        <f>IFERROR(IF(B679="No CAS","",INDEX('DEQ Pollutant List'!$C$7:$C$611,MATCH('3. Pollutant Emissions - EF'!B679,'DEQ Pollutant List'!$B$7:$B$611,0))),"")</f>
        <v/>
      </c>
      <c r="D679" s="115" t="str">
        <f>IFERROR(IF(OR($B679="",$B679="No CAS"),INDEX('DEQ Pollutant List'!$A$7:$A$611,MATCH($C679,'DEQ Pollutant List'!$C$7:$C$611,0)),INDEX('DEQ Pollutant List'!$A$7:$A$611,MATCH($B679,'DEQ Pollutant List'!$B$7:$B$611,0))),"")</f>
        <v/>
      </c>
      <c r="E679" s="101"/>
      <c r="F679" s="102"/>
      <c r="G679" s="103"/>
      <c r="H679" s="83"/>
      <c r="I679" s="104"/>
      <c r="J679" s="102"/>
      <c r="K679" s="105"/>
      <c r="L679" s="83"/>
      <c r="M679" s="102"/>
      <c r="N679" s="105"/>
      <c r="O679" s="83"/>
    </row>
    <row r="680" spans="1:15" x14ac:dyDescent="0.35">
      <c r="A680" s="79"/>
      <c r="B680" s="100"/>
      <c r="C680" s="81" t="str">
        <f>IFERROR(IF(B680="No CAS","",INDEX('DEQ Pollutant List'!$C$7:$C$611,MATCH('3. Pollutant Emissions - EF'!B680,'DEQ Pollutant List'!$B$7:$B$611,0))),"")</f>
        <v/>
      </c>
      <c r="D680" s="115" t="str">
        <f>IFERROR(IF(OR($B680="",$B680="No CAS"),INDEX('DEQ Pollutant List'!$A$7:$A$611,MATCH($C680,'DEQ Pollutant List'!$C$7:$C$611,0)),INDEX('DEQ Pollutant List'!$A$7:$A$611,MATCH($B680,'DEQ Pollutant List'!$B$7:$B$611,0))),"")</f>
        <v/>
      </c>
      <c r="E680" s="101"/>
      <c r="F680" s="102"/>
      <c r="G680" s="103"/>
      <c r="H680" s="83"/>
      <c r="I680" s="104"/>
      <c r="J680" s="102"/>
      <c r="K680" s="105"/>
      <c r="L680" s="83"/>
      <c r="M680" s="102"/>
      <c r="N680" s="105"/>
      <c r="O680" s="83"/>
    </row>
    <row r="681" spans="1:15" x14ac:dyDescent="0.35">
      <c r="A681" s="79"/>
      <c r="B681" s="100"/>
      <c r="C681" s="81" t="str">
        <f>IFERROR(IF(B681="No CAS","",INDEX('DEQ Pollutant List'!$C$7:$C$611,MATCH('3. Pollutant Emissions - EF'!B681,'DEQ Pollutant List'!$B$7:$B$611,0))),"")</f>
        <v/>
      </c>
      <c r="D681" s="115" t="str">
        <f>IFERROR(IF(OR($B681="",$B681="No CAS"),INDEX('DEQ Pollutant List'!$A$7:$A$611,MATCH($C681,'DEQ Pollutant List'!$C$7:$C$611,0)),INDEX('DEQ Pollutant List'!$A$7:$A$611,MATCH($B681,'DEQ Pollutant List'!$B$7:$B$611,0))),"")</f>
        <v/>
      </c>
      <c r="E681" s="101"/>
      <c r="F681" s="102"/>
      <c r="G681" s="103"/>
      <c r="H681" s="83"/>
      <c r="I681" s="104"/>
      <c r="J681" s="102"/>
      <c r="K681" s="105"/>
      <c r="L681" s="83"/>
      <c r="M681" s="102"/>
      <c r="N681" s="105"/>
      <c r="O681" s="83"/>
    </row>
    <row r="682" spans="1:15" x14ac:dyDescent="0.35">
      <c r="A682" s="79"/>
      <c r="B682" s="100"/>
      <c r="C682" s="81" t="str">
        <f>IFERROR(IF(B682="No CAS","",INDEX('DEQ Pollutant List'!$C$7:$C$611,MATCH('3. Pollutant Emissions - EF'!B682,'DEQ Pollutant List'!$B$7:$B$611,0))),"")</f>
        <v/>
      </c>
      <c r="D682" s="115" t="str">
        <f>IFERROR(IF(OR($B682="",$B682="No CAS"),INDEX('DEQ Pollutant List'!$A$7:$A$611,MATCH($C682,'DEQ Pollutant List'!$C$7:$C$611,0)),INDEX('DEQ Pollutant List'!$A$7:$A$611,MATCH($B682,'DEQ Pollutant List'!$B$7:$B$611,0))),"")</f>
        <v/>
      </c>
      <c r="E682" s="101"/>
      <c r="F682" s="102"/>
      <c r="G682" s="103"/>
      <c r="H682" s="83"/>
      <c r="I682" s="104"/>
      <c r="J682" s="102"/>
      <c r="K682" s="105"/>
      <c r="L682" s="83"/>
      <c r="M682" s="102"/>
      <c r="N682" s="105"/>
      <c r="O682" s="83"/>
    </row>
    <row r="683" spans="1:15" x14ac:dyDescent="0.35">
      <c r="A683" s="79"/>
      <c r="B683" s="100"/>
      <c r="C683" s="81" t="str">
        <f>IFERROR(IF(B683="No CAS","",INDEX('DEQ Pollutant List'!$C$7:$C$611,MATCH('3. Pollutant Emissions - EF'!B683,'DEQ Pollutant List'!$B$7:$B$611,0))),"")</f>
        <v/>
      </c>
      <c r="D683" s="115" t="str">
        <f>IFERROR(IF(OR($B683="",$B683="No CAS"),INDEX('DEQ Pollutant List'!$A$7:$A$611,MATCH($C683,'DEQ Pollutant List'!$C$7:$C$611,0)),INDEX('DEQ Pollutant List'!$A$7:$A$611,MATCH($B683,'DEQ Pollutant List'!$B$7:$B$611,0))),"")</f>
        <v/>
      </c>
      <c r="E683" s="101"/>
      <c r="F683" s="102"/>
      <c r="G683" s="103"/>
      <c r="H683" s="83"/>
      <c r="I683" s="104"/>
      <c r="J683" s="102"/>
      <c r="K683" s="105"/>
      <c r="L683" s="83"/>
      <c r="M683" s="102"/>
      <c r="N683" s="105"/>
      <c r="O683" s="83"/>
    </row>
    <row r="684" spans="1:15" x14ac:dyDescent="0.35">
      <c r="A684" s="79"/>
      <c r="B684" s="100"/>
      <c r="C684" s="81" t="str">
        <f>IFERROR(IF(B684="No CAS","",INDEX('DEQ Pollutant List'!$C$7:$C$611,MATCH('3. Pollutant Emissions - EF'!B684,'DEQ Pollutant List'!$B$7:$B$611,0))),"")</f>
        <v/>
      </c>
      <c r="D684" s="115" t="str">
        <f>IFERROR(IF(OR($B684="",$B684="No CAS"),INDEX('DEQ Pollutant List'!$A$7:$A$611,MATCH($C684,'DEQ Pollutant List'!$C$7:$C$611,0)),INDEX('DEQ Pollutant List'!$A$7:$A$611,MATCH($B684,'DEQ Pollutant List'!$B$7:$B$611,0))),"")</f>
        <v/>
      </c>
      <c r="E684" s="101"/>
      <c r="F684" s="102"/>
      <c r="G684" s="103"/>
      <c r="H684" s="83"/>
      <c r="I684" s="104"/>
      <c r="J684" s="102"/>
      <c r="K684" s="105"/>
      <c r="L684" s="83"/>
      <c r="M684" s="102"/>
      <c r="N684" s="105"/>
      <c r="O684" s="83"/>
    </row>
    <row r="685" spans="1:15" ht="15" thickBot="1" x14ac:dyDescent="0.4">
      <c r="A685" s="87"/>
      <c r="B685" s="106"/>
      <c r="C685" s="81" t="str">
        <f>IFERROR(IF(B685="No CAS","",INDEX('DEQ Pollutant List'!$C$7:$C$611,MATCH('3. Pollutant Emissions - EF'!B685,'DEQ Pollutant List'!$B$7:$B$611,0))),"")</f>
        <v/>
      </c>
      <c r="D685" s="115" t="str">
        <f>IFERROR(IF(OR($B685="",$B685="No CAS"),INDEX('DEQ Pollutant List'!$A$7:$A$611,MATCH($C685,'DEQ Pollutant List'!$C$7:$C$611,0)),INDEX('DEQ Pollutant List'!$A$7:$A$611,MATCH($B685,'DEQ Pollutant List'!$B$7:$B$611,0))),"")</f>
        <v/>
      </c>
      <c r="E685" s="107"/>
      <c r="F685" s="108"/>
      <c r="G685" s="109"/>
      <c r="H685" s="91"/>
      <c r="I685" s="110"/>
      <c r="J685" s="108"/>
      <c r="K685" s="111"/>
      <c r="L685" s="91"/>
      <c r="M685" s="108"/>
      <c r="N685" s="111"/>
      <c r="O685" s="91"/>
    </row>
    <row r="686" spans="1:15" x14ac:dyDescent="0.35">
      <c r="A686" s="244" t="s">
        <v>1138</v>
      </c>
      <c r="B686" s="245"/>
      <c r="C686" s="245"/>
      <c r="D686" s="245"/>
      <c r="E686" s="245"/>
      <c r="F686" s="245"/>
      <c r="G686" s="245"/>
      <c r="H686" s="245"/>
      <c r="I686" s="245"/>
      <c r="J686" s="245"/>
      <c r="K686" s="245"/>
      <c r="L686" s="245"/>
      <c r="M686" s="245"/>
      <c r="N686" s="245"/>
      <c r="O686" s="246"/>
    </row>
    <row r="687" spans="1:15" x14ac:dyDescent="0.35">
      <c r="A687" s="247"/>
      <c r="B687" s="248"/>
      <c r="C687" s="248"/>
      <c r="D687" s="248"/>
      <c r="E687" s="248"/>
      <c r="F687" s="248"/>
      <c r="G687" s="248"/>
      <c r="H687" s="248"/>
      <c r="I687" s="248"/>
      <c r="J687" s="248"/>
      <c r="K687" s="248"/>
      <c r="L687" s="248"/>
      <c r="M687" s="248"/>
      <c r="N687" s="248"/>
      <c r="O687" s="249"/>
    </row>
    <row r="688" spans="1:15" ht="15" thickBot="1" x14ac:dyDescent="0.4">
      <c r="A688" s="250"/>
      <c r="B688" s="251"/>
      <c r="C688" s="251"/>
      <c r="D688" s="251"/>
      <c r="E688" s="251"/>
      <c r="F688" s="251"/>
      <c r="G688" s="251"/>
      <c r="H688" s="251"/>
      <c r="I688" s="251"/>
      <c r="J688" s="251"/>
      <c r="K688" s="251"/>
      <c r="L688" s="251"/>
      <c r="M688" s="251"/>
      <c r="N688" s="251"/>
      <c r="O688" s="252"/>
    </row>
    <row r="689" spans="1:15" x14ac:dyDescent="0.35">
      <c r="A689" s="22"/>
      <c r="B689" s="112"/>
      <c r="C689" s="113"/>
      <c r="D689" s="22"/>
      <c r="E689" s="114"/>
      <c r="F689" s="22"/>
      <c r="G689" s="22"/>
      <c r="H689" s="22"/>
      <c r="I689" s="113"/>
      <c r="J689" s="22"/>
      <c r="K689" s="22"/>
      <c r="L689" s="22"/>
      <c r="M689" s="22"/>
      <c r="N689" s="22"/>
      <c r="O689" s="22"/>
    </row>
    <row r="690" spans="1:15" x14ac:dyDescent="0.35">
      <c r="A690" s="22"/>
      <c r="B690" s="112"/>
      <c r="C690" s="113"/>
      <c r="D690" s="22"/>
      <c r="E690" s="114"/>
      <c r="F690" s="22"/>
      <c r="G690" s="22"/>
      <c r="H690" s="22"/>
      <c r="I690" s="113"/>
      <c r="J690" s="22"/>
      <c r="K690" s="22"/>
      <c r="L690" s="22"/>
      <c r="M690" s="22"/>
      <c r="N690" s="22"/>
      <c r="O690" s="22"/>
    </row>
    <row r="691" spans="1:15" x14ac:dyDescent="0.35">
      <c r="A691" s="22"/>
      <c r="B691" s="112"/>
      <c r="C691" s="113"/>
      <c r="D691" s="22"/>
      <c r="E691" s="114"/>
      <c r="F691" s="22"/>
      <c r="G691" s="22"/>
      <c r="H691" s="22"/>
      <c r="I691" s="113"/>
      <c r="J691" s="22"/>
      <c r="K691" s="22"/>
      <c r="L691" s="22"/>
      <c r="M691" s="22"/>
      <c r="N691" s="22"/>
      <c r="O691" s="22"/>
    </row>
    <row r="692" spans="1:15" x14ac:dyDescent="0.35">
      <c r="A692" s="22"/>
      <c r="B692" s="112"/>
      <c r="C692" s="113"/>
      <c r="D692" s="22"/>
      <c r="E692" s="114"/>
      <c r="F692" s="22"/>
      <c r="G692" s="22"/>
      <c r="H692" s="22"/>
      <c r="I692" s="113"/>
      <c r="J692" s="22"/>
      <c r="K692" s="22"/>
      <c r="L692" s="22"/>
      <c r="M692" s="22"/>
      <c r="N692" s="22"/>
      <c r="O692" s="22"/>
    </row>
    <row r="693" spans="1:15" x14ac:dyDescent="0.35">
      <c r="A693" s="22"/>
      <c r="B693" s="112"/>
      <c r="C693" s="113"/>
      <c r="D693" s="22"/>
      <c r="E693" s="114"/>
      <c r="F693" s="22"/>
      <c r="G693" s="22"/>
      <c r="H693" s="22"/>
      <c r="I693" s="113"/>
      <c r="J693" s="22"/>
      <c r="K693" s="22"/>
      <c r="L693" s="22"/>
      <c r="M693" s="22"/>
      <c r="N693" s="22"/>
      <c r="O693" s="22"/>
    </row>
    <row r="694" spans="1:15" x14ac:dyDescent="0.35">
      <c r="A694" s="22"/>
      <c r="B694" s="112"/>
      <c r="C694" s="113"/>
      <c r="D694" s="22"/>
      <c r="E694" s="114"/>
      <c r="F694" s="22"/>
      <c r="G694" s="22"/>
      <c r="H694" s="22"/>
      <c r="I694" s="113"/>
      <c r="J694" s="22"/>
      <c r="K694" s="22"/>
      <c r="L694" s="22"/>
      <c r="M694" s="22"/>
      <c r="N694" s="22"/>
      <c r="O694" s="22"/>
    </row>
    <row r="695" spans="1:15" x14ac:dyDescent="0.35">
      <c r="A695" s="22"/>
      <c r="B695" s="112"/>
      <c r="C695" s="113"/>
      <c r="D695" s="22"/>
      <c r="E695" s="114"/>
      <c r="F695" s="22"/>
      <c r="G695" s="22"/>
      <c r="H695" s="22"/>
      <c r="I695" s="113"/>
      <c r="J695" s="22"/>
      <c r="K695" s="22"/>
      <c r="L695" s="22"/>
      <c r="M695" s="22"/>
      <c r="N695" s="22"/>
      <c r="O695" s="22"/>
    </row>
    <row r="696" spans="1:15" x14ac:dyDescent="0.35">
      <c r="A696" s="22"/>
      <c r="B696" s="112"/>
      <c r="C696" s="113"/>
      <c r="D696" s="22"/>
      <c r="E696" s="114"/>
      <c r="F696" s="22"/>
      <c r="G696" s="22"/>
      <c r="H696" s="22"/>
      <c r="I696" s="113"/>
      <c r="J696" s="22"/>
      <c r="K696" s="22"/>
      <c r="L696" s="22"/>
      <c r="M696" s="22"/>
      <c r="N696" s="22"/>
      <c r="O696" s="22"/>
    </row>
    <row r="697" spans="1:15" x14ac:dyDescent="0.35">
      <c r="A697" s="22"/>
      <c r="B697" s="112"/>
      <c r="C697" s="113"/>
      <c r="D697" s="22"/>
      <c r="E697" s="114"/>
      <c r="F697" s="22"/>
      <c r="G697" s="22"/>
      <c r="H697" s="22"/>
      <c r="I697" s="113"/>
      <c r="J697" s="22"/>
      <c r="K697" s="22"/>
      <c r="L697" s="22"/>
      <c r="M697" s="22"/>
      <c r="N697" s="22"/>
      <c r="O697" s="22"/>
    </row>
    <row r="698" spans="1:15" x14ac:dyDescent="0.35">
      <c r="A698" s="22"/>
      <c r="B698" s="112"/>
      <c r="C698" s="113"/>
      <c r="D698" s="22"/>
      <c r="E698" s="114"/>
      <c r="F698" s="22"/>
      <c r="G698" s="22"/>
      <c r="H698" s="22"/>
      <c r="I698" s="113"/>
      <c r="J698" s="22"/>
      <c r="K698" s="22"/>
      <c r="L698" s="22"/>
      <c r="M698" s="22"/>
      <c r="N698" s="22"/>
      <c r="O698" s="22"/>
    </row>
    <row r="699" spans="1:15" x14ac:dyDescent="0.35">
      <c r="A699" s="22"/>
      <c r="B699" s="112"/>
      <c r="C699" s="113"/>
      <c r="D699" s="22"/>
      <c r="E699" s="114"/>
      <c r="F699" s="22"/>
      <c r="G699" s="22"/>
      <c r="H699" s="22"/>
      <c r="I699" s="113"/>
      <c r="J699" s="22"/>
      <c r="K699" s="22"/>
      <c r="L699" s="22"/>
      <c r="M699" s="22"/>
      <c r="N699" s="22"/>
      <c r="O699" s="22"/>
    </row>
    <row r="700" spans="1:15" x14ac:dyDescent="0.35">
      <c r="A700" s="22"/>
      <c r="B700" s="112"/>
      <c r="C700" s="113"/>
      <c r="D700" s="22"/>
      <c r="E700" s="114"/>
      <c r="F700" s="22"/>
      <c r="G700" s="22"/>
      <c r="H700" s="22"/>
      <c r="I700" s="113"/>
      <c r="J700" s="22"/>
      <c r="K700" s="22"/>
      <c r="L700" s="22"/>
      <c r="M700" s="22"/>
      <c r="N700" s="22"/>
      <c r="O700" s="22"/>
    </row>
    <row r="701" spans="1:15" x14ac:dyDescent="0.35">
      <c r="A701" s="22"/>
      <c r="B701" s="112"/>
      <c r="C701" s="113"/>
      <c r="D701" s="22"/>
      <c r="E701" s="114"/>
      <c r="F701" s="22"/>
      <c r="G701" s="22"/>
      <c r="H701" s="22"/>
      <c r="I701" s="113"/>
      <c r="J701" s="22"/>
      <c r="K701" s="22"/>
      <c r="L701" s="22"/>
      <c r="M701" s="22"/>
      <c r="N701" s="22"/>
      <c r="O701" s="22"/>
    </row>
    <row r="702" spans="1:15" x14ac:dyDescent="0.35">
      <c r="A702" s="22"/>
      <c r="B702" s="112"/>
      <c r="C702" s="113"/>
      <c r="D702" s="22"/>
      <c r="E702" s="114"/>
      <c r="F702" s="22"/>
      <c r="G702" s="22"/>
      <c r="H702" s="22"/>
      <c r="I702" s="113"/>
      <c r="J702" s="22"/>
      <c r="K702" s="22"/>
      <c r="L702" s="22"/>
      <c r="M702" s="22"/>
      <c r="N702" s="22"/>
      <c r="O702" s="22"/>
    </row>
    <row r="703" spans="1:15" x14ac:dyDescent="0.35">
      <c r="A703" s="22"/>
      <c r="B703" s="112"/>
      <c r="C703" s="113"/>
      <c r="D703" s="22"/>
      <c r="E703" s="114"/>
      <c r="F703" s="22"/>
      <c r="G703" s="22"/>
      <c r="H703" s="22"/>
      <c r="I703" s="113"/>
      <c r="J703" s="22"/>
      <c r="K703" s="22"/>
      <c r="L703" s="22"/>
      <c r="M703" s="22"/>
      <c r="N703" s="22"/>
      <c r="O703" s="22"/>
    </row>
    <row r="704" spans="1:15" x14ac:dyDescent="0.35">
      <c r="A704" s="22"/>
      <c r="B704" s="112"/>
      <c r="C704" s="113"/>
      <c r="D704" s="22"/>
      <c r="E704" s="114"/>
      <c r="F704" s="22"/>
      <c r="G704" s="22"/>
      <c r="H704" s="22"/>
      <c r="I704" s="113"/>
      <c r="J704" s="22"/>
      <c r="K704" s="22"/>
      <c r="L704" s="22"/>
      <c r="M704" s="22"/>
      <c r="N704" s="22"/>
      <c r="O704" s="22"/>
    </row>
    <row r="705" spans="1:15" x14ac:dyDescent="0.35">
      <c r="A705" s="22"/>
      <c r="B705" s="112"/>
      <c r="C705" s="113"/>
      <c r="D705" s="22"/>
      <c r="E705" s="114"/>
      <c r="F705" s="22"/>
      <c r="G705" s="22"/>
      <c r="H705" s="22"/>
      <c r="I705" s="113"/>
      <c r="J705" s="22"/>
      <c r="K705" s="22"/>
      <c r="L705" s="22"/>
      <c r="M705" s="22"/>
      <c r="N705" s="22"/>
      <c r="O705" s="22"/>
    </row>
    <row r="706" spans="1:15" x14ac:dyDescent="0.35">
      <c r="A706" s="22"/>
      <c r="B706" s="112"/>
      <c r="C706" s="113"/>
      <c r="D706" s="22"/>
      <c r="E706" s="114"/>
      <c r="F706" s="22"/>
      <c r="G706" s="22"/>
      <c r="H706" s="22"/>
      <c r="I706" s="113"/>
      <c r="J706" s="22"/>
      <c r="K706" s="22"/>
      <c r="L706" s="22"/>
      <c r="M706" s="22"/>
      <c r="N706" s="22"/>
      <c r="O706" s="22"/>
    </row>
    <row r="707" spans="1:15" x14ac:dyDescent="0.35">
      <c r="A707" s="22"/>
      <c r="B707" s="112"/>
      <c r="C707" s="113"/>
      <c r="D707" s="22"/>
      <c r="E707" s="114"/>
      <c r="F707" s="22"/>
      <c r="G707" s="22"/>
      <c r="H707" s="22"/>
      <c r="I707" s="113"/>
      <c r="J707" s="22"/>
      <c r="K707" s="22"/>
      <c r="L707" s="22"/>
      <c r="M707" s="22"/>
      <c r="N707" s="22"/>
      <c r="O707" s="22"/>
    </row>
    <row r="708" spans="1:15" x14ac:dyDescent="0.35">
      <c r="A708" s="22"/>
      <c r="B708" s="112"/>
      <c r="C708" s="113"/>
      <c r="D708" s="22"/>
      <c r="E708" s="114"/>
      <c r="F708" s="22"/>
      <c r="G708" s="22"/>
      <c r="H708" s="22"/>
      <c r="I708" s="113"/>
      <c r="J708" s="22"/>
      <c r="K708" s="22"/>
      <c r="L708" s="22"/>
      <c r="M708" s="22"/>
      <c r="N708" s="22"/>
      <c r="O708" s="22"/>
    </row>
    <row r="709" spans="1:15" x14ac:dyDescent="0.35">
      <c r="A709" s="22"/>
      <c r="B709" s="112"/>
      <c r="C709" s="113"/>
      <c r="D709" s="22"/>
      <c r="E709" s="114"/>
      <c r="F709" s="22"/>
      <c r="G709" s="22"/>
      <c r="H709" s="22"/>
      <c r="I709" s="113"/>
      <c r="J709" s="22"/>
      <c r="K709" s="22"/>
      <c r="L709" s="22"/>
      <c r="M709" s="22"/>
      <c r="N709" s="22"/>
      <c r="O709" s="22"/>
    </row>
    <row r="710" spans="1:15" x14ac:dyDescent="0.35">
      <c r="A710" s="22"/>
      <c r="B710" s="112"/>
      <c r="C710" s="113"/>
      <c r="D710" s="22"/>
      <c r="E710" s="114"/>
      <c r="F710" s="22"/>
      <c r="G710" s="22"/>
      <c r="H710" s="22"/>
      <c r="I710" s="113"/>
      <c r="J710" s="22"/>
      <c r="K710" s="22"/>
      <c r="L710" s="22"/>
      <c r="M710" s="22"/>
      <c r="N710" s="22"/>
      <c r="O710" s="22"/>
    </row>
    <row r="711" spans="1:15" x14ac:dyDescent="0.35">
      <c r="A711" s="22"/>
      <c r="B711" s="112"/>
      <c r="C711" s="113"/>
      <c r="D711" s="22"/>
      <c r="E711" s="114"/>
      <c r="F711" s="22"/>
      <c r="G711" s="22"/>
      <c r="H711" s="22"/>
      <c r="I711" s="113"/>
      <c r="J711" s="22"/>
      <c r="K711" s="22"/>
      <c r="L711" s="22"/>
      <c r="M711" s="22"/>
      <c r="N711" s="22"/>
      <c r="O711" s="22"/>
    </row>
    <row r="712" spans="1:15" x14ac:dyDescent="0.35">
      <c r="A712" s="22"/>
      <c r="B712" s="112"/>
      <c r="C712" s="113"/>
      <c r="D712" s="22"/>
      <c r="E712" s="114"/>
      <c r="F712" s="22"/>
      <c r="G712" s="22"/>
      <c r="H712" s="22"/>
      <c r="I712" s="113"/>
      <c r="J712" s="22"/>
      <c r="K712" s="22"/>
      <c r="L712" s="22"/>
      <c r="M712" s="22"/>
      <c r="N712" s="22"/>
      <c r="O712" s="22"/>
    </row>
    <row r="713" spans="1:15" x14ac:dyDescent="0.35">
      <c r="A713" s="22"/>
      <c r="B713" s="112"/>
      <c r="C713" s="113"/>
      <c r="D713" s="22"/>
      <c r="E713" s="114"/>
      <c r="F713" s="22"/>
      <c r="G713" s="22"/>
      <c r="H713" s="22"/>
      <c r="I713" s="113"/>
      <c r="J713" s="22"/>
      <c r="K713" s="22"/>
      <c r="L713" s="22"/>
      <c r="M713" s="22"/>
      <c r="N713" s="22"/>
      <c r="O713" s="22"/>
    </row>
    <row r="714" spans="1:15" x14ac:dyDescent="0.35">
      <c r="A714" s="22"/>
      <c r="B714" s="112"/>
      <c r="C714" s="113"/>
      <c r="D714" s="22"/>
      <c r="E714" s="114"/>
      <c r="F714" s="22"/>
      <c r="G714" s="22"/>
      <c r="H714" s="22"/>
      <c r="I714" s="113"/>
      <c r="J714" s="22"/>
      <c r="K714" s="22"/>
      <c r="L714" s="22"/>
      <c r="M714" s="22"/>
      <c r="N714" s="22"/>
      <c r="O714" s="22"/>
    </row>
    <row r="715" spans="1:15" x14ac:dyDescent="0.35">
      <c r="A715" s="22"/>
      <c r="B715" s="112"/>
      <c r="C715" s="113"/>
      <c r="D715" s="22"/>
      <c r="E715" s="114"/>
      <c r="F715" s="22"/>
      <c r="G715" s="22"/>
      <c r="H715" s="22"/>
      <c r="I715" s="113"/>
      <c r="J715" s="22"/>
      <c r="K715" s="22"/>
      <c r="L715" s="22"/>
      <c r="M715" s="22"/>
      <c r="N715" s="22"/>
      <c r="O715" s="22"/>
    </row>
    <row r="716" spans="1:15" x14ac:dyDescent="0.35">
      <c r="A716" s="22"/>
      <c r="B716" s="112"/>
      <c r="C716" s="113"/>
      <c r="D716" s="22"/>
      <c r="E716" s="114"/>
      <c r="F716" s="22"/>
      <c r="G716" s="22"/>
      <c r="H716" s="22"/>
      <c r="I716" s="113"/>
      <c r="J716" s="22"/>
      <c r="K716" s="22"/>
      <c r="L716" s="22"/>
      <c r="M716" s="22"/>
      <c r="N716" s="22"/>
      <c r="O716" s="22"/>
    </row>
    <row r="717" spans="1:15" x14ac:dyDescent="0.35">
      <c r="A717" s="22"/>
      <c r="B717" s="112"/>
      <c r="C717" s="113"/>
      <c r="D717" s="22"/>
      <c r="E717" s="114"/>
      <c r="F717" s="22"/>
      <c r="G717" s="22"/>
      <c r="H717" s="22"/>
      <c r="I717" s="113"/>
      <c r="J717" s="22"/>
      <c r="K717" s="22"/>
      <c r="L717" s="22"/>
      <c r="M717" s="22"/>
      <c r="N717" s="22"/>
      <c r="O717" s="22"/>
    </row>
    <row r="718" spans="1:15" x14ac:dyDescent="0.35">
      <c r="A718" s="22"/>
      <c r="B718" s="112"/>
      <c r="C718" s="113"/>
      <c r="D718" s="22"/>
      <c r="E718" s="114"/>
      <c r="F718" s="22"/>
      <c r="G718" s="22"/>
      <c r="H718" s="22"/>
      <c r="I718" s="113"/>
      <c r="J718" s="22"/>
      <c r="K718" s="22"/>
      <c r="L718" s="22"/>
      <c r="M718" s="22"/>
      <c r="N718" s="22"/>
      <c r="O718" s="22"/>
    </row>
    <row r="719" spans="1:15" x14ac:dyDescent="0.35">
      <c r="A719" s="22"/>
      <c r="B719" s="112"/>
      <c r="C719" s="113"/>
      <c r="D719" s="22"/>
      <c r="E719" s="114"/>
      <c r="F719" s="22"/>
      <c r="G719" s="22"/>
      <c r="H719" s="22"/>
      <c r="I719" s="113"/>
      <c r="J719" s="22"/>
      <c r="K719" s="22"/>
      <c r="L719" s="22"/>
      <c r="M719" s="22"/>
      <c r="N719" s="22"/>
      <c r="O719" s="22"/>
    </row>
    <row r="720" spans="1:15" x14ac:dyDescent="0.35">
      <c r="A720" s="22"/>
      <c r="B720" s="112"/>
      <c r="C720" s="113"/>
      <c r="D720" s="22"/>
      <c r="E720" s="114"/>
      <c r="F720" s="22"/>
      <c r="G720" s="22"/>
      <c r="H720" s="22"/>
      <c r="I720" s="113"/>
      <c r="J720" s="22"/>
      <c r="K720" s="22"/>
      <c r="L720" s="22"/>
      <c r="M720" s="22"/>
      <c r="N720" s="22"/>
      <c r="O720" s="22"/>
    </row>
    <row r="721" spans="1:15" x14ac:dyDescent="0.35">
      <c r="A721" s="22"/>
      <c r="B721" s="112"/>
      <c r="C721" s="113"/>
      <c r="D721" s="22"/>
      <c r="E721" s="114"/>
      <c r="F721" s="22"/>
      <c r="G721" s="22"/>
      <c r="H721" s="22"/>
      <c r="I721" s="113"/>
      <c r="J721" s="22"/>
      <c r="K721" s="22"/>
      <c r="L721" s="22"/>
      <c r="M721" s="22"/>
      <c r="N721" s="22"/>
      <c r="O721" s="22"/>
    </row>
    <row r="722" spans="1:15" x14ac:dyDescent="0.35">
      <c r="A722" s="22"/>
      <c r="B722" s="112"/>
      <c r="C722" s="113"/>
      <c r="D722" s="22"/>
      <c r="E722" s="114"/>
      <c r="F722" s="22"/>
      <c r="G722" s="22"/>
      <c r="H722" s="22"/>
      <c r="I722" s="113"/>
      <c r="J722" s="22"/>
      <c r="K722" s="22"/>
      <c r="L722" s="22"/>
      <c r="M722" s="22"/>
      <c r="N722" s="22"/>
      <c r="O722" s="22"/>
    </row>
    <row r="723" spans="1:15" x14ac:dyDescent="0.35">
      <c r="A723" s="22"/>
      <c r="B723" s="112"/>
      <c r="C723" s="113"/>
      <c r="D723" s="22"/>
      <c r="E723" s="114"/>
      <c r="F723" s="22"/>
      <c r="G723" s="22"/>
      <c r="H723" s="22"/>
      <c r="I723" s="113"/>
      <c r="J723" s="22"/>
      <c r="K723" s="22"/>
      <c r="L723" s="22"/>
      <c r="M723" s="22"/>
      <c r="N723" s="22"/>
      <c r="O723" s="22"/>
    </row>
    <row r="724" spans="1:15" x14ac:dyDescent="0.35">
      <c r="A724" s="22"/>
      <c r="B724" s="112"/>
      <c r="C724" s="113"/>
      <c r="D724" s="22"/>
      <c r="E724" s="114"/>
      <c r="F724" s="22"/>
      <c r="G724" s="22"/>
      <c r="H724" s="22"/>
      <c r="I724" s="113"/>
      <c r="J724" s="22"/>
      <c r="K724" s="22"/>
      <c r="L724" s="22"/>
      <c r="M724" s="22"/>
      <c r="N724" s="22"/>
      <c r="O724" s="22"/>
    </row>
    <row r="725" spans="1:15" x14ac:dyDescent="0.35">
      <c r="A725" s="22"/>
      <c r="B725" s="112"/>
      <c r="C725" s="113"/>
      <c r="D725" s="22"/>
      <c r="E725" s="114"/>
      <c r="F725" s="22"/>
      <c r="G725" s="22"/>
      <c r="H725" s="22"/>
      <c r="I725" s="113"/>
      <c r="J725" s="22"/>
      <c r="K725" s="22"/>
      <c r="L725" s="22"/>
      <c r="M725" s="22"/>
      <c r="N725" s="22"/>
      <c r="O725" s="22"/>
    </row>
    <row r="726" spans="1:15" x14ac:dyDescent="0.35">
      <c r="A726" s="22"/>
      <c r="B726" s="112"/>
      <c r="C726" s="113"/>
      <c r="D726" s="22"/>
      <c r="E726" s="114"/>
      <c r="F726" s="22"/>
      <c r="G726" s="22"/>
      <c r="H726" s="22"/>
      <c r="I726" s="113"/>
      <c r="J726" s="22"/>
      <c r="K726" s="22"/>
      <c r="L726" s="22"/>
      <c r="M726" s="22"/>
      <c r="N726" s="22"/>
      <c r="O726" s="22"/>
    </row>
    <row r="727" spans="1:15" x14ac:dyDescent="0.35">
      <c r="A727" s="22"/>
      <c r="B727" s="112"/>
      <c r="C727" s="113"/>
      <c r="D727" s="22"/>
      <c r="E727" s="114"/>
      <c r="F727" s="22"/>
      <c r="G727" s="22"/>
      <c r="H727" s="22"/>
      <c r="I727" s="113"/>
      <c r="J727" s="22"/>
      <c r="K727" s="22"/>
      <c r="L727" s="22"/>
      <c r="M727" s="22"/>
      <c r="N727" s="22"/>
      <c r="O727" s="22"/>
    </row>
    <row r="728" spans="1:15" x14ac:dyDescent="0.35">
      <c r="A728" s="22"/>
      <c r="B728" s="112"/>
      <c r="C728" s="113"/>
      <c r="D728" s="22"/>
      <c r="E728" s="114"/>
      <c r="F728" s="22"/>
      <c r="G728" s="22"/>
      <c r="H728" s="22"/>
      <c r="I728" s="113"/>
      <c r="J728" s="22"/>
      <c r="K728" s="22"/>
      <c r="L728" s="22"/>
      <c r="M728" s="22"/>
      <c r="N728" s="22"/>
      <c r="O728" s="22"/>
    </row>
    <row r="729" spans="1:15" x14ac:dyDescent="0.35">
      <c r="A729" s="22"/>
      <c r="B729" s="112"/>
      <c r="C729" s="113"/>
      <c r="D729" s="22"/>
      <c r="E729" s="114"/>
      <c r="F729" s="22"/>
      <c r="G729" s="22"/>
      <c r="H729" s="22"/>
      <c r="I729" s="113"/>
      <c r="J729" s="22"/>
      <c r="K729" s="22"/>
      <c r="L729" s="22"/>
      <c r="M729" s="22"/>
      <c r="N729" s="22"/>
      <c r="O729" s="22"/>
    </row>
    <row r="730" spans="1:15" x14ac:dyDescent="0.35">
      <c r="A730" s="22"/>
      <c r="B730" s="112"/>
      <c r="C730" s="113"/>
      <c r="D730" s="22"/>
      <c r="E730" s="114"/>
      <c r="F730" s="22"/>
      <c r="G730" s="22"/>
      <c r="H730" s="22"/>
      <c r="I730" s="113"/>
      <c r="J730" s="22"/>
      <c r="K730" s="22"/>
      <c r="L730" s="22"/>
      <c r="M730" s="22"/>
      <c r="N730" s="22"/>
      <c r="O730" s="22"/>
    </row>
    <row r="731" spans="1:15" x14ac:dyDescent="0.35">
      <c r="A731" s="22"/>
      <c r="B731" s="112"/>
      <c r="C731" s="113"/>
      <c r="D731" s="22"/>
      <c r="E731" s="114"/>
      <c r="F731" s="22"/>
      <c r="G731" s="22"/>
      <c r="H731" s="22"/>
      <c r="I731" s="113"/>
      <c r="J731" s="22"/>
      <c r="K731" s="22"/>
      <c r="L731" s="22"/>
      <c r="M731" s="22"/>
      <c r="N731" s="22"/>
      <c r="O731" s="22"/>
    </row>
    <row r="732" spans="1:15" x14ac:dyDescent="0.35">
      <c r="A732" s="22"/>
      <c r="B732" s="112"/>
      <c r="C732" s="113"/>
      <c r="D732" s="22"/>
      <c r="E732" s="114"/>
      <c r="F732" s="22"/>
      <c r="G732" s="22"/>
      <c r="H732" s="22"/>
      <c r="I732" s="113"/>
      <c r="J732" s="22"/>
      <c r="K732" s="22"/>
      <c r="L732" s="22"/>
      <c r="M732" s="22"/>
      <c r="N732" s="22"/>
      <c r="O732" s="22"/>
    </row>
    <row r="733" spans="1:15" x14ac:dyDescent="0.35">
      <c r="A733" s="22"/>
      <c r="B733" s="112"/>
      <c r="C733" s="113"/>
      <c r="D733" s="22"/>
      <c r="E733" s="114"/>
      <c r="F733" s="22"/>
      <c r="G733" s="22"/>
      <c r="H733" s="22"/>
      <c r="I733" s="113"/>
      <c r="J733" s="22"/>
      <c r="K733" s="22"/>
      <c r="L733" s="22"/>
      <c r="M733" s="22"/>
      <c r="N733" s="22"/>
      <c r="O733" s="22"/>
    </row>
    <row r="734" spans="1:15" x14ac:dyDescent="0.35">
      <c r="A734" s="22"/>
      <c r="B734" s="112"/>
      <c r="C734" s="113"/>
      <c r="D734" s="22"/>
      <c r="E734" s="114"/>
      <c r="F734" s="22"/>
      <c r="G734" s="22"/>
      <c r="H734" s="22"/>
      <c r="I734" s="113"/>
      <c r="J734" s="22"/>
      <c r="K734" s="22"/>
      <c r="L734" s="22"/>
      <c r="M734" s="22"/>
      <c r="N734" s="22"/>
      <c r="O734" s="22"/>
    </row>
    <row r="735" spans="1:15" x14ac:dyDescent="0.35">
      <c r="A735" s="22"/>
      <c r="B735" s="112"/>
      <c r="C735" s="113"/>
      <c r="D735" s="22"/>
      <c r="E735" s="114"/>
      <c r="F735" s="22"/>
      <c r="G735" s="22"/>
      <c r="H735" s="22"/>
      <c r="I735" s="113"/>
      <c r="J735" s="22"/>
      <c r="K735" s="22"/>
      <c r="L735" s="22"/>
      <c r="M735" s="22"/>
      <c r="N735" s="22"/>
      <c r="O735" s="22"/>
    </row>
    <row r="736" spans="1:15" x14ac:dyDescent="0.35">
      <c r="A736" s="22"/>
      <c r="B736" s="112"/>
      <c r="C736" s="113"/>
      <c r="D736" s="22"/>
      <c r="E736" s="114"/>
      <c r="F736" s="22"/>
      <c r="G736" s="22"/>
      <c r="H736" s="22"/>
      <c r="I736" s="113"/>
      <c r="J736" s="22"/>
      <c r="K736" s="22"/>
      <c r="L736" s="22"/>
      <c r="M736" s="22"/>
      <c r="N736" s="22"/>
      <c r="O736" s="22"/>
    </row>
    <row r="737" spans="1:15" x14ac:dyDescent="0.35">
      <c r="A737" s="22"/>
      <c r="B737" s="112"/>
      <c r="C737" s="113"/>
      <c r="D737" s="22"/>
      <c r="E737" s="114"/>
      <c r="F737" s="22"/>
      <c r="G737" s="22"/>
      <c r="H737" s="22"/>
      <c r="I737" s="113"/>
      <c r="J737" s="22"/>
      <c r="K737" s="22"/>
      <c r="L737" s="22"/>
      <c r="M737" s="22"/>
      <c r="N737" s="22"/>
      <c r="O737" s="22"/>
    </row>
    <row r="738" spans="1:15" x14ac:dyDescent="0.35">
      <c r="A738" s="22"/>
      <c r="B738" s="112"/>
      <c r="C738" s="113"/>
      <c r="D738" s="22"/>
      <c r="E738" s="114"/>
      <c r="F738" s="22"/>
      <c r="G738" s="22"/>
      <c r="H738" s="22"/>
      <c r="I738" s="113"/>
      <c r="J738" s="22"/>
      <c r="K738" s="22"/>
      <c r="L738" s="22"/>
      <c r="M738" s="22"/>
      <c r="N738" s="22"/>
      <c r="O738" s="22"/>
    </row>
    <row r="739" spans="1:15" x14ac:dyDescent="0.35">
      <c r="A739" s="22"/>
      <c r="B739" s="112"/>
      <c r="C739" s="113"/>
      <c r="D739" s="22"/>
      <c r="E739" s="114"/>
      <c r="F739" s="22"/>
      <c r="G739" s="22"/>
      <c r="H739" s="22"/>
      <c r="I739" s="113"/>
      <c r="J739" s="22"/>
      <c r="K739" s="22"/>
      <c r="L739" s="22"/>
      <c r="M739" s="22"/>
      <c r="N739" s="22"/>
      <c r="O739" s="22"/>
    </row>
    <row r="740" spans="1:15" x14ac:dyDescent="0.35">
      <c r="A740" s="22"/>
      <c r="B740" s="112"/>
      <c r="C740" s="113"/>
      <c r="D740" s="22"/>
      <c r="E740" s="114"/>
      <c r="F740" s="22"/>
      <c r="G740" s="22"/>
      <c r="H740" s="22"/>
      <c r="I740" s="113"/>
      <c r="J740" s="22"/>
      <c r="K740" s="22"/>
      <c r="L740" s="22"/>
      <c r="M740" s="22"/>
      <c r="N740" s="22"/>
      <c r="O740" s="22"/>
    </row>
    <row r="741" spans="1:15" x14ac:dyDescent="0.35">
      <c r="A741" s="22"/>
      <c r="B741" s="112"/>
      <c r="C741" s="113"/>
      <c r="D741" s="22"/>
      <c r="E741" s="114"/>
      <c r="F741" s="22"/>
      <c r="G741" s="22"/>
      <c r="H741" s="22"/>
      <c r="I741" s="113"/>
      <c r="J741" s="22"/>
      <c r="K741" s="22"/>
      <c r="L741" s="22"/>
      <c r="M741" s="22"/>
      <c r="N741" s="22"/>
      <c r="O741" s="22"/>
    </row>
    <row r="742" spans="1:15" x14ac:dyDescent="0.35">
      <c r="A742" s="22"/>
      <c r="B742" s="112"/>
      <c r="C742" s="113"/>
      <c r="D742" s="22"/>
      <c r="E742" s="114"/>
      <c r="F742" s="22"/>
      <c r="G742" s="22"/>
      <c r="H742" s="22"/>
      <c r="I742" s="113"/>
      <c r="J742" s="22"/>
      <c r="K742" s="22"/>
      <c r="L742" s="22"/>
      <c r="M742" s="22"/>
      <c r="N742" s="22"/>
      <c r="O742" s="22"/>
    </row>
    <row r="743" spans="1:15" x14ac:dyDescent="0.35">
      <c r="A743" s="22"/>
      <c r="B743" s="112"/>
      <c r="C743" s="113"/>
      <c r="D743" s="22"/>
      <c r="E743" s="114"/>
      <c r="F743" s="22"/>
      <c r="G743" s="22"/>
      <c r="H743" s="22"/>
      <c r="I743" s="113"/>
      <c r="J743" s="22"/>
      <c r="K743" s="22"/>
      <c r="L743" s="22"/>
      <c r="M743" s="22"/>
      <c r="N743" s="22"/>
      <c r="O743" s="22"/>
    </row>
    <row r="744" spans="1:15" x14ac:dyDescent="0.35">
      <c r="A744" s="22"/>
      <c r="B744" s="112"/>
      <c r="C744" s="113"/>
      <c r="D744" s="22"/>
      <c r="E744" s="114"/>
      <c r="F744" s="22"/>
      <c r="G744" s="22"/>
      <c r="H744" s="22"/>
      <c r="I744" s="113"/>
      <c r="J744" s="22"/>
      <c r="K744" s="22"/>
      <c r="L744" s="22"/>
      <c r="M744" s="22"/>
      <c r="N744" s="22"/>
      <c r="O744" s="22"/>
    </row>
    <row r="745" spans="1:15" x14ac:dyDescent="0.35">
      <c r="A745" s="22"/>
      <c r="B745" s="112"/>
      <c r="C745" s="113"/>
      <c r="D745" s="22"/>
      <c r="E745" s="114"/>
      <c r="F745" s="22"/>
      <c r="G745" s="22"/>
      <c r="H745" s="22"/>
      <c r="I745" s="113"/>
      <c r="J745" s="22"/>
      <c r="K745" s="22"/>
      <c r="L745" s="22"/>
      <c r="M745" s="22"/>
      <c r="N745" s="22"/>
      <c r="O745" s="22"/>
    </row>
    <row r="746" spans="1:15" x14ac:dyDescent="0.35">
      <c r="A746" s="22"/>
      <c r="B746" s="112"/>
      <c r="C746" s="113"/>
      <c r="D746" s="22"/>
      <c r="E746" s="114"/>
      <c r="F746" s="22"/>
      <c r="G746" s="22"/>
      <c r="H746" s="22"/>
      <c r="I746" s="113"/>
      <c r="J746" s="22"/>
      <c r="K746" s="22"/>
      <c r="L746" s="22"/>
      <c r="M746" s="22"/>
      <c r="N746" s="22"/>
      <c r="O746" s="22"/>
    </row>
    <row r="747" spans="1:15" x14ac:dyDescent="0.35">
      <c r="A747" s="22"/>
      <c r="B747" s="112"/>
      <c r="C747" s="113"/>
      <c r="D747" s="22"/>
      <c r="E747" s="114"/>
      <c r="F747" s="22"/>
      <c r="G747" s="22"/>
      <c r="H747" s="22"/>
      <c r="I747" s="113"/>
      <c r="J747" s="22"/>
      <c r="K747" s="22"/>
      <c r="L747" s="22"/>
      <c r="M747" s="22"/>
      <c r="N747" s="22"/>
      <c r="O747" s="22"/>
    </row>
    <row r="748" spans="1:15" x14ac:dyDescent="0.35">
      <c r="A748" s="22"/>
      <c r="B748" s="112"/>
      <c r="C748" s="113"/>
      <c r="D748" s="22"/>
      <c r="E748" s="114"/>
      <c r="F748" s="22"/>
      <c r="G748" s="22"/>
      <c r="H748" s="22"/>
      <c r="I748" s="113"/>
      <c r="J748" s="22"/>
      <c r="K748" s="22"/>
      <c r="L748" s="22"/>
      <c r="M748" s="22"/>
      <c r="N748" s="22"/>
      <c r="O748" s="22"/>
    </row>
    <row r="749" spans="1:15" x14ac:dyDescent="0.35">
      <c r="A749" s="22"/>
      <c r="B749" s="112"/>
      <c r="C749" s="113"/>
      <c r="D749" s="22"/>
      <c r="E749" s="114"/>
      <c r="F749" s="22"/>
      <c r="G749" s="22"/>
      <c r="H749" s="22"/>
      <c r="I749" s="113"/>
      <c r="J749" s="22"/>
      <c r="K749" s="22"/>
      <c r="L749" s="22"/>
      <c r="M749" s="22"/>
      <c r="N749" s="22"/>
      <c r="O749" s="22"/>
    </row>
    <row r="750" spans="1:15" x14ac:dyDescent="0.35">
      <c r="A750" s="22"/>
      <c r="B750" s="112"/>
      <c r="C750" s="113"/>
      <c r="D750" s="22"/>
      <c r="E750" s="114"/>
      <c r="F750" s="22"/>
      <c r="G750" s="22"/>
      <c r="H750" s="22"/>
      <c r="I750" s="113"/>
      <c r="J750" s="22"/>
      <c r="K750" s="22"/>
      <c r="L750" s="22"/>
      <c r="M750" s="22"/>
      <c r="N750" s="22"/>
      <c r="O750" s="22"/>
    </row>
    <row r="751" spans="1:15" x14ac:dyDescent="0.35">
      <c r="A751" s="22"/>
      <c r="B751" s="112"/>
      <c r="C751" s="113"/>
      <c r="D751" s="22"/>
      <c r="E751" s="114"/>
      <c r="F751" s="22"/>
      <c r="G751" s="22"/>
      <c r="H751" s="22"/>
      <c r="I751" s="113"/>
      <c r="J751" s="22"/>
      <c r="K751" s="22"/>
      <c r="L751" s="22"/>
      <c r="M751" s="22"/>
      <c r="N751" s="22"/>
      <c r="O751" s="22"/>
    </row>
  </sheetData>
  <sheetProtection sheet="1" objects="1" insertRows="0"/>
  <mergeCells count="11">
    <mergeCell ref="J9:O9"/>
    <mergeCell ref="F10:I10"/>
    <mergeCell ref="A686:O688"/>
    <mergeCell ref="A10:A12"/>
    <mergeCell ref="E10:E12"/>
    <mergeCell ref="B10:D11"/>
    <mergeCell ref="F11:G11"/>
    <mergeCell ref="H11:H12"/>
    <mergeCell ref="I11:I12"/>
    <mergeCell ref="J10:L11"/>
    <mergeCell ref="M10:O11"/>
  </mergeCells>
  <phoneticPr fontId="47" type="noConversion"/>
  <conditionalFormatting sqref="D13:D685">
    <cfRule type="containsBlanks" dxfId="2" priority="5">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 id="{BBA5300A-0B80-4FC7-9B79-92EFEF1ED41C}">
            <xm:f>INDEX('DEQ Pollutant List'!D:D,MATCH(C13,'DEQ Pollutant List'!C:C,0))="Y"</xm:f>
            <x14:dxf>
              <fill>
                <patternFill>
                  <bgColor rgb="FFFFE05D"/>
                </patternFill>
              </fill>
            </x14:dxf>
          </x14:cfRule>
          <xm:sqref>C13:C267 C269:C685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B269:B685 B13:B267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81" t="s">
        <v>1082</v>
      </c>
      <c r="B10" s="282"/>
      <c r="C10" s="282"/>
      <c r="D10" s="283"/>
      <c r="E10" s="234" t="s">
        <v>1087</v>
      </c>
      <c r="F10" s="235"/>
      <c r="G10" s="285" t="s">
        <v>1084</v>
      </c>
      <c r="H10" s="285"/>
      <c r="I10" s="285"/>
      <c r="J10" s="285"/>
      <c r="K10" s="285"/>
      <c r="L10" s="286"/>
      <c r="M10" s="284" t="s">
        <v>1085</v>
      </c>
      <c r="N10" s="285"/>
      <c r="O10" s="285"/>
      <c r="P10" s="285"/>
      <c r="Q10" s="285"/>
      <c r="R10" s="286"/>
    </row>
    <row r="11" spans="1:18" ht="20.149999999999999" customHeight="1" thickBot="1" x14ac:dyDescent="0.4">
      <c r="A11" s="279" t="s">
        <v>1185</v>
      </c>
      <c r="B11" s="259" t="s">
        <v>1080</v>
      </c>
      <c r="C11" s="289" t="s">
        <v>1103</v>
      </c>
      <c r="D11" s="287" t="s">
        <v>1081</v>
      </c>
      <c r="E11" s="232" t="s">
        <v>11</v>
      </c>
      <c r="F11" s="225" t="s">
        <v>1086</v>
      </c>
      <c r="G11" s="230" t="s">
        <v>1155</v>
      </c>
      <c r="H11" s="230"/>
      <c r="I11" s="231"/>
      <c r="J11" s="215" t="s">
        <v>1198</v>
      </c>
      <c r="K11" s="216"/>
      <c r="L11" s="217"/>
      <c r="M11" s="229" t="s">
        <v>1155</v>
      </c>
      <c r="N11" s="230"/>
      <c r="O11" s="231"/>
      <c r="P11" s="215" t="s">
        <v>1198</v>
      </c>
      <c r="Q11" s="216"/>
      <c r="R11" s="217"/>
    </row>
    <row r="12" spans="1:18" ht="45" customHeight="1" thickBot="1" x14ac:dyDescent="0.4">
      <c r="A12" s="280"/>
      <c r="B12" s="261"/>
      <c r="C12" s="290"/>
      <c r="D12" s="288"/>
      <c r="E12" s="233"/>
      <c r="F12" s="22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c r="B16" s="133"/>
      <c r="C16" s="81"/>
      <c r="D16" s="84"/>
      <c r="E16" s="82"/>
      <c r="F16" s="83"/>
      <c r="G16" s="82"/>
      <c r="H16" s="134"/>
      <c r="I16" s="83"/>
      <c r="J16" s="82"/>
      <c r="K16" s="134"/>
      <c r="L16" s="83"/>
      <c r="M16" s="82"/>
      <c r="N16" s="134"/>
      <c r="O16" s="83"/>
      <c r="P16" s="82"/>
      <c r="Q16" s="134"/>
      <c r="R16" s="83"/>
    </row>
    <row r="17" spans="1:18" x14ac:dyDescent="0.35">
      <c r="A17" s="79"/>
      <c r="B17" s="133"/>
      <c r="C17" s="81"/>
      <c r="D17" s="84"/>
      <c r="E17" s="82"/>
      <c r="F17" s="83"/>
      <c r="G17" s="82"/>
      <c r="H17" s="134"/>
      <c r="I17" s="83"/>
      <c r="J17" s="82"/>
      <c r="K17" s="134"/>
      <c r="L17" s="83"/>
      <c r="M17" s="82"/>
      <c r="N17" s="134"/>
      <c r="O17" s="83"/>
      <c r="P17" s="82"/>
      <c r="Q17" s="134"/>
      <c r="R17" s="83"/>
    </row>
    <row r="18" spans="1:18" x14ac:dyDescent="0.35">
      <c r="A18" s="79"/>
      <c r="B18" s="133"/>
      <c r="C18" s="81"/>
      <c r="D18" s="84"/>
      <c r="E18" s="82"/>
      <c r="F18" s="83"/>
      <c r="G18" s="82"/>
      <c r="H18" s="134"/>
      <c r="I18" s="83"/>
      <c r="J18" s="82"/>
      <c r="K18" s="134"/>
      <c r="L18" s="83"/>
      <c r="M18" s="82"/>
      <c r="N18" s="134"/>
      <c r="O18" s="83"/>
      <c r="P18" s="82"/>
      <c r="Q18" s="134"/>
      <c r="R18" s="83"/>
    </row>
    <row r="19" spans="1:18" x14ac:dyDescent="0.35">
      <c r="A19" s="79"/>
      <c r="B19" s="133"/>
      <c r="C19" s="81"/>
      <c r="D19" s="84"/>
      <c r="E19" s="82"/>
      <c r="F19" s="83"/>
      <c r="G19" s="82"/>
      <c r="H19" s="134"/>
      <c r="I19" s="83"/>
      <c r="J19" s="82"/>
      <c r="K19" s="134"/>
      <c r="L19" s="83"/>
      <c r="M19" s="82"/>
      <c r="N19" s="134"/>
      <c r="O19" s="83"/>
      <c r="P19" s="82"/>
      <c r="Q19" s="134"/>
      <c r="R19" s="83"/>
    </row>
    <row r="20" spans="1:18" x14ac:dyDescent="0.35">
      <c r="A20" s="79"/>
      <c r="B20" s="133"/>
      <c r="C20" s="81"/>
      <c r="D20" s="84"/>
      <c r="E20" s="82"/>
      <c r="F20" s="83"/>
      <c r="G20" s="82"/>
      <c r="H20" s="134"/>
      <c r="I20" s="83"/>
      <c r="J20" s="82"/>
      <c r="K20" s="134"/>
      <c r="L20" s="83"/>
      <c r="M20" s="82"/>
      <c r="N20" s="134"/>
      <c r="O20" s="83"/>
      <c r="P20" s="82"/>
      <c r="Q20" s="134"/>
      <c r="R20" s="83"/>
    </row>
    <row r="21" spans="1:18" x14ac:dyDescent="0.35">
      <c r="A21" s="79"/>
      <c r="B21" s="133"/>
      <c r="C21" s="81"/>
      <c r="D21" s="84"/>
      <c r="E21" s="82"/>
      <c r="F21" s="83"/>
      <c r="G21" s="82"/>
      <c r="H21" s="134"/>
      <c r="I21" s="83"/>
      <c r="J21" s="82"/>
      <c r="K21" s="134"/>
      <c r="L21" s="83"/>
      <c r="M21" s="82"/>
      <c r="N21" s="134"/>
      <c r="O21" s="83"/>
      <c r="P21" s="82"/>
      <c r="Q21" s="134"/>
      <c r="R21" s="83"/>
    </row>
    <row r="22" spans="1:18" x14ac:dyDescent="0.35">
      <c r="A22" s="79"/>
      <c r="B22" s="133"/>
      <c r="C22" s="81"/>
      <c r="D22" s="84"/>
      <c r="E22" s="82"/>
      <c r="F22" s="83"/>
      <c r="G22" s="82"/>
      <c r="H22" s="134"/>
      <c r="I22" s="83"/>
      <c r="J22" s="82"/>
      <c r="K22" s="134"/>
      <c r="L22" s="83"/>
      <c r="M22" s="82"/>
      <c r="N22" s="134"/>
      <c r="O22" s="83"/>
      <c r="P22" s="82"/>
      <c r="Q22" s="134"/>
      <c r="R22" s="83"/>
    </row>
    <row r="23" spans="1:18" x14ac:dyDescent="0.35">
      <c r="A23" s="79"/>
      <c r="B23" s="133"/>
      <c r="C23" s="81"/>
      <c r="D23" s="84"/>
      <c r="E23" s="82"/>
      <c r="F23" s="83"/>
      <c r="G23" s="82"/>
      <c r="H23" s="134"/>
      <c r="I23" s="83"/>
      <c r="J23" s="82"/>
      <c r="K23" s="134"/>
      <c r="L23" s="83"/>
      <c r="M23" s="82"/>
      <c r="N23" s="134"/>
      <c r="O23" s="83"/>
      <c r="P23" s="82"/>
      <c r="Q23" s="134"/>
      <c r="R23" s="83"/>
    </row>
    <row r="24" spans="1:18" x14ac:dyDescent="0.35">
      <c r="A24" s="79"/>
      <c r="B24" s="133"/>
      <c r="C24" s="81"/>
      <c r="D24" s="84"/>
      <c r="E24" s="82"/>
      <c r="F24" s="83"/>
      <c r="G24" s="82"/>
      <c r="H24" s="134"/>
      <c r="I24" s="83"/>
      <c r="J24" s="82"/>
      <c r="K24" s="134"/>
      <c r="L24" s="83"/>
      <c r="M24" s="82"/>
      <c r="N24" s="134"/>
      <c r="O24" s="83"/>
      <c r="P24" s="82"/>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38" t="s">
        <v>1194</v>
      </c>
      <c r="J9" s="239"/>
      <c r="K9" s="239"/>
      <c r="L9" s="239"/>
      <c r="M9" s="239"/>
      <c r="N9" s="240"/>
    </row>
    <row r="10" spans="1:14" ht="18" thickBot="1" x14ac:dyDescent="0.4">
      <c r="A10" s="253" t="s">
        <v>1185</v>
      </c>
      <c r="B10" s="292" t="s">
        <v>1103</v>
      </c>
      <c r="C10" s="294" t="s">
        <v>1083</v>
      </c>
      <c r="D10" s="295"/>
      <c r="E10" s="296"/>
      <c r="F10" s="263" t="s">
        <v>1201</v>
      </c>
      <c r="G10" s="264"/>
      <c r="H10" s="291"/>
      <c r="I10" s="229" t="s">
        <v>1193</v>
      </c>
      <c r="J10" s="230"/>
      <c r="K10" s="231"/>
      <c r="L10" s="215" t="s">
        <v>1153</v>
      </c>
      <c r="M10" s="216"/>
      <c r="N10" s="217"/>
    </row>
    <row r="11" spans="1:14" ht="20.149999999999999" customHeight="1" thickBot="1" x14ac:dyDescent="0.4">
      <c r="A11" s="255"/>
      <c r="B11" s="29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3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3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3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3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3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3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44" t="s">
        <v>1138</v>
      </c>
      <c r="B501" s="245"/>
      <c r="C501" s="245"/>
      <c r="D501" s="245"/>
      <c r="E501" s="245"/>
      <c r="F501" s="245"/>
      <c r="G501" s="245"/>
      <c r="H501" s="245"/>
      <c r="I501" s="245"/>
      <c r="J501" s="245"/>
      <c r="K501" s="245"/>
      <c r="L501" s="245"/>
      <c r="M501" s="245"/>
      <c r="N501" s="245"/>
    </row>
    <row r="502" spans="1:14" x14ac:dyDescent="0.35">
      <c r="A502" s="247"/>
      <c r="B502" s="248"/>
      <c r="C502" s="248"/>
      <c r="D502" s="248"/>
      <c r="E502" s="248"/>
      <c r="F502" s="248"/>
      <c r="G502" s="248"/>
      <c r="H502" s="248"/>
      <c r="I502" s="248"/>
      <c r="J502" s="248"/>
      <c r="K502" s="248"/>
      <c r="L502" s="248"/>
      <c r="M502" s="248"/>
      <c r="N502" s="248"/>
    </row>
    <row r="503" spans="1:14" ht="15" thickBot="1" x14ac:dyDescent="0.4">
      <c r="A503" s="250"/>
      <c r="B503" s="251"/>
      <c r="C503" s="251"/>
      <c r="D503" s="251"/>
      <c r="E503" s="251"/>
      <c r="F503" s="251"/>
      <c r="G503" s="251"/>
      <c r="H503" s="251"/>
      <c r="I503" s="251"/>
      <c r="J503" s="251"/>
      <c r="K503" s="251"/>
      <c r="L503" s="251"/>
      <c r="M503" s="251"/>
      <c r="N503" s="25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40" workbookViewId="0">
      <selection activeCell="B172" sqref="B172:C172"/>
    </sheetView>
  </sheetViews>
  <sheetFormatPr defaultColWidth="8.7265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72656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b161f5c-2fea-4d23-b13d-30421616d8c4">
      <Terms xmlns="http://schemas.microsoft.com/office/infopath/2007/PartnerControls"/>
    </lcf76f155ced4ddcb4097134ff3c332f>
    <TaxCatchAll xmlns="bf37bb64-b1c2-4610-887e-88a5c96b37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588992B2FA8E4EBA0D24D6E447A7FB" ma:contentTypeVersion="13" ma:contentTypeDescription="Create a new document." ma:contentTypeScope="" ma:versionID="7c2b6b5b02da84b64c44344d34b026ac">
  <xsd:schema xmlns:xsd="http://www.w3.org/2001/XMLSchema" xmlns:xs="http://www.w3.org/2001/XMLSchema" xmlns:p="http://schemas.microsoft.com/office/2006/metadata/properties" xmlns:ns2="9b161f5c-2fea-4d23-b13d-30421616d8c4" xmlns:ns3="bf37bb64-b1c2-4610-887e-88a5c96b3737" targetNamespace="http://schemas.microsoft.com/office/2006/metadata/properties" ma:root="true" ma:fieldsID="688057c53f457cb1fad4749d00179564" ns2:_="" ns3:_="">
    <xsd:import namespace="9b161f5c-2fea-4d23-b13d-30421616d8c4"/>
    <xsd:import namespace="bf37bb64-b1c2-4610-887e-88a5c96b373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161f5c-2fea-4d23-b13d-30421616d8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aac244c-09f3-41c0-a84d-da3aec2a982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37bb64-b1c2-4610-887e-88a5c96b373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7df74d0-d54c-452c-961d-d37f8af55e3f}" ma:internalName="TaxCatchAll" ma:showField="CatchAllData" ma:web="bf37bb64-b1c2-4610-887e-88a5c96b37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purl.org/dc/terms/"/>
    <ds:schemaRef ds:uri="http://purl.org/dc/dcmitype/"/>
    <ds:schemaRef ds:uri="http://schemas.microsoft.com/office/2006/documentManagement/types"/>
    <ds:schemaRef ds:uri="http://purl.org/dc/elements/1.1/"/>
    <ds:schemaRef ds:uri="bf37bb64-b1c2-4610-887e-88a5c96b3737"/>
    <ds:schemaRef ds:uri="http://schemas.microsoft.com/office/infopath/2007/PartnerControls"/>
    <ds:schemaRef ds:uri="http://schemas.openxmlformats.org/package/2006/metadata/core-properties"/>
    <ds:schemaRef ds:uri="9b161f5c-2fea-4d23-b13d-30421616d8c4"/>
    <ds:schemaRef ds:uri="http://www.w3.org/XML/1998/namespace"/>
  </ds:schemaRefs>
</ds:datastoreItem>
</file>

<file path=customXml/itemProps3.xml><?xml version="1.0" encoding="utf-8"?>
<ds:datastoreItem xmlns:ds="http://schemas.openxmlformats.org/officeDocument/2006/customXml" ds:itemID="{C93968EC-364F-495C-B653-887C1F56E6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161f5c-2fea-4d23-b13d-30421616d8c4"/>
    <ds:schemaRef ds:uri="bf37bb64-b1c2-4610-887e-88a5c96b37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Form Instructions</vt:lpstr>
      <vt:lpstr>1. Facility Information</vt:lpstr>
      <vt:lpstr>NOTES</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Teri Bowman</cp:lastModifiedBy>
  <cp:lastPrinted>2018-12-14T23:57:06Z</cp:lastPrinted>
  <dcterms:created xsi:type="dcterms:W3CDTF">2018-11-29T22:27:46Z</dcterms:created>
  <dcterms:modified xsi:type="dcterms:W3CDTF">2024-01-26T17:21:17Z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0x010100FA588992B2FA8E4EBA0D24D6E447A7FB</vt:lpwstr>
  </property>
</Properties>
</file>