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deqhq1\AQCOMMON\CleanerAirOR\Web Content\Facility Webpages\Existing\EcoLube Recovery\Emissions Inventory\1-19-2024\"/>
    </mc:Choice>
  </mc:AlternateContent>
  <xr:revisionPtr revIDLastSave="0" documentId="13_ncr:1_{33DD4ADC-71B9-4CE1-B07E-9731643A7392}" xr6:coauthVersionLast="47" xr6:coauthVersionMax="47" xr10:uidLastSave="{00000000-0000-0000-0000-000000000000}"/>
  <bookViews>
    <workbookView xWindow="57480" yWindow="-120" windowWidth="29040" windowHeight="15840" activeTab="11" xr2:uid="{7C2B9992-B885-D646-B094-96752C539EA7}"/>
  </bookViews>
  <sheets>
    <sheet name="Source_List" sheetId="1" state="hidden" r:id="rId1"/>
    <sheet name="errata" sheetId="18" state="hidden" r:id="rId2"/>
    <sheet name="Tabl_B1_RTO" sheetId="2" r:id="rId3"/>
    <sheet name="Tabl_B1a_SO3" sheetId="19" r:id="rId4"/>
    <sheet name="Tabl_B2_Fug" sheetId="5" r:id="rId5"/>
    <sheet name="Tabl_B3_Comp" sheetId="11" r:id="rId6"/>
    <sheet name="Vapor Calcs Distillate" sheetId="22" r:id="rId7"/>
    <sheet name="Vapor Calcs Non-Distillate" sheetId="21" r:id="rId8"/>
    <sheet name="Vapor Calcs Windshield Wash" sheetId="23" r:id="rId9"/>
    <sheet name="Vapor Calcs Antifreeze Conc" sheetId="24" r:id="rId10"/>
    <sheet name="Vapor Calcs Antifreeze 50" sheetId="25" r:id="rId11"/>
    <sheet name="Tabl_B4_Tanks" sheetId="6" r:id="rId12"/>
    <sheet name="Tabl_B5_TLoad" sheetId="8" r:id="rId13"/>
    <sheet name="Tabl_B6_Carbon_BU" sheetId="12" r:id="rId14"/>
    <sheet name="Site Summary" sheetId="14" state="hidden" r:id="rId15"/>
    <sheet name="CAO_Pollutant_List" sheetId="3" state="hidden" r:id="rId16"/>
    <sheet name="NG_Factor_Sort" sheetId="4" state="hidden" r:id="rId17"/>
    <sheet name="RBC" sheetId="15" state="hidden" r:id="rId18"/>
    <sheet name="RBC_old" sheetId="9" state="hidden" r:id="rId19"/>
    <sheet name="Sheet2" sheetId="13"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5" hidden="1">CAO_Pollutant_List!$A$3:$I$611</definedName>
    <definedName name="_xlnm._FilterDatabase" localSheetId="17" hidden="1">RBC!$A$7:$K$268</definedName>
    <definedName name="_xlnm._FilterDatabase" localSheetId="19" hidden="1">Sheet2!$A$1:$A$103</definedName>
    <definedName name="_xlnm._FilterDatabase" localSheetId="2" hidden="1">Tabl_B1_RTO!$B$36:$I$126</definedName>
    <definedName name="_xlnm._FilterDatabase" localSheetId="3" hidden="1">Tabl_B1a_SO3!#REF!</definedName>
    <definedName name="_xlnm._FilterDatabase" localSheetId="4" hidden="1">Tabl_B2_Fug!$A$11:$Y$43</definedName>
    <definedName name="_xlnm._FilterDatabase" localSheetId="5" hidden="1">Tabl_B3_Comp!$A$5:$O$47</definedName>
    <definedName name="_xlnm._FilterDatabase" localSheetId="12" hidden="1">Tabl_B5_TLoad!$A$21:$W$26</definedName>
    <definedName name="_xlnm._FilterDatabase" localSheetId="13" hidden="1">Tabl_B6_Carbon_BU!$A$20:$H$29</definedName>
    <definedName name="_Order1" hidden="1">255</definedName>
    <definedName name="_Order2" hidden="1">255</definedName>
    <definedName name="_rk1">[1]Rank!$B$6</definedName>
    <definedName name="_rk2">[1]Rank!$F$6</definedName>
    <definedName name="_rk3">[1]Rank!$J$6</definedName>
    <definedName name="_rk4">[1]Rank!$N$6</definedName>
    <definedName name="_rk6">[1]Rank!$V$6</definedName>
    <definedName name="_rk7">[1]Rank!$Z$6</definedName>
    <definedName name="all_fuels">'[2]Fuel Lookup'!$B$5:$B$35</definedName>
    <definedName name="AP_EF_UNITS">'[3]EGEN EF Ref2'!$D$97</definedName>
    <definedName name="AP_LgGen_CO_EF">'[3]EGEN EF Ref2'!$C$102</definedName>
    <definedName name="AP_LgGen_LowNOX_EF">'[3]EGEN EF Ref2'!$C$100</definedName>
    <definedName name="AP_LgGen_NOX_EF">'[3]EGEN EF Ref2'!$C$99</definedName>
    <definedName name="AP_LgGen_PM_EF">'[3]EGEN EF Ref2'!$C$97</definedName>
    <definedName name="AP_LgGen_SO2_EF">'[3]EGEN EF Ref2'!$C$98</definedName>
    <definedName name="AP_LgGen_VOC_EF">'[3]EGEN EF Ref2'!$C$103</definedName>
    <definedName name="AP_SmGen_CO_EF">'[3]EGEN EF Ref2'!$C$93</definedName>
    <definedName name="AP_SmGen_NOX_EF">'[3]EGEN EF Ref2'!$C$92</definedName>
    <definedName name="AP_SmGen_PM_EF">'[3]EGEN EF Ref2'!$C$90</definedName>
    <definedName name="AP_SmGen_SO2_EF">'[3]EGEN EF Ref2'!$C$91</definedName>
    <definedName name="AP_SmGen_VOC_EF">'[3]EGEN EF Ref2'!$C$94</definedName>
    <definedName name="AT_List">[4]!Table13[[CAS Code]:[Pollutant Common Name]]</definedName>
    <definedName name="AT_List_Number">[4]!Table13[[CAS Code]:[Pollutant Common Name]]</definedName>
    <definedName name="Billable_Service_Item">[5]Timesheet!$S$12:$S$24</definedName>
    <definedName name="BTUwT_25K_Munter">'[6]NG Usage vs Oxidizer Temp'!$C$19</definedName>
    <definedName name="BTUwT_44K_Munter">'[6]NG Usage vs Oxidizer Temp'!$H$19</definedName>
    <definedName name="BTUwT_90K_Anguil">'[6]NG Usage vs Oxidizer Temp'!$V$4</definedName>
    <definedName name="CARBO134">'[7]HAP Content'!$J$31:$T$44</definedName>
    <definedName name="CARBO890">'[7]HAP Content'!$J$22:$T$27</definedName>
    <definedName name="chemical">'[8]GWGs Summary'!#REF!</definedName>
    <definedName name="CO_POU_tpy_scrubber">'[3]14_Manufacturing - Scrubbers'!$BO$85:$BO$192</definedName>
    <definedName name="CO_tpy_boilers">'[3]1_Boilers'!$AB$35:$AB$101</definedName>
    <definedName name="CO_tpy_BSSW">'[3]3_BSSW'!$R$20:$R$23</definedName>
    <definedName name="CO_tpy_EGens">'[3]4_ EGENs Fire Pumps'!$AH$22:$AH$91</definedName>
    <definedName name="CO_tpy_Heaters">'[3]5_Heaters'!$AA$28:$AA$101</definedName>
    <definedName name="CO_tpy_RCTO">'[3]2_ RCTOs - Combustion'!$X$32:$X$72</definedName>
    <definedName name="CO_tpy_scrubber">'[3]14_Manufacturing - Scrubbers'!$AS$85:$AS$192</definedName>
    <definedName name="CO_tpy_TXMW">'[3]6_TMXW'!$Z$31:$Z$39</definedName>
    <definedName name="COMP" localSheetId="1">#REF!</definedName>
    <definedName name="COMP">#REF!</definedName>
    <definedName name="d">[0]!d</definedName>
    <definedName name="Detail_Reference">[5]Timesheet!$U$12:$V$27</definedName>
    <definedName name="DistrictName">#REF!</definedName>
    <definedName name="EF">[9]Model!$E$1</definedName>
    <definedName name="EFCO_VOC_D1B">'[6]Emission Factors'!$E$8</definedName>
    <definedName name="EFCO_VOC_D1C">'[6]Emission Factors'!$E$9</definedName>
    <definedName name="EFCO_VOC_D1D">'[6]Emission Factors'!$E$10</definedName>
    <definedName name="EFCO_VOC_D1X">'[6]Emission Factors'!$E$11</definedName>
    <definedName name="EFCO_VOC_F15">'[6]Emission Factors'!$E$4</definedName>
    <definedName name="EFNOX_VOC_D1B">'[6]Emission Factors'!$F$8</definedName>
    <definedName name="EFNOX_VOC_D1C">'[6]Emission Factors'!$F$9</definedName>
    <definedName name="EFNOX_VOC_D1D">'[6]Emission Factors'!$F$10</definedName>
    <definedName name="EFNOX_VOC_D1X">'[6]Emission Factors'!$F$11</definedName>
    <definedName name="EFNOx_VOC_F15">'[6]Emission Factors'!$F$4</definedName>
    <definedName name="egwgws">'[8]GWGs Summary'!#REF!</definedName>
    <definedName name="ElementMolecule">[5]Molecular_Weights!$A$4:$A$28</definedName>
    <definedName name="Emission_Unit_Ozone">#REF!</definedName>
    <definedName name="Emissions_Unit_boilers">'[3]1_Boilers'!$A$35:$A$101</definedName>
    <definedName name="Emissions_Unit_BSSW">'[3]3_BSSW'!$A$20:$A$23</definedName>
    <definedName name="Emissions_Unit_EGens">'[3]4_ EGENs Fire Pumps'!$A$22:$A$91</definedName>
    <definedName name="Emissions_Unit_Heaters">'[3]5_Heaters'!$A$28:$A$101</definedName>
    <definedName name="Emissions_Unit_RCTO">'[3]2_ RCTOs - Combustion'!$A$32:$A$72</definedName>
    <definedName name="Emissions_Unit_Scrubber">'[3]14_Manufacturing - Scrubbers'!$A$85:$A$192</definedName>
    <definedName name="Emissions_Unit_TXMW">'[3]6_TMXW'!$A$31:$A$39</definedName>
    <definedName name="Emissions_Units_CTs">'[3]7_Cooling Towers'!$A$24:$A$105</definedName>
    <definedName name="endrep">#REF!</definedName>
    <definedName name="EPA_HAPs">'[7]HAP Content'!$A$4:$B$176</definedName>
    <definedName name="ess">[0]!ess</definedName>
    <definedName name="EssAliasTable">"Default"</definedName>
    <definedName name="EssOptions">"110000000013010_0"</definedName>
    <definedName name="_xlnm.Extract" localSheetId="19">Sheet2!$A$106</definedName>
    <definedName name="_xlnm.Extract" localSheetId="2">Tabl_B1_RTO!#REF!</definedName>
    <definedName name="_xlnm.Extract" localSheetId="3">Tabl_B1a_SO3!#REF!</definedName>
    <definedName name="first">#REF!</definedName>
    <definedName name="firsthc">#REF!</definedName>
    <definedName name="firsttotil">#REF!</definedName>
    <definedName name="FIX_Emiss">'[10]CALC-Tanks Fixed Roof Monthly'!$C$16:$HN$74</definedName>
    <definedName name="FLT_Emiss">'[10]CALC-Floating Roof Monthly'!$D$13:$GJ$22</definedName>
    <definedName name="FLT_Inputs">'[10]Floating Roof Inputs'!$C$8:$DK$27</definedName>
    <definedName name="Fluoride_tpy_scrubber">'[3]14_Manufacturing - Scrubbers'!$AI$85:$AI$192</definedName>
    <definedName name="Future_OnOff">[6]Assumptions!$B$18</definedName>
    <definedName name="GaseousEfficiency">[5]Calculations!$I$158:$I$175</definedName>
    <definedName name="GaseousIndex">[5]Molecular_Weights!$A$4:$B$28</definedName>
    <definedName name="gotovard">[0]!gotovard</definedName>
    <definedName name="Gotovaru">[0]!Gotovaru</definedName>
    <definedName name="GramConversion">[5]Calculations!$I$140:$I$143</definedName>
    <definedName name="HAP_Col">'[7]HAP Content'!$F$3:$P$3</definedName>
    <definedName name="HAP_Row">'[7]HAP Content'!$F$3:$F$17</definedName>
    <definedName name="HAPs">'[7]HAP Content'!$F$3:$Q$17</definedName>
    <definedName name="HF_tpy_scrubber">'[3]14_Manufacturing - Scrubbers'!$AK$85:$AK$192</definedName>
    <definedName name="hh">#REF!</definedName>
    <definedName name="HTML_CodePage" hidden="1">1252</definedName>
    <definedName name="HTML_Control" hidden="1">{"'RT614_Data'!$A$1:$Z$13","'RT614_Data'!$A$1:$AA$13"}</definedName>
    <definedName name="HTML_Description" hidden="1">""</definedName>
    <definedName name="HTML_Email" hidden="1">""</definedName>
    <definedName name="HTML_Header" hidden="1">"Data"</definedName>
    <definedName name="HTML_LastUpdate" hidden="1">"6/22/00"</definedName>
    <definedName name="HTML_LineAfter" hidden="1">FALSE</definedName>
    <definedName name="HTML_LineBefore" hidden="1">FALSE</definedName>
    <definedName name="HTML_Name" hidden="1">"ROMELIA"</definedName>
    <definedName name="HTML_OBDlg2" hidden="1">TRUE</definedName>
    <definedName name="HTML_OBDlg4" hidden="1">TRUE</definedName>
    <definedName name="HTML_OS" hidden="1">0</definedName>
    <definedName name="HTML_PathFile" hidden="1">"C:\Flow Rata\RT614_HTML.htm"</definedName>
    <definedName name="HTML_Title" hidden="1">"RT614_Export"</definedName>
    <definedName name="IMPACTOUT">[11]ISOSET!#REF!</definedName>
    <definedName name="INLETPART">[11]ISOSET!#REF!</definedName>
    <definedName name="last">#REF!</definedName>
    <definedName name="lasthc">#REF!</definedName>
    <definedName name="Lead_tpy_boilers">'[3]1_Boilers'!$AJ$35:$AJ$101</definedName>
    <definedName name="Lead_tpy_BSSW">'[3]3_BSSW'!$AB$20:$AB$23</definedName>
    <definedName name="Lead_tpy_Heaters">'[3]5_Heaters'!$AK$28:$AK$101</definedName>
    <definedName name="Lead_tpy_RCTO">'[3]2_ RCTOs - Combustion'!$AO$32:$AO$72</definedName>
    <definedName name="Lead_tpy_scrubbers">'[3]14_Manufacturing - Scrubbers'!$BN$85:$BN$192</definedName>
    <definedName name="Lead_tpy_TMXW">'[3]6_TMXW'!$AJ$31:$AJ$39</definedName>
    <definedName name="MMPaint">'[7]HAP Content'!$J$49:$T$57</definedName>
    <definedName name="mqy">'[12]Wafer Starts'!$AC$25</definedName>
    <definedName name="NG_heatcontent">[6]Assumptions1!$P$17</definedName>
    <definedName name="NOUTPART">[11]ISOSET!#REF!</definedName>
    <definedName name="NOx_POU_tpy_scrubber">'[3]14_Manufacturing - Scrubbers'!$BP$85:$BP$192</definedName>
    <definedName name="NOx_tpy_boilers">'[3]1_Boilers'!$Y$35:$Y$101</definedName>
    <definedName name="NOx_tpy_BSSW">'[3]3_BSSW'!$T$20:$T$23</definedName>
    <definedName name="NOx_tpy_EGens">'[3]4_ EGENs Fire Pumps'!$AA$22:$AA$91</definedName>
    <definedName name="NOx_tpy_Heaters">'[3]5_Heaters'!$AC$28:$AC$101</definedName>
    <definedName name="NOx_tpy_RCTO">'[3]2_ RCTOs - Combustion'!$U$32:$U$72</definedName>
    <definedName name="NOx_tpy_scrubber">'[3]14_Manufacturing - Scrubbers'!$AU$85:$AU$192</definedName>
    <definedName name="NOx_tpy_TXMW">'[3]6_TMXW'!$AB$31:$AB$39</definedName>
    <definedName name="Office">[5]Timesheet!$R$12:$R$15</definedName>
    <definedName name="Overhead_Service_Items">[5]Timesheet!$U$12:$U$27</definedName>
    <definedName name="Ozone_tpy_Ozone">#REF!</definedName>
    <definedName name="PM_drift_tpy_scrubbers">'[3]14_Manufacturing - Scrubbers'!$BQ$85:$BQ$192</definedName>
    <definedName name="PM10_tpy_boilers">'[3]1_Boilers'!$AD$35:$AD$101</definedName>
    <definedName name="PM10_tpy_BSSW">'[3]3_BSSW'!$V$20:$V$23</definedName>
    <definedName name="PM10_tpy_CTs">'[3]7_Cooling Towers'!$AO$24:$AO$105</definedName>
    <definedName name="PM10_tpy_EGens">'[3]4_ EGENs Fire Pumps'!$AM$22:$AM$91</definedName>
    <definedName name="PM10_tpy_Heaters">'[3]5_Heaters'!$AE$28:$AE$101</definedName>
    <definedName name="PM10_tpy_RCTO">'[3]2_ RCTOs - Combustion'!$AK$32:$AK$72</definedName>
    <definedName name="PM10_tpy_scrubber">'[3]14_Manufacturing - Scrubbers'!$BH$85:$BH$192</definedName>
    <definedName name="PM10_tpy_TMXW">'[3]6_TMXW'!$AD$31:$AD$39</definedName>
    <definedName name="PM2.5_POU_tpy_scrubber">'[3]14_Manufacturing - Scrubbers'!$AY$85:$AY$192</definedName>
    <definedName name="PM2.5_tpy_boilers">'[3]1_Boilers'!$AF$35:$AF$101</definedName>
    <definedName name="PM2.5_tpy_BSSW">'[3]3_BSSW'!$X$20:$X$23</definedName>
    <definedName name="PM2.5_tpy_CTs">'[3]7_Cooling Towers'!$AQ$24:$AQ$105</definedName>
    <definedName name="PM2.5_tpy_EGens">'[3]4_ EGENs Fire Pumps'!$AR$22:$AR$91</definedName>
    <definedName name="PM2.5_tpy_Heaters">'[3]5_Heaters'!$AG$28:$AG$101</definedName>
    <definedName name="PM2.5_tpy_RCTO">'[3]2_ RCTOs - Combustion'!$AM$32:$AM$72</definedName>
    <definedName name="PM2.5_tpy_scrubber">'[3]14_Manufacturing - Scrubbers'!$BJ$85:$BJ$192</definedName>
    <definedName name="PM2.5_tpy_TXMW">'[3]6_TMXW'!$AF$31:$AF$39</definedName>
    <definedName name="_xlnm.Print_Area">[5]Calculations!#REF!</definedName>
    <definedName name="printdollardetail">[0]!printdollardetail</definedName>
    <definedName name="printunitsdetail">[0]!printunitsdetail</definedName>
    <definedName name="process_POU_scalar">[6]Model!$I$4</definedName>
    <definedName name="process_scalar">[6]Model!$I$3</definedName>
    <definedName name="Rank1">[1]Rank!$A$6:$C$15</definedName>
    <definedName name="Rank10">[1]Rank!$I$19:$K$43</definedName>
    <definedName name="Rank11">[1]Rank!$M$19:$O$43</definedName>
    <definedName name="Rank12">[1]Rank!$Q$19:$S$43</definedName>
    <definedName name="Rank13">[1]Rank!$U$19:$W$43</definedName>
    <definedName name="Rank14">[1]Rank!$Y$19:$AA$43</definedName>
    <definedName name="Rank15">[1]Rank!$A$48:$B$60</definedName>
    <definedName name="Rank16">[1]Rank!$E$48:$G$60</definedName>
    <definedName name="Rank17">[1]Rank!$I$48:$K$60</definedName>
    <definedName name="Rank18">[1]Rank!$M$48:$O$60</definedName>
    <definedName name="Rank19">[1]Rank!$Q$48:$S$60</definedName>
    <definedName name="Rank2">[1]Rank!$E$6:$G$15</definedName>
    <definedName name="Rank20">[1]Rank!$U$48:$W$60</definedName>
    <definedName name="Rank21">[1]Rank!$Y$48:$AA$60</definedName>
    <definedName name="Rank22">[1]Rank!$A$63:$C$78</definedName>
    <definedName name="Rank23">[1]Rank!$E$63:$G$78</definedName>
    <definedName name="Rank24">[1]Rank!$I$63:$K$78</definedName>
    <definedName name="Rank25">[1]Rank!$M$63:$O$78</definedName>
    <definedName name="Rank26">[1]Rank!$Q$63:$S$78</definedName>
    <definedName name="Rank27">[1]Rank!$U$63:$W$78</definedName>
    <definedName name="Rank28">[1]Rank!$Y$63:$AA$78</definedName>
    <definedName name="Rank3">[1]Rank!$I$6:$K$15</definedName>
    <definedName name="Rank4">[1]Rank!$M$6:$O$15</definedName>
    <definedName name="Rank5">[1]Rank!$Q$6:$S$15</definedName>
    <definedName name="Rank6">[1]Rank!$U$6:$W$15</definedName>
    <definedName name="Rank7">[1]Rank!$Y$6:$AA$15</definedName>
    <definedName name="Rank8">[1]Rank!$A$19:$C$43</definedName>
    <definedName name="Rank9">[1]Rank!$E$19:$G$43</definedName>
    <definedName name="RCTO_T">[6]Assumptions1!$P$18</definedName>
    <definedName name="RCTO_Utilize">[6]Pareto!$B$29</definedName>
    <definedName name="Reisman2.5from10">'[9]CoolingTower PTE'!$E$10</definedName>
    <definedName name="sheet100">[0]!sheet100</definedName>
    <definedName name="SO2_POU_tpy_scrubber">'[3]14_Manufacturing - Scrubbers'!$BA$85:$BA$192</definedName>
    <definedName name="SO2_tpy_boilers">'[3]1_Boilers'!$AH$35:$AH$101</definedName>
    <definedName name="SO2_tpy_BSSW">'[3]3_BSSW'!$Z$20:$Z$23</definedName>
    <definedName name="SO2_tpy_EGens">'[3]4_ EGENs Fire Pumps'!$AV$22:$AV$91</definedName>
    <definedName name="SO2_tpy_Heaters">'[3]5_Heaters'!$AI$28:$AI$101</definedName>
    <definedName name="SO2_tpy_RCTO">'[3]2_ RCTOs - Combustion'!$AD$32:$AD$72</definedName>
    <definedName name="SO2_tpy_scrubber">'[3]14_Manufacturing - Scrubbers'!$BL$85:$BL$192</definedName>
    <definedName name="SO2_tpy_TMXW">'[3]6_TMXW'!$AH$31:$AH$39</definedName>
    <definedName name="Solvent33">'[7]HAP Content'!$J$61:$T$64</definedName>
    <definedName name="Title">[5]Timesheet!$T$12:$T$21</definedName>
    <definedName name="Title1">#REF!</definedName>
    <definedName name="units">'[2]Units Lookup'!$B$4:$B$12</definedName>
    <definedName name="valuevx">42.314159</definedName>
    <definedName name="version_date">[13]constants!$A$9</definedName>
    <definedName name="version_number">[13]constants!$A$10</definedName>
    <definedName name="Week_Ending_All_Quarters">[5]Timesheet!$W$12:$W$64</definedName>
    <definedName name="wrn.Confidential." localSheetId="1"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1"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W_FUG_HAP">'[7]HAP Content'!$U$4:$W$18</definedName>
    <definedName name="year" localSheetId="3">YEAR(theDate)</definedName>
    <definedName name="year" localSheetId="6">YEAR(theDate)</definedName>
    <definedName name="year">YEAR(theDate)</definedName>
    <definedName name="YES_NO">[5]Timesheet!$AA$12:$AA$13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5" i="6" l="1"/>
  <c r="AD34" i="6"/>
  <c r="AD6" i="6"/>
  <c r="AD5" i="6"/>
  <c r="AC47" i="6"/>
  <c r="AC46" i="6"/>
  <c r="AC45" i="6"/>
  <c r="AC44" i="6"/>
  <c r="AC43" i="6"/>
  <c r="AC42" i="6"/>
  <c r="AC48" i="6" s="1"/>
  <c r="AC40" i="6"/>
  <c r="AC39" i="6"/>
  <c r="AC38" i="6"/>
  <c r="AC37" i="6"/>
  <c r="AC41" i="6" s="1"/>
  <c r="AC36" i="6"/>
  <c r="AC33" i="6"/>
  <c r="AC32" i="6"/>
  <c r="AC31" i="6"/>
  <c r="AC30" i="6"/>
  <c r="AC29" i="6"/>
  <c r="AC28" i="6"/>
  <c r="AC27" i="6"/>
  <c r="AC26" i="6"/>
  <c r="AC25" i="6"/>
  <c r="AC24" i="6"/>
  <c r="AC23" i="6"/>
  <c r="AC22" i="6"/>
  <c r="AC21" i="6"/>
  <c r="AC20" i="6"/>
  <c r="AC19" i="6"/>
  <c r="AC18" i="6"/>
  <c r="AC17" i="6"/>
  <c r="AC16" i="6"/>
  <c r="AC15" i="6"/>
  <c r="AC14" i="6"/>
  <c r="AC13" i="6"/>
  <c r="AC12" i="6"/>
  <c r="AC11" i="6"/>
  <c r="AC10" i="6"/>
  <c r="AC9" i="6"/>
  <c r="AC8" i="6"/>
  <c r="AC7" i="6"/>
  <c r="AC35" i="6" s="1"/>
  <c r="R34" i="6"/>
  <c r="Q47" i="6"/>
  <c r="Q46" i="6"/>
  <c r="Q45" i="6"/>
  <c r="Q44" i="6"/>
  <c r="Q43" i="6"/>
  <c r="Q42" i="6"/>
  <c r="Q48" i="6" s="1"/>
  <c r="Q40" i="6"/>
  <c r="Q39" i="6"/>
  <c r="Q38" i="6"/>
  <c r="Q37" i="6"/>
  <c r="Q36" i="6"/>
  <c r="Q33" i="6"/>
  <c r="Q32" i="6"/>
  <c r="Q31" i="6"/>
  <c r="Q30" i="6"/>
  <c r="Q29" i="6"/>
  <c r="Q28" i="6"/>
  <c r="Q27" i="6"/>
  <c r="Q26" i="6"/>
  <c r="Q25" i="6"/>
  <c r="Q24" i="6"/>
  <c r="Q23" i="6"/>
  <c r="Q22" i="6"/>
  <c r="Q21" i="6"/>
  <c r="Q20" i="6"/>
  <c r="Q19" i="6"/>
  <c r="Q18" i="6"/>
  <c r="Q17" i="6"/>
  <c r="Q16" i="6"/>
  <c r="Q15" i="6"/>
  <c r="Q14" i="6"/>
  <c r="Q13" i="6"/>
  <c r="Q12" i="6"/>
  <c r="Q11" i="6"/>
  <c r="Q10" i="6"/>
  <c r="Q9" i="6"/>
  <c r="Q8" i="6"/>
  <c r="Q7" i="6"/>
  <c r="F31" i="25"/>
  <c r="G31" i="25" s="1"/>
  <c r="M30" i="25"/>
  <c r="L30" i="25"/>
  <c r="K30" i="25"/>
  <c r="I30" i="25"/>
  <c r="F30" i="25"/>
  <c r="G30" i="25" s="1"/>
  <c r="P29" i="25"/>
  <c r="N29" i="25"/>
  <c r="L29" i="25"/>
  <c r="K29" i="25"/>
  <c r="I29" i="25"/>
  <c r="G29" i="25"/>
  <c r="F29" i="25"/>
  <c r="C24" i="25"/>
  <c r="T23" i="25"/>
  <c r="S23" i="25"/>
  <c r="S31" i="25" s="1"/>
  <c r="R23" i="25"/>
  <c r="Q23" i="25"/>
  <c r="Q31" i="25" s="1"/>
  <c r="P23" i="25"/>
  <c r="P31" i="25" s="1"/>
  <c r="O23" i="25"/>
  <c r="N23" i="25"/>
  <c r="N31" i="25" s="1"/>
  <c r="M23" i="25"/>
  <c r="M29" i="25" s="1"/>
  <c r="L23" i="25"/>
  <c r="L31" i="25" s="1"/>
  <c r="K23" i="25"/>
  <c r="K31" i="25" s="1"/>
  <c r="J23" i="25"/>
  <c r="I23" i="25"/>
  <c r="I31" i="25" s="1"/>
  <c r="H23" i="25"/>
  <c r="T22" i="25"/>
  <c r="C22" i="25"/>
  <c r="C6" i="25"/>
  <c r="E5" i="25"/>
  <c r="E17" i="25" s="1"/>
  <c r="F9" i="25" s="1"/>
  <c r="G9" i="25" s="1"/>
  <c r="E4" i="25"/>
  <c r="BE2" i="25"/>
  <c r="AZ2" i="25"/>
  <c r="AV2" i="25"/>
  <c r="AR2" i="25"/>
  <c r="AN2" i="25"/>
  <c r="AJ2" i="25"/>
  <c r="AF2" i="25"/>
  <c r="AB2" i="25"/>
  <c r="X2" i="25"/>
  <c r="T2" i="25"/>
  <c r="P2" i="25"/>
  <c r="L2" i="25"/>
  <c r="H2" i="25"/>
  <c r="R31" i="24"/>
  <c r="Q31" i="24"/>
  <c r="P31" i="24"/>
  <c r="N31" i="24"/>
  <c r="M31" i="24"/>
  <c r="G31" i="24"/>
  <c r="F31" i="24"/>
  <c r="R30" i="24"/>
  <c r="Q30" i="24"/>
  <c r="P30" i="24"/>
  <c r="O30" i="24"/>
  <c r="J30" i="24"/>
  <c r="F30" i="24"/>
  <c r="G30" i="24" s="1"/>
  <c r="R29" i="24"/>
  <c r="Q29" i="24"/>
  <c r="L29" i="24"/>
  <c r="J29" i="24"/>
  <c r="F29" i="24"/>
  <c r="G29" i="24" s="1"/>
  <c r="C24" i="24"/>
  <c r="S23" i="24"/>
  <c r="R23" i="24"/>
  <c r="Q23" i="24"/>
  <c r="P23" i="24"/>
  <c r="P29" i="24" s="1"/>
  <c r="O23" i="24"/>
  <c r="O29" i="24" s="1"/>
  <c r="N23" i="24"/>
  <c r="N30" i="24" s="1"/>
  <c r="M23" i="24"/>
  <c r="M30" i="24" s="1"/>
  <c r="L23" i="24"/>
  <c r="L31" i="24" s="1"/>
  <c r="K23" i="24"/>
  <c r="J23" i="24"/>
  <c r="J31" i="24" s="1"/>
  <c r="I23" i="24"/>
  <c r="H23" i="24"/>
  <c r="T22" i="24"/>
  <c r="BE2" i="24" s="1"/>
  <c r="C22" i="24"/>
  <c r="E5" i="24"/>
  <c r="E4" i="24"/>
  <c r="AZ2" i="24"/>
  <c r="AV2" i="24"/>
  <c r="AR2" i="24"/>
  <c r="AN2" i="24"/>
  <c r="AJ2" i="24"/>
  <c r="AF2" i="24"/>
  <c r="AB2" i="24"/>
  <c r="X2" i="24"/>
  <c r="T2" i="24"/>
  <c r="P2" i="24"/>
  <c r="L2" i="24"/>
  <c r="H2" i="24"/>
  <c r="P30" i="23"/>
  <c r="O30" i="23"/>
  <c r="F30" i="23"/>
  <c r="G30" i="23" s="1"/>
  <c r="S29" i="23"/>
  <c r="R29" i="23"/>
  <c r="K29" i="23"/>
  <c r="I29" i="23"/>
  <c r="F29" i="23"/>
  <c r="G29" i="23" s="1"/>
  <c r="C24" i="23"/>
  <c r="S23" i="23"/>
  <c r="S30" i="23" s="1"/>
  <c r="R23" i="23"/>
  <c r="R30" i="23" s="1"/>
  <c r="Q23" i="23"/>
  <c r="Q30" i="23" s="1"/>
  <c r="P23" i="23"/>
  <c r="O23" i="23"/>
  <c r="N23" i="23"/>
  <c r="N30" i="23" s="1"/>
  <c r="M23" i="23"/>
  <c r="M30" i="23" s="1"/>
  <c r="L23" i="23"/>
  <c r="L30" i="23" s="1"/>
  <c r="K23" i="23"/>
  <c r="K30" i="23" s="1"/>
  <c r="J23" i="23"/>
  <c r="J29" i="23" s="1"/>
  <c r="I23" i="23"/>
  <c r="I30" i="23" s="1"/>
  <c r="H23" i="23"/>
  <c r="H29" i="23" s="1"/>
  <c r="T22" i="23"/>
  <c r="BE2" i="23" s="1"/>
  <c r="C22" i="23"/>
  <c r="E5" i="23"/>
  <c r="E4" i="23"/>
  <c r="AZ2" i="23"/>
  <c r="AV2" i="23"/>
  <c r="AR2" i="23"/>
  <c r="AN2" i="23"/>
  <c r="AJ2" i="23"/>
  <c r="AF2" i="23"/>
  <c r="AB2" i="23"/>
  <c r="X2" i="23"/>
  <c r="T2" i="23"/>
  <c r="P2" i="23"/>
  <c r="L2" i="23"/>
  <c r="H2" i="23"/>
  <c r="Q41" i="6" l="1"/>
  <c r="Q35" i="6"/>
  <c r="E17" i="23"/>
  <c r="F4" i="23"/>
  <c r="AZ9" i="25"/>
  <c r="AN9" i="25"/>
  <c r="AB9" i="25"/>
  <c r="P9" i="25"/>
  <c r="BE9" i="25"/>
  <c r="AR9" i="25"/>
  <c r="L9" i="25"/>
  <c r="X9" i="25"/>
  <c r="AJ9" i="25"/>
  <c r="AF9" i="25"/>
  <c r="T9" i="25"/>
  <c r="AV9" i="25"/>
  <c r="H9" i="25"/>
  <c r="Q29" i="23"/>
  <c r="T23" i="23"/>
  <c r="F15" i="25"/>
  <c r="G15" i="25" s="1"/>
  <c r="F13" i="25"/>
  <c r="G13" i="25" s="1"/>
  <c r="F16" i="25"/>
  <c r="G16" i="25" s="1"/>
  <c r="F14" i="25"/>
  <c r="G14" i="25" s="1"/>
  <c r="F7" i="25"/>
  <c r="G7" i="25" s="1"/>
  <c r="F12" i="25"/>
  <c r="G12" i="25" s="1"/>
  <c r="F8" i="25"/>
  <c r="G8" i="25" s="1"/>
  <c r="F4" i="25"/>
  <c r="F6" i="25"/>
  <c r="G6" i="25" s="1"/>
  <c r="F11" i="25"/>
  <c r="G11" i="25" s="1"/>
  <c r="F10" i="25"/>
  <c r="G10" i="25" s="1"/>
  <c r="H30" i="23"/>
  <c r="F5" i="25"/>
  <c r="G5" i="25" s="1"/>
  <c r="J30" i="23"/>
  <c r="S31" i="24"/>
  <c r="S30" i="24"/>
  <c r="S29" i="24"/>
  <c r="H30" i="24"/>
  <c r="H29" i="24"/>
  <c r="H31" i="24"/>
  <c r="T23" i="24"/>
  <c r="M29" i="23"/>
  <c r="E17" i="24"/>
  <c r="F4" i="24"/>
  <c r="F5" i="24"/>
  <c r="G5" i="24" s="1"/>
  <c r="I31" i="24"/>
  <c r="I30" i="24"/>
  <c r="I29" i="24"/>
  <c r="L29" i="23"/>
  <c r="K31" i="24"/>
  <c r="K30" i="24"/>
  <c r="K29" i="24"/>
  <c r="N29" i="23"/>
  <c r="O29" i="23"/>
  <c r="P29" i="23"/>
  <c r="O31" i="24"/>
  <c r="O31" i="25"/>
  <c r="O30" i="25"/>
  <c r="O29" i="25"/>
  <c r="R31" i="25"/>
  <c r="R30" i="25"/>
  <c r="R29" i="25"/>
  <c r="M29" i="24"/>
  <c r="H31" i="25"/>
  <c r="H30" i="25"/>
  <c r="H29" i="25"/>
  <c r="T31" i="25"/>
  <c r="T30" i="25"/>
  <c r="T29" i="25"/>
  <c r="N29" i="24"/>
  <c r="L30" i="24"/>
  <c r="J30" i="25"/>
  <c r="J29" i="25"/>
  <c r="J31" i="25"/>
  <c r="Q29" i="25"/>
  <c r="N30" i="25"/>
  <c r="S29" i="25"/>
  <c r="P30" i="25"/>
  <c r="M31" i="25"/>
  <c r="Q30" i="25"/>
  <c r="S30" i="25"/>
  <c r="T8" i="25" l="1"/>
  <c r="AF8" i="25"/>
  <c r="BE8" i="25"/>
  <c r="AR8" i="25"/>
  <c r="P8" i="25"/>
  <c r="AB8" i="25"/>
  <c r="AN8" i="25"/>
  <c r="AZ8" i="25"/>
  <c r="L8" i="25"/>
  <c r="AV8" i="25"/>
  <c r="H8" i="25"/>
  <c r="AJ8" i="25"/>
  <c r="X8" i="25"/>
  <c r="BE12" i="25"/>
  <c r="AN12" i="25"/>
  <c r="X12" i="25"/>
  <c r="H12" i="25"/>
  <c r="AZ12" i="25"/>
  <c r="AJ12" i="25"/>
  <c r="T12" i="25"/>
  <c r="AV12" i="25"/>
  <c r="AF12" i="25"/>
  <c r="P12" i="25"/>
  <c r="AR12" i="25"/>
  <c r="AB12" i="25"/>
  <c r="L12" i="25"/>
  <c r="AJ7" i="25"/>
  <c r="AV7" i="25"/>
  <c r="H7" i="25"/>
  <c r="T7" i="25"/>
  <c r="AF7" i="25"/>
  <c r="BE7" i="25"/>
  <c r="AR7" i="25"/>
  <c r="P7" i="25"/>
  <c r="AB7" i="25"/>
  <c r="X7" i="25"/>
  <c r="AZ7" i="25"/>
  <c r="L7" i="25"/>
  <c r="AN7" i="25"/>
  <c r="AR14" i="25"/>
  <c r="AN14" i="25"/>
  <c r="T14" i="25"/>
  <c r="P14" i="25"/>
  <c r="AJ14" i="25"/>
  <c r="BE14" i="25"/>
  <c r="AZ14" i="25"/>
  <c r="L14" i="25"/>
  <c r="AF14" i="25"/>
  <c r="AV14" i="25"/>
  <c r="AB14" i="25"/>
  <c r="X14" i="25"/>
  <c r="H14" i="25"/>
  <c r="BE16" i="25"/>
  <c r="AZ16" i="25"/>
  <c r="AN16" i="25"/>
  <c r="AB16" i="25"/>
  <c r="P16" i="25"/>
  <c r="AV16" i="25"/>
  <c r="X16" i="25"/>
  <c r="AR16" i="25"/>
  <c r="T16" i="25"/>
  <c r="L16" i="25"/>
  <c r="H16" i="25"/>
  <c r="AJ16" i="25"/>
  <c r="AF16" i="25"/>
  <c r="AV13" i="25"/>
  <c r="AJ13" i="25"/>
  <c r="X13" i="25"/>
  <c r="L13" i="25"/>
  <c r="BE13" i="25"/>
  <c r="T13" i="25"/>
  <c r="AZ13" i="25"/>
  <c r="P13" i="25"/>
  <c r="AF13" i="25"/>
  <c r="AB13" i="25"/>
  <c r="AR13" i="25"/>
  <c r="AN13" i="25"/>
  <c r="H13" i="25"/>
  <c r="AV5" i="24"/>
  <c r="AJ5" i="24"/>
  <c r="X5" i="24"/>
  <c r="L5" i="24"/>
  <c r="AR5" i="24"/>
  <c r="AF5" i="24"/>
  <c r="T5" i="24"/>
  <c r="H5" i="24"/>
  <c r="BE5" i="24"/>
  <c r="AB5" i="24"/>
  <c r="AZ5" i="24"/>
  <c r="P5" i="24"/>
  <c r="AN5" i="24"/>
  <c r="BE5" i="25"/>
  <c r="P5" i="25"/>
  <c r="AB5" i="25"/>
  <c r="AN5" i="25"/>
  <c r="AZ5" i="25"/>
  <c r="L5" i="25"/>
  <c r="X5" i="25"/>
  <c r="AJ5" i="25"/>
  <c r="AV5" i="25"/>
  <c r="H5" i="25"/>
  <c r="T5" i="25"/>
  <c r="AR5" i="25"/>
  <c r="AF5" i="25"/>
  <c r="AZ15" i="25"/>
  <c r="AN15" i="25"/>
  <c r="AB15" i="25"/>
  <c r="P15" i="25"/>
  <c r="AV15" i="25"/>
  <c r="AJ15" i="25"/>
  <c r="X15" i="25"/>
  <c r="L15" i="25"/>
  <c r="BE15" i="25"/>
  <c r="AF15" i="25"/>
  <c r="H15" i="25"/>
  <c r="AR15" i="25"/>
  <c r="T15" i="25"/>
  <c r="F17" i="24"/>
  <c r="G17" i="24" s="1"/>
  <c r="G4" i="24"/>
  <c r="T30" i="23"/>
  <c r="T29" i="23"/>
  <c r="F12" i="24"/>
  <c r="G12" i="24" s="1"/>
  <c r="F6" i="24"/>
  <c r="G6" i="24" s="1"/>
  <c r="F11" i="24"/>
  <c r="G11" i="24" s="1"/>
  <c r="F14" i="24"/>
  <c r="G14" i="24" s="1"/>
  <c r="F9" i="24"/>
  <c r="G9" i="24" s="1"/>
  <c r="F16" i="24"/>
  <c r="G16" i="24" s="1"/>
  <c r="F7" i="24"/>
  <c r="G7" i="24" s="1"/>
  <c r="F13" i="24"/>
  <c r="G13" i="24" s="1"/>
  <c r="F8" i="24"/>
  <c r="G8" i="24" s="1"/>
  <c r="F15" i="24"/>
  <c r="G15" i="24" s="1"/>
  <c r="F10" i="24"/>
  <c r="G10" i="24" s="1"/>
  <c r="BE10" i="25"/>
  <c r="AR10" i="25"/>
  <c r="P10" i="25"/>
  <c r="AB10" i="25"/>
  <c r="AN10" i="25"/>
  <c r="L10" i="25"/>
  <c r="AZ10" i="25"/>
  <c r="X10" i="25"/>
  <c r="H10" i="25"/>
  <c r="T10" i="25"/>
  <c r="AV10" i="25"/>
  <c r="AJ10" i="25"/>
  <c r="AF10" i="25"/>
  <c r="AZ11" i="25"/>
  <c r="AN11" i="25"/>
  <c r="AB11" i="25"/>
  <c r="P11" i="25"/>
  <c r="AF11" i="25"/>
  <c r="AR11" i="25"/>
  <c r="BE11" i="25"/>
  <c r="L11" i="25"/>
  <c r="X11" i="25"/>
  <c r="H11" i="25"/>
  <c r="AV11" i="25"/>
  <c r="AJ11" i="25"/>
  <c r="T11" i="25"/>
  <c r="T31" i="24"/>
  <c r="T30" i="24"/>
  <c r="T29" i="24"/>
  <c r="AZ6" i="25"/>
  <c r="L6" i="25"/>
  <c r="X6" i="25"/>
  <c r="AJ6" i="25"/>
  <c r="AV6" i="25"/>
  <c r="H6" i="25"/>
  <c r="T6" i="25"/>
  <c r="AF6" i="25"/>
  <c r="BE6" i="25"/>
  <c r="AR6" i="25"/>
  <c r="AN6" i="25"/>
  <c r="AB6" i="25"/>
  <c r="P6" i="25"/>
  <c r="G4" i="23"/>
  <c r="G4" i="25"/>
  <c r="F17" i="25"/>
  <c r="G17" i="25" s="1"/>
  <c r="F12" i="23"/>
  <c r="G12" i="23" s="1"/>
  <c r="F5" i="23"/>
  <c r="G5" i="23" s="1"/>
  <c r="F10" i="23"/>
  <c r="G10" i="23" s="1"/>
  <c r="F15" i="23"/>
  <c r="G15" i="23" s="1"/>
  <c r="F8" i="23"/>
  <c r="G8" i="23" s="1"/>
  <c r="F13" i="23"/>
  <c r="G13" i="23" s="1"/>
  <c r="F6" i="23"/>
  <c r="G6" i="23" s="1"/>
  <c r="F16" i="23"/>
  <c r="G16" i="23" s="1"/>
  <c r="F9" i="23"/>
  <c r="G9" i="23" s="1"/>
  <c r="F11" i="23"/>
  <c r="G11" i="23" s="1"/>
  <c r="F14" i="23"/>
  <c r="G14" i="23" s="1"/>
  <c r="F7" i="23"/>
  <c r="G7" i="23" s="1"/>
  <c r="AZ12" i="23" l="1"/>
  <c r="AN12" i="23"/>
  <c r="AB12" i="23"/>
  <c r="P12" i="23"/>
  <c r="AV12" i="23"/>
  <c r="AJ12" i="23"/>
  <c r="X12" i="23"/>
  <c r="L12" i="23"/>
  <c r="BE12" i="23"/>
  <c r="AF12" i="23"/>
  <c r="H12" i="23"/>
  <c r="T12" i="23"/>
  <c r="AR12" i="23"/>
  <c r="AZ12" i="24"/>
  <c r="AN12" i="24"/>
  <c r="AB12" i="24"/>
  <c r="P12" i="24"/>
  <c r="H12" i="24"/>
  <c r="AJ12" i="24"/>
  <c r="T12" i="24"/>
  <c r="AV12" i="24"/>
  <c r="AF12" i="24"/>
  <c r="BE12" i="24"/>
  <c r="AR12" i="24"/>
  <c r="X12" i="24"/>
  <c r="L12" i="24"/>
  <c r="AZ7" i="23"/>
  <c r="AN7" i="23"/>
  <c r="AB7" i="23"/>
  <c r="P7" i="23"/>
  <c r="AV7" i="23"/>
  <c r="AJ7" i="23"/>
  <c r="L7" i="23"/>
  <c r="T7" i="23"/>
  <c r="AR7" i="23"/>
  <c r="AF7" i="23"/>
  <c r="H7" i="23"/>
  <c r="BE7" i="23"/>
  <c r="X7" i="23"/>
  <c r="AV11" i="23"/>
  <c r="AJ11" i="23"/>
  <c r="X11" i="23"/>
  <c r="L11" i="23"/>
  <c r="BE11" i="23"/>
  <c r="AR11" i="23"/>
  <c r="AF11" i="23"/>
  <c r="T11" i="23"/>
  <c r="H11" i="23"/>
  <c r="AZ11" i="23"/>
  <c r="AN11" i="23"/>
  <c r="AB11" i="23"/>
  <c r="P11" i="23"/>
  <c r="AV16" i="23"/>
  <c r="AJ16" i="23"/>
  <c r="X16" i="23"/>
  <c r="L16" i="23"/>
  <c r="BE16" i="23"/>
  <c r="AR16" i="23"/>
  <c r="AF16" i="23"/>
  <c r="T16" i="23"/>
  <c r="H16" i="23"/>
  <c r="AB16" i="23"/>
  <c r="P16" i="23"/>
  <c r="AZ16" i="23"/>
  <c r="AN16" i="23"/>
  <c r="BE4" i="24"/>
  <c r="AR4" i="24"/>
  <c r="AF4" i="24"/>
  <c r="T4" i="24"/>
  <c r="H4" i="24"/>
  <c r="AZ4" i="24"/>
  <c r="AN4" i="24"/>
  <c r="AB4" i="24"/>
  <c r="P4" i="24"/>
  <c r="X4" i="24"/>
  <c r="AV4" i="24"/>
  <c r="L4" i="24"/>
  <c r="AJ4" i="24"/>
  <c r="AV10" i="24"/>
  <c r="AJ10" i="24"/>
  <c r="X10" i="24"/>
  <c r="L10" i="24"/>
  <c r="BE10" i="24"/>
  <c r="AR10" i="24"/>
  <c r="AF10" i="24"/>
  <c r="T10" i="24"/>
  <c r="H10" i="24"/>
  <c r="AN10" i="24"/>
  <c r="AB10" i="24"/>
  <c r="AZ10" i="24"/>
  <c r="P10" i="24"/>
  <c r="BE15" i="24"/>
  <c r="AR15" i="24"/>
  <c r="AF15" i="24"/>
  <c r="T15" i="24"/>
  <c r="H15" i="24"/>
  <c r="P15" i="24"/>
  <c r="AV15" i="24"/>
  <c r="AB15" i="24"/>
  <c r="L15" i="24"/>
  <c r="AN15" i="24"/>
  <c r="AJ15" i="24"/>
  <c r="X15" i="24"/>
  <c r="AZ15" i="24"/>
  <c r="L9" i="23"/>
  <c r="AV9" i="23"/>
  <c r="AJ9" i="23"/>
  <c r="X9" i="23"/>
  <c r="BE9" i="23"/>
  <c r="AR9" i="23"/>
  <c r="H9" i="23"/>
  <c r="AF9" i="23"/>
  <c r="AN9" i="23"/>
  <c r="AB9" i="23"/>
  <c r="T9" i="23"/>
  <c r="AZ9" i="23"/>
  <c r="P9" i="23"/>
  <c r="AZ8" i="24"/>
  <c r="AN8" i="24"/>
  <c r="AB8" i="24"/>
  <c r="P8" i="24"/>
  <c r="AV8" i="24"/>
  <c r="AJ8" i="24"/>
  <c r="X8" i="24"/>
  <c r="L8" i="24"/>
  <c r="BE8" i="24"/>
  <c r="AF8" i="24"/>
  <c r="T8" i="24"/>
  <c r="AR8" i="24"/>
  <c r="H8" i="24"/>
  <c r="L4" i="23"/>
  <c r="AV4" i="23"/>
  <c r="X4" i="23"/>
  <c r="AJ4" i="23"/>
  <c r="AZ4" i="23"/>
  <c r="H4" i="23"/>
  <c r="AB4" i="23"/>
  <c r="T4" i="23"/>
  <c r="BE4" i="23"/>
  <c r="AN4" i="23"/>
  <c r="AF4" i="23"/>
  <c r="P4" i="23"/>
  <c r="AR4" i="23"/>
  <c r="T4" i="25"/>
  <c r="AF4" i="25"/>
  <c r="BE4" i="25"/>
  <c r="AR4" i="25"/>
  <c r="AB4" i="25"/>
  <c r="AN4" i="25"/>
  <c r="AZ4" i="25"/>
  <c r="L4" i="25"/>
  <c r="AV4" i="25"/>
  <c r="P4" i="25"/>
  <c r="AJ4" i="25"/>
  <c r="H4" i="25"/>
  <c r="X4" i="25"/>
  <c r="BE13" i="24"/>
  <c r="P13" i="24"/>
  <c r="AV13" i="24"/>
  <c r="AR13" i="24"/>
  <c r="AB13" i="24"/>
  <c r="L13" i="24"/>
  <c r="H13" i="24"/>
  <c r="AN13" i="24"/>
  <c r="X13" i="24"/>
  <c r="AZ13" i="24"/>
  <c r="AJ13" i="24"/>
  <c r="AF13" i="24"/>
  <c r="T13" i="24"/>
  <c r="AV6" i="23"/>
  <c r="AJ6" i="23"/>
  <c r="X6" i="23"/>
  <c r="L6" i="23"/>
  <c r="H6" i="23"/>
  <c r="T6" i="23"/>
  <c r="BE6" i="23"/>
  <c r="AR6" i="23"/>
  <c r="AF6" i="23"/>
  <c r="AZ6" i="23"/>
  <c r="AB6" i="23"/>
  <c r="AN6" i="23"/>
  <c r="P6" i="23"/>
  <c r="F17" i="23"/>
  <c r="G17" i="23" s="1"/>
  <c r="BE9" i="24"/>
  <c r="AR9" i="24"/>
  <c r="AF9" i="24"/>
  <c r="T9" i="24"/>
  <c r="H9" i="24"/>
  <c r="AZ9" i="24"/>
  <c r="AN9" i="24"/>
  <c r="AB9" i="24"/>
  <c r="P9" i="24"/>
  <c r="X9" i="24"/>
  <c r="AV9" i="24"/>
  <c r="L9" i="24"/>
  <c r="AJ9" i="24"/>
  <c r="BE7" i="24"/>
  <c r="AR7" i="24"/>
  <c r="AF7" i="24"/>
  <c r="T7" i="24"/>
  <c r="H7" i="24"/>
  <c r="AZ7" i="24"/>
  <c r="AN7" i="24"/>
  <c r="AB7" i="24"/>
  <c r="P7" i="24"/>
  <c r="X7" i="24"/>
  <c r="AV7" i="24"/>
  <c r="L7" i="24"/>
  <c r="AJ7" i="24"/>
  <c r="BE8" i="23"/>
  <c r="AR8" i="23"/>
  <c r="AF8" i="23"/>
  <c r="T8" i="23"/>
  <c r="H8" i="23"/>
  <c r="AZ8" i="23"/>
  <c r="AN8" i="23"/>
  <c r="AB8" i="23"/>
  <c r="P8" i="23"/>
  <c r="X8" i="23"/>
  <c r="AV8" i="23"/>
  <c r="L8" i="23"/>
  <c r="AJ8" i="23"/>
  <c r="AZ14" i="23"/>
  <c r="AN14" i="23"/>
  <c r="AB14" i="23"/>
  <c r="P14" i="23"/>
  <c r="AV14" i="23"/>
  <c r="AJ14" i="23"/>
  <c r="X14" i="23"/>
  <c r="L14" i="23"/>
  <c r="BE14" i="23"/>
  <c r="AR14" i="23"/>
  <c r="AF14" i="23"/>
  <c r="T14" i="23"/>
  <c r="H14" i="23"/>
  <c r="AZ16" i="24"/>
  <c r="AJ16" i="24"/>
  <c r="X16" i="24"/>
  <c r="L16" i="24"/>
  <c r="AR16" i="24"/>
  <c r="AB16" i="24"/>
  <c r="H16" i="24"/>
  <c r="BE16" i="24"/>
  <c r="AN16" i="24"/>
  <c r="T16" i="24"/>
  <c r="P16" i="24"/>
  <c r="AV16" i="24"/>
  <c r="AF16" i="24"/>
  <c r="BE15" i="23"/>
  <c r="AR15" i="23"/>
  <c r="AF15" i="23"/>
  <c r="T15" i="23"/>
  <c r="H15" i="23"/>
  <c r="AZ15" i="23"/>
  <c r="AN15" i="23"/>
  <c r="AB15" i="23"/>
  <c r="P15" i="23"/>
  <c r="AV15" i="23"/>
  <c r="AJ15" i="23"/>
  <c r="X15" i="23"/>
  <c r="L15" i="23"/>
  <c r="AZ14" i="24"/>
  <c r="AN14" i="24"/>
  <c r="AB14" i="24"/>
  <c r="P14" i="24"/>
  <c r="BE14" i="24"/>
  <c r="X14" i="24"/>
  <c r="H14" i="24"/>
  <c r="AJ14" i="24"/>
  <c r="T14" i="24"/>
  <c r="AV14" i="24"/>
  <c r="AF14" i="24"/>
  <c r="AR14" i="24"/>
  <c r="L14" i="24"/>
  <c r="AR10" i="23"/>
  <c r="AF10" i="23"/>
  <c r="T10" i="23"/>
  <c r="H10" i="23"/>
  <c r="AZ10" i="23"/>
  <c r="AN10" i="23"/>
  <c r="AB10" i="23"/>
  <c r="P10" i="23"/>
  <c r="AV10" i="23"/>
  <c r="X10" i="23"/>
  <c r="BE10" i="23"/>
  <c r="L10" i="23"/>
  <c r="AJ10" i="23"/>
  <c r="AV11" i="24"/>
  <c r="AJ11" i="24"/>
  <c r="AR11" i="24"/>
  <c r="BE11" i="24"/>
  <c r="AB11" i="24"/>
  <c r="P11" i="24"/>
  <c r="AN11" i="24"/>
  <c r="X11" i="24"/>
  <c r="L11" i="24"/>
  <c r="T11" i="24"/>
  <c r="AZ11" i="24"/>
  <c r="H11" i="24"/>
  <c r="AF11" i="24"/>
  <c r="BE13" i="23"/>
  <c r="AR13" i="23"/>
  <c r="AF13" i="23"/>
  <c r="T13" i="23"/>
  <c r="H13" i="23"/>
  <c r="AZ13" i="23"/>
  <c r="AN13" i="23"/>
  <c r="AB13" i="23"/>
  <c r="P13" i="23"/>
  <c r="AV13" i="23"/>
  <c r="AJ13" i="23"/>
  <c r="X13" i="23"/>
  <c r="L13" i="23"/>
  <c r="P5" i="23"/>
  <c r="AB5" i="23"/>
  <c r="AZ5" i="23"/>
  <c r="AN5" i="23"/>
  <c r="AJ5" i="23"/>
  <c r="L5" i="23"/>
  <c r="AF5" i="23"/>
  <c r="BE5" i="23"/>
  <c r="AV5" i="23"/>
  <c r="X5" i="23"/>
  <c r="H5" i="23"/>
  <c r="AR5" i="23"/>
  <c r="T5" i="23"/>
  <c r="AZ6" i="24"/>
  <c r="AN6" i="24"/>
  <c r="AB6" i="24"/>
  <c r="P6" i="24"/>
  <c r="AV6" i="24"/>
  <c r="AJ6" i="24"/>
  <c r="X6" i="24"/>
  <c r="L6" i="24"/>
  <c r="AR6" i="24"/>
  <c r="H6" i="24"/>
  <c r="AF6" i="24"/>
  <c r="BE6" i="24"/>
  <c r="T6" i="24"/>
  <c r="AW14" i="24" l="1"/>
  <c r="AX14" i="24" s="1"/>
  <c r="Q16" i="24"/>
  <c r="R16" i="24" s="1"/>
  <c r="AR17" i="25"/>
  <c r="AS4" i="25" s="1"/>
  <c r="T17" i="23"/>
  <c r="T18" i="23" s="1"/>
  <c r="K24" i="23" s="1"/>
  <c r="P17" i="24"/>
  <c r="Q4" i="24"/>
  <c r="BE17" i="25"/>
  <c r="BF4" i="25"/>
  <c r="AB17" i="23"/>
  <c r="AB18" i="23" s="1"/>
  <c r="M24" i="23" s="1"/>
  <c r="BF8" i="24"/>
  <c r="BG8" i="24" s="1"/>
  <c r="AB17" i="24"/>
  <c r="AC6" i="24" s="1"/>
  <c r="AD6" i="24" s="1"/>
  <c r="AC4" i="24"/>
  <c r="AK12" i="24"/>
  <c r="AL12" i="24" s="1"/>
  <c r="BA11" i="24"/>
  <c r="BB11" i="24" s="1"/>
  <c r="AK13" i="24"/>
  <c r="AL13" i="24" s="1"/>
  <c r="AF17" i="25"/>
  <c r="AG4" i="25"/>
  <c r="H17" i="23"/>
  <c r="H18" i="23" s="1"/>
  <c r="H24" i="23" s="1"/>
  <c r="AN17" i="24"/>
  <c r="AO4" i="24"/>
  <c r="AC11" i="23"/>
  <c r="AD11" i="23" s="1"/>
  <c r="I12" i="24"/>
  <c r="J12" i="24" s="1"/>
  <c r="AO16" i="24"/>
  <c r="AP16" i="24" s="1"/>
  <c r="I14" i="24"/>
  <c r="J14" i="24" s="1"/>
  <c r="BF16" i="24"/>
  <c r="BG16" i="24" s="1"/>
  <c r="BA7" i="24"/>
  <c r="BB7" i="24" s="1"/>
  <c r="X17" i="25"/>
  <c r="Y4" i="25" s="1"/>
  <c r="T17" i="25"/>
  <c r="U4" i="25"/>
  <c r="AZ17" i="23"/>
  <c r="AZ18" i="23" s="1"/>
  <c r="S24" i="23" s="1"/>
  <c r="Q15" i="24"/>
  <c r="R15" i="24" s="1"/>
  <c r="AZ17" i="24"/>
  <c r="BA4" i="24" s="1"/>
  <c r="U16" i="23"/>
  <c r="V16" i="23" s="1"/>
  <c r="Q12" i="24"/>
  <c r="R12" i="24" s="1"/>
  <c r="AK9" i="24"/>
  <c r="AL9" i="24" s="1"/>
  <c r="Y13" i="24"/>
  <c r="Z13" i="24" s="1"/>
  <c r="H17" i="25"/>
  <c r="I4" i="25"/>
  <c r="AJ17" i="23"/>
  <c r="AJ18" i="23" s="1"/>
  <c r="O24" i="23" s="1"/>
  <c r="H17" i="24"/>
  <c r="I9" i="24" s="1"/>
  <c r="J9" i="24" s="1"/>
  <c r="I4" i="24"/>
  <c r="AC12" i="24"/>
  <c r="AD12" i="24" s="1"/>
  <c r="Q6" i="24"/>
  <c r="R6" i="24" s="1"/>
  <c r="AG5" i="23"/>
  <c r="AH5" i="23" s="1"/>
  <c r="AC16" i="24"/>
  <c r="AD16" i="24" s="1"/>
  <c r="AS8" i="23"/>
  <c r="AT8" i="23" s="1"/>
  <c r="U7" i="24"/>
  <c r="V7" i="24" s="1"/>
  <c r="AO13" i="24"/>
  <c r="AP13" i="24" s="1"/>
  <c r="AJ17" i="25"/>
  <c r="AK4" i="25"/>
  <c r="X17" i="23"/>
  <c r="X18" i="23" s="1"/>
  <c r="L24" i="23" s="1"/>
  <c r="AW8" i="24"/>
  <c r="AX8" i="24" s="1"/>
  <c r="AG10" i="24"/>
  <c r="AH10" i="24" s="1"/>
  <c r="T17" i="24"/>
  <c r="U14" i="24" s="1"/>
  <c r="V14" i="24" s="1"/>
  <c r="AS16" i="23"/>
  <c r="AT16" i="23" s="1"/>
  <c r="AO6" i="24"/>
  <c r="AP6" i="24" s="1"/>
  <c r="AO11" i="24"/>
  <c r="AP11" i="24" s="1"/>
  <c r="Q14" i="24"/>
  <c r="R14" i="24" s="1"/>
  <c r="AG7" i="24"/>
  <c r="AH7" i="24" s="1"/>
  <c r="AW9" i="24"/>
  <c r="AX9" i="24" s="1"/>
  <c r="U6" i="23"/>
  <c r="V6" i="23" s="1"/>
  <c r="I13" i="24"/>
  <c r="J13" i="24" s="1"/>
  <c r="P17" i="25"/>
  <c r="AV17" i="23"/>
  <c r="AV18" i="23" s="1"/>
  <c r="R24" i="23" s="1"/>
  <c r="Q8" i="24"/>
  <c r="R8" i="24" s="1"/>
  <c r="AF17" i="24"/>
  <c r="AG11" i="24" s="1"/>
  <c r="AH11" i="24" s="1"/>
  <c r="M12" i="24"/>
  <c r="N12" i="24" s="1"/>
  <c r="BA12" i="24"/>
  <c r="BB12" i="24" s="1"/>
  <c r="AK6" i="24"/>
  <c r="AL6" i="24" s="1"/>
  <c r="Q11" i="24"/>
  <c r="R11" i="24" s="1"/>
  <c r="AC14" i="24"/>
  <c r="AD14" i="24" s="1"/>
  <c r="AS7" i="24"/>
  <c r="AT7" i="24" s="1"/>
  <c r="Y9" i="24"/>
  <c r="Z9" i="24" s="1"/>
  <c r="AV17" i="25"/>
  <c r="AW4" i="25"/>
  <c r="AR17" i="23"/>
  <c r="AR18" i="23" s="1"/>
  <c r="Q24" i="23" s="1"/>
  <c r="L17" i="23"/>
  <c r="L18" i="23" s="1"/>
  <c r="I24" i="23" s="1"/>
  <c r="AC8" i="24"/>
  <c r="AD8" i="24" s="1"/>
  <c r="AS9" i="23"/>
  <c r="AT9" i="23" s="1"/>
  <c r="AS15" i="24"/>
  <c r="AT15" i="24" s="1"/>
  <c r="BF10" i="24"/>
  <c r="BG10" i="24" s="1"/>
  <c r="AR17" i="24"/>
  <c r="AO14" i="24"/>
  <c r="AP14" i="24" s="1"/>
  <c r="U15" i="23"/>
  <c r="V15" i="23" s="1"/>
  <c r="Y14" i="23"/>
  <c r="Z14" i="23" s="1"/>
  <c r="Q9" i="24"/>
  <c r="R9" i="24" s="1"/>
  <c r="AC13" i="24"/>
  <c r="AD13" i="24" s="1"/>
  <c r="L17" i="25"/>
  <c r="M4" i="25"/>
  <c r="P17" i="23"/>
  <c r="P18" i="23" s="1"/>
  <c r="J24" i="23" s="1"/>
  <c r="AO8" i="24"/>
  <c r="AP8" i="24" s="1"/>
  <c r="BA15" i="24"/>
  <c r="BB15" i="24" s="1"/>
  <c r="AJ17" i="24"/>
  <c r="AK8" i="24" s="1"/>
  <c r="AL8" i="24" s="1"/>
  <c r="AK4" i="24"/>
  <c r="BE17" i="24"/>
  <c r="BF11" i="24" s="1"/>
  <c r="BG11" i="24" s="1"/>
  <c r="BF4" i="24"/>
  <c r="Y16" i="23"/>
  <c r="Z16" i="23" s="1"/>
  <c r="AS11" i="23"/>
  <c r="AT11" i="23" s="1"/>
  <c r="AS12" i="24"/>
  <c r="AT12" i="24" s="1"/>
  <c r="AS13" i="24"/>
  <c r="AT13" i="24" s="1"/>
  <c r="BA4" i="25"/>
  <c r="AZ17" i="25"/>
  <c r="AF17" i="23"/>
  <c r="AF18" i="23" s="1"/>
  <c r="N24" i="23" s="1"/>
  <c r="AG4" i="23"/>
  <c r="BA8" i="24"/>
  <c r="BB8" i="24" s="1"/>
  <c r="Y9" i="23"/>
  <c r="Z9" i="23" s="1"/>
  <c r="Y15" i="24"/>
  <c r="Z15" i="24" s="1"/>
  <c r="Y10" i="24"/>
  <c r="Z10" i="24" s="1"/>
  <c r="L17" i="24"/>
  <c r="M9" i="24" s="1"/>
  <c r="N9" i="24" s="1"/>
  <c r="M4" i="24"/>
  <c r="AK16" i="24"/>
  <c r="AL16" i="24" s="1"/>
  <c r="AW7" i="24"/>
  <c r="AX7" i="24" s="1"/>
  <c r="AS8" i="24"/>
  <c r="AT8" i="24" s="1"/>
  <c r="AK15" i="24"/>
  <c r="AL15" i="24" s="1"/>
  <c r="AV17" i="24"/>
  <c r="AW11" i="24" s="1"/>
  <c r="AX11" i="24" s="1"/>
  <c r="AW4" i="24"/>
  <c r="AG12" i="24"/>
  <c r="AH12" i="24" s="1"/>
  <c r="AG6" i="24"/>
  <c r="AH6" i="24" s="1"/>
  <c r="BA14" i="24"/>
  <c r="BB14" i="24" s="1"/>
  <c r="AS13" i="23"/>
  <c r="AT13" i="23" s="1"/>
  <c r="AS11" i="24"/>
  <c r="AT11" i="24" s="1"/>
  <c r="AS14" i="24"/>
  <c r="AT14" i="24" s="1"/>
  <c r="AG16" i="24"/>
  <c r="AH16" i="24" s="1"/>
  <c r="BA16" i="24"/>
  <c r="BB16" i="24" s="1"/>
  <c r="AW13" i="24"/>
  <c r="AX13" i="24" s="1"/>
  <c r="AN17" i="25"/>
  <c r="AN17" i="23"/>
  <c r="AN18" i="23" s="1"/>
  <c r="P24" i="23" s="1"/>
  <c r="AO4" i="23"/>
  <c r="AS6" i="24"/>
  <c r="AT6" i="24" s="1"/>
  <c r="AK11" i="24"/>
  <c r="AL11" i="24" s="1"/>
  <c r="AW16" i="24"/>
  <c r="AX16" i="24" s="1"/>
  <c r="Y7" i="24"/>
  <c r="Z7" i="24" s="1"/>
  <c r="BA9" i="24"/>
  <c r="BB9" i="24" s="1"/>
  <c r="Q13" i="24"/>
  <c r="R13" i="24" s="1"/>
  <c r="AB17" i="25"/>
  <c r="BE17" i="23"/>
  <c r="BE18" i="23" s="1"/>
  <c r="T24" i="23" s="1"/>
  <c r="BF4" i="23"/>
  <c r="AO15" i="24"/>
  <c r="AP15" i="24" s="1"/>
  <c r="Q10" i="24"/>
  <c r="R10" i="24" s="1"/>
  <c r="AW10" i="24"/>
  <c r="AX10" i="24" s="1"/>
  <c r="X17" i="24"/>
  <c r="Y4" i="24"/>
  <c r="AW12" i="24"/>
  <c r="AX12" i="24" s="1"/>
  <c r="AS12" i="23"/>
  <c r="AT12" i="23" s="1"/>
  <c r="Y10" i="23" l="1"/>
  <c r="Z10" i="23" s="1"/>
  <c r="AK6" i="23"/>
  <c r="AL6" i="23" s="1"/>
  <c r="U10" i="23"/>
  <c r="V10" i="23" s="1"/>
  <c r="Q5" i="23"/>
  <c r="R5" i="23" s="1"/>
  <c r="BA7" i="23"/>
  <c r="BB7" i="23" s="1"/>
  <c r="AS4" i="23"/>
  <c r="AS14" i="23"/>
  <c r="AT14" i="23" s="1"/>
  <c r="AS10" i="23"/>
  <c r="AT10" i="23" s="1"/>
  <c r="AC10" i="23"/>
  <c r="AD10" i="23" s="1"/>
  <c r="AC5" i="23"/>
  <c r="AD5" i="23" s="1"/>
  <c r="AK12" i="23"/>
  <c r="AL12" i="23" s="1"/>
  <c r="U8" i="23"/>
  <c r="V8" i="23" s="1"/>
  <c r="U14" i="23"/>
  <c r="V14" i="23" s="1"/>
  <c r="U5" i="23"/>
  <c r="V5" i="23" s="1"/>
  <c r="Y7" i="23"/>
  <c r="Z7" i="23" s="1"/>
  <c r="U11" i="23"/>
  <c r="V11" i="23" s="1"/>
  <c r="BF5" i="23"/>
  <c r="BG5" i="23" s="1"/>
  <c r="AC15" i="23"/>
  <c r="AD15" i="23" s="1"/>
  <c r="AG7" i="23"/>
  <c r="AH7" i="23" s="1"/>
  <c r="BA16" i="23"/>
  <c r="BB16" i="23" s="1"/>
  <c r="BA11" i="23"/>
  <c r="BB11" i="23" s="1"/>
  <c r="BA12" i="23"/>
  <c r="BB12" i="23" s="1"/>
  <c r="AW6" i="23"/>
  <c r="AX6" i="23" s="1"/>
  <c r="AG9" i="23"/>
  <c r="AH9" i="23" s="1"/>
  <c r="I7" i="23"/>
  <c r="J7" i="23" s="1"/>
  <c r="AO12" i="23"/>
  <c r="AP12" i="23" s="1"/>
  <c r="AC8" i="23"/>
  <c r="AD8" i="23" s="1"/>
  <c r="AC7" i="23"/>
  <c r="AD7" i="23" s="1"/>
  <c r="AG10" i="23"/>
  <c r="AH10" i="23" s="1"/>
  <c r="AG15" i="23"/>
  <c r="AH15" i="23" s="1"/>
  <c r="AW14" i="23"/>
  <c r="AX14" i="23" s="1"/>
  <c r="BF11" i="23"/>
  <c r="BG11" i="23" s="1"/>
  <c r="BF12" i="23"/>
  <c r="BG12" i="23" s="1"/>
  <c r="BA5" i="23"/>
  <c r="BB5" i="23" s="1"/>
  <c r="BA15" i="23"/>
  <c r="BB15" i="23" s="1"/>
  <c r="BF7" i="23"/>
  <c r="BG7" i="23" s="1"/>
  <c r="AG16" i="23"/>
  <c r="AH16" i="23" s="1"/>
  <c r="Y6" i="23"/>
  <c r="Z6" i="23" s="1"/>
  <c r="AW10" i="23"/>
  <c r="AX10" i="23" s="1"/>
  <c r="BF10" i="23"/>
  <c r="BG10" i="23" s="1"/>
  <c r="BF15" i="23"/>
  <c r="BG15" i="23" s="1"/>
  <c r="Y8" i="23"/>
  <c r="Z8" i="23" s="1"/>
  <c r="BF9" i="23"/>
  <c r="BG9" i="23" s="1"/>
  <c r="AG11" i="23"/>
  <c r="AH11" i="23" s="1"/>
  <c r="BF16" i="23"/>
  <c r="BG16" i="23" s="1"/>
  <c r="AS15" i="23"/>
  <c r="AT15" i="23" s="1"/>
  <c r="AG13" i="23"/>
  <c r="AH13" i="23" s="1"/>
  <c r="M8" i="23"/>
  <c r="N8" i="23" s="1"/>
  <c r="BA13" i="23"/>
  <c r="BB13" i="23" s="1"/>
  <c r="BF6" i="23"/>
  <c r="BG6" i="23" s="1"/>
  <c r="AC9" i="23"/>
  <c r="AD9" i="23" s="1"/>
  <c r="BF13" i="23"/>
  <c r="BG13" i="23" s="1"/>
  <c r="AK9" i="23"/>
  <c r="AL9" i="23" s="1"/>
  <c r="Q4" i="23"/>
  <c r="M14" i="23"/>
  <c r="N14" i="23" s="1"/>
  <c r="BA4" i="23"/>
  <c r="BB4" i="23" s="1"/>
  <c r="AG12" i="23"/>
  <c r="AH12" i="23" s="1"/>
  <c r="U7" i="23"/>
  <c r="V7" i="23" s="1"/>
  <c r="AT4" i="25"/>
  <c r="Z4" i="25"/>
  <c r="BB4" i="24"/>
  <c r="M7" i="24"/>
  <c r="N7" i="24" s="1"/>
  <c r="Q8" i="23"/>
  <c r="R8" i="23" s="1"/>
  <c r="AZ18" i="25"/>
  <c r="S24" i="25" s="1"/>
  <c r="BA9" i="25"/>
  <c r="BB9" i="25" s="1"/>
  <c r="BA12" i="25"/>
  <c r="BB12" i="25" s="1"/>
  <c r="BA8" i="25"/>
  <c r="BB8" i="25" s="1"/>
  <c r="BA15" i="25"/>
  <c r="BB15" i="25" s="1"/>
  <c r="BA10" i="25"/>
  <c r="BB10" i="25" s="1"/>
  <c r="BA13" i="25"/>
  <c r="BB13" i="25" s="1"/>
  <c r="BA11" i="25"/>
  <c r="BB11" i="25" s="1"/>
  <c r="BA5" i="25"/>
  <c r="BB5" i="25" s="1"/>
  <c r="BA7" i="25"/>
  <c r="BB7" i="25" s="1"/>
  <c r="BA16" i="25"/>
  <c r="BB16" i="25" s="1"/>
  <c r="BA6" i="25"/>
  <c r="BB6" i="25" s="1"/>
  <c r="BA14" i="25"/>
  <c r="BB14" i="25" s="1"/>
  <c r="Q12" i="23"/>
  <c r="R12" i="23" s="1"/>
  <c r="AW8" i="23"/>
  <c r="AX8" i="23" s="1"/>
  <c r="AR18" i="24"/>
  <c r="Q24" i="24" s="1"/>
  <c r="AS5" i="24"/>
  <c r="AT5" i="24" s="1"/>
  <c r="I6" i="23"/>
  <c r="J6" i="23" s="1"/>
  <c r="AS16" i="24"/>
  <c r="AT16" i="24" s="1"/>
  <c r="I11" i="23"/>
  <c r="J11" i="23" s="1"/>
  <c r="I16" i="24"/>
  <c r="J16" i="24" s="1"/>
  <c r="I14" i="23"/>
  <c r="J14" i="23" s="1"/>
  <c r="M8" i="24"/>
  <c r="N8" i="24" s="1"/>
  <c r="BA9" i="23"/>
  <c r="BB9" i="23" s="1"/>
  <c r="U16" i="24"/>
  <c r="V16" i="24" s="1"/>
  <c r="Q9" i="23"/>
  <c r="R9" i="23" s="1"/>
  <c r="AC14" i="23"/>
  <c r="AD14" i="23" s="1"/>
  <c r="Z4" i="24"/>
  <c r="AK15" i="23"/>
  <c r="AL15" i="23" s="1"/>
  <c r="AC13" i="23"/>
  <c r="AD13" i="23" s="1"/>
  <c r="AG8" i="24"/>
  <c r="AH8" i="24" s="1"/>
  <c r="BB4" i="25"/>
  <c r="X18" i="24"/>
  <c r="L24" i="24" s="1"/>
  <c r="Y5" i="24"/>
  <c r="Z5" i="24" s="1"/>
  <c r="Q6" i="23"/>
  <c r="R6" i="23" s="1"/>
  <c r="M13" i="23"/>
  <c r="N13" i="23" s="1"/>
  <c r="M11" i="24"/>
  <c r="N11" i="24" s="1"/>
  <c r="AK16" i="23"/>
  <c r="AL16" i="23" s="1"/>
  <c r="Y16" i="24"/>
  <c r="Z16" i="24" s="1"/>
  <c r="AW4" i="23"/>
  <c r="U4" i="24"/>
  <c r="M12" i="23"/>
  <c r="N12" i="23" s="1"/>
  <c r="AK4" i="23"/>
  <c r="Y14" i="24"/>
  <c r="Z14" i="24" s="1"/>
  <c r="Y8" i="24"/>
  <c r="Z8" i="24" s="1"/>
  <c r="I4" i="23"/>
  <c r="I12" i="23"/>
  <c r="J12" i="23" s="1"/>
  <c r="AC4" i="23"/>
  <c r="U12" i="23"/>
  <c r="V12" i="23" s="1"/>
  <c r="U4" i="23"/>
  <c r="Y15" i="23"/>
  <c r="Z15" i="23" s="1"/>
  <c r="P18" i="25"/>
  <c r="J24" i="25" s="1"/>
  <c r="Q9" i="25"/>
  <c r="R9" i="25" s="1"/>
  <c r="Q7" i="25"/>
  <c r="R7" i="25" s="1"/>
  <c r="Q11" i="25"/>
  <c r="R11" i="25" s="1"/>
  <c r="Q12" i="25"/>
  <c r="R12" i="25" s="1"/>
  <c r="Q15" i="25"/>
  <c r="R15" i="25" s="1"/>
  <c r="Q13" i="25"/>
  <c r="R13" i="25" s="1"/>
  <c r="Q6" i="25"/>
  <c r="R6" i="25" s="1"/>
  <c r="Q5" i="25"/>
  <c r="R5" i="25" s="1"/>
  <c r="Q14" i="25"/>
  <c r="R14" i="25" s="1"/>
  <c r="Q8" i="25"/>
  <c r="R8" i="25" s="1"/>
  <c r="Q16" i="25"/>
  <c r="R16" i="25" s="1"/>
  <c r="Q10" i="25"/>
  <c r="R10" i="25" s="1"/>
  <c r="T18" i="24"/>
  <c r="K24" i="24" s="1"/>
  <c r="U5" i="24"/>
  <c r="V5" i="24" s="1"/>
  <c r="AH4" i="25"/>
  <c r="I10" i="23"/>
  <c r="J10" i="23" s="1"/>
  <c r="U12" i="24"/>
  <c r="V12" i="24" s="1"/>
  <c r="Q4" i="25"/>
  <c r="AW7" i="23"/>
  <c r="AX7" i="23" s="1"/>
  <c r="H18" i="25"/>
  <c r="H24" i="25" s="1"/>
  <c r="I9" i="25"/>
  <c r="J9" i="25" s="1"/>
  <c r="I8" i="25"/>
  <c r="J8" i="25" s="1"/>
  <c r="I6" i="25"/>
  <c r="J6" i="25" s="1"/>
  <c r="I15" i="25"/>
  <c r="J15" i="25" s="1"/>
  <c r="I10" i="25"/>
  <c r="J10" i="25" s="1"/>
  <c r="I16" i="25"/>
  <c r="J16" i="25" s="1"/>
  <c r="I5" i="25"/>
  <c r="J5" i="25" s="1"/>
  <c r="I14" i="25"/>
  <c r="J14" i="25" s="1"/>
  <c r="I12" i="25"/>
  <c r="J12" i="25" s="1"/>
  <c r="I13" i="25"/>
  <c r="J13" i="25" s="1"/>
  <c r="I7" i="25"/>
  <c r="J7" i="25" s="1"/>
  <c r="I11" i="25"/>
  <c r="J11" i="25" s="1"/>
  <c r="Q15" i="23"/>
  <c r="R15" i="23" s="1"/>
  <c r="M7" i="23"/>
  <c r="N7" i="23" s="1"/>
  <c r="AF18" i="25"/>
  <c r="N24" i="25" s="1"/>
  <c r="AG9" i="25"/>
  <c r="AH9" i="25" s="1"/>
  <c r="AG5" i="25"/>
  <c r="AH5" i="25" s="1"/>
  <c r="AG6" i="25"/>
  <c r="AH6" i="25" s="1"/>
  <c r="AG12" i="25"/>
  <c r="AH12" i="25" s="1"/>
  <c r="AG15" i="25"/>
  <c r="AH15" i="25" s="1"/>
  <c r="AG10" i="25"/>
  <c r="AH10" i="25" s="1"/>
  <c r="AG16" i="25"/>
  <c r="AH16" i="25" s="1"/>
  <c r="AG11" i="25"/>
  <c r="AH11" i="25" s="1"/>
  <c r="AG13" i="25"/>
  <c r="AH13" i="25" s="1"/>
  <c r="AG7" i="25"/>
  <c r="AH7" i="25" s="1"/>
  <c r="AG14" i="25"/>
  <c r="AH14" i="25" s="1"/>
  <c r="AG8" i="25"/>
  <c r="AH8" i="25" s="1"/>
  <c r="BG4" i="25"/>
  <c r="I11" i="24"/>
  <c r="J11" i="24" s="1"/>
  <c r="AS7" i="23"/>
  <c r="AT7" i="23" s="1"/>
  <c r="BA10" i="23"/>
  <c r="BB10" i="23" s="1"/>
  <c r="N4" i="25"/>
  <c r="V4" i="25"/>
  <c r="AW11" i="23"/>
  <c r="AX11" i="23" s="1"/>
  <c r="BE18" i="25"/>
  <c r="T24" i="25" s="1"/>
  <c r="BF9" i="25"/>
  <c r="BG9" i="25" s="1"/>
  <c r="BF6" i="25"/>
  <c r="BG6" i="25" s="1"/>
  <c r="BF5" i="25"/>
  <c r="BG5" i="25" s="1"/>
  <c r="BF8" i="25"/>
  <c r="BG8" i="25" s="1"/>
  <c r="BF11" i="25"/>
  <c r="BG11" i="25" s="1"/>
  <c r="BF12" i="25"/>
  <c r="BG12" i="25" s="1"/>
  <c r="BF10" i="25"/>
  <c r="BG10" i="25" s="1"/>
  <c r="BF16" i="25"/>
  <c r="BG16" i="25" s="1"/>
  <c r="BF15" i="25"/>
  <c r="BG15" i="25" s="1"/>
  <c r="BF13" i="25"/>
  <c r="BG13" i="25" s="1"/>
  <c r="BF7" i="25"/>
  <c r="BG7" i="25" s="1"/>
  <c r="BF14" i="25"/>
  <c r="BG14" i="25" s="1"/>
  <c r="AK13" i="23"/>
  <c r="AL13" i="23" s="1"/>
  <c r="AK11" i="23"/>
  <c r="AL11" i="23" s="1"/>
  <c r="AR18" i="25"/>
  <c r="Q24" i="25" s="1"/>
  <c r="AS9" i="25"/>
  <c r="AT9" i="25" s="1"/>
  <c r="AS15" i="25"/>
  <c r="AT15" i="25" s="1"/>
  <c r="AS6" i="25"/>
  <c r="AT6" i="25" s="1"/>
  <c r="AS12" i="25"/>
  <c r="AT12" i="25" s="1"/>
  <c r="AS7" i="25"/>
  <c r="AT7" i="25" s="1"/>
  <c r="AS10" i="25"/>
  <c r="AT10" i="25" s="1"/>
  <c r="AS13" i="25"/>
  <c r="AT13" i="25" s="1"/>
  <c r="AS11" i="25"/>
  <c r="AT11" i="25" s="1"/>
  <c r="AS8" i="25"/>
  <c r="AT8" i="25" s="1"/>
  <c r="AS14" i="25"/>
  <c r="AT14" i="25" s="1"/>
  <c r="AS5" i="25"/>
  <c r="AT5" i="25" s="1"/>
  <c r="AS16" i="25"/>
  <c r="AT16" i="25" s="1"/>
  <c r="L18" i="24"/>
  <c r="I24" i="24" s="1"/>
  <c r="M5" i="24"/>
  <c r="N5" i="24" s="1"/>
  <c r="U15" i="24"/>
  <c r="V15" i="24" s="1"/>
  <c r="AW9" i="23"/>
  <c r="AX9" i="23" s="1"/>
  <c r="Q14" i="23"/>
  <c r="R14" i="23" s="1"/>
  <c r="M11" i="23"/>
  <c r="N11" i="23" s="1"/>
  <c r="BG4" i="24"/>
  <c r="L18" i="25"/>
  <c r="I24" i="25" s="1"/>
  <c r="M9" i="25"/>
  <c r="N9" i="25" s="1"/>
  <c r="M8" i="25"/>
  <c r="N8" i="25" s="1"/>
  <c r="M7" i="25"/>
  <c r="N7" i="25" s="1"/>
  <c r="M15" i="25"/>
  <c r="N15" i="25" s="1"/>
  <c r="M6" i="25"/>
  <c r="N6" i="25" s="1"/>
  <c r="M11" i="25"/>
  <c r="N11" i="25" s="1"/>
  <c r="M13" i="25"/>
  <c r="N13" i="25" s="1"/>
  <c r="M5" i="25"/>
  <c r="N5" i="25" s="1"/>
  <c r="M16" i="25"/>
  <c r="N16" i="25" s="1"/>
  <c r="M14" i="25"/>
  <c r="N14" i="25" s="1"/>
  <c r="M12" i="25"/>
  <c r="N12" i="25" s="1"/>
  <c r="M10" i="25"/>
  <c r="N10" i="25" s="1"/>
  <c r="AW12" i="23"/>
  <c r="AX12" i="23" s="1"/>
  <c r="M4" i="23"/>
  <c r="I15" i="23"/>
  <c r="J15" i="23" s="1"/>
  <c r="M5" i="23"/>
  <c r="N5" i="23" s="1"/>
  <c r="AS6" i="23"/>
  <c r="AT6" i="23" s="1"/>
  <c r="AK7" i="23"/>
  <c r="AL7" i="23" s="1"/>
  <c r="T18" i="25"/>
  <c r="K24" i="25" s="1"/>
  <c r="U9" i="25"/>
  <c r="V9" i="25" s="1"/>
  <c r="U10" i="25"/>
  <c r="V10" i="25" s="1"/>
  <c r="U11" i="25"/>
  <c r="V11" i="25" s="1"/>
  <c r="U16" i="25"/>
  <c r="V16" i="25" s="1"/>
  <c r="U15" i="25"/>
  <c r="V15" i="25" s="1"/>
  <c r="U5" i="25"/>
  <c r="V5" i="25" s="1"/>
  <c r="U7" i="25"/>
  <c r="V7" i="25" s="1"/>
  <c r="U14" i="25"/>
  <c r="V14" i="25" s="1"/>
  <c r="U12" i="25"/>
  <c r="V12" i="25" s="1"/>
  <c r="U13" i="25"/>
  <c r="V13" i="25" s="1"/>
  <c r="U6" i="25"/>
  <c r="V6" i="25" s="1"/>
  <c r="U8" i="25"/>
  <c r="V8" i="25" s="1"/>
  <c r="I16" i="23"/>
  <c r="J16" i="23" s="1"/>
  <c r="BA6" i="23"/>
  <c r="BB6" i="23" s="1"/>
  <c r="Q11" i="23"/>
  <c r="R11" i="23" s="1"/>
  <c r="AG13" i="24"/>
  <c r="AH13" i="24" s="1"/>
  <c r="I5" i="23"/>
  <c r="J5" i="23" s="1"/>
  <c r="Q16" i="23"/>
  <c r="R16" i="23" s="1"/>
  <c r="BF13" i="24"/>
  <c r="BG13" i="24" s="1"/>
  <c r="N4" i="24"/>
  <c r="M16" i="24"/>
  <c r="N16" i="24" s="1"/>
  <c r="AT4" i="23"/>
  <c r="AF18" i="24"/>
  <c r="N24" i="24" s="1"/>
  <c r="AG5" i="24"/>
  <c r="AH5" i="24" s="1"/>
  <c r="AO15" i="23"/>
  <c r="AP15" i="23" s="1"/>
  <c r="J4" i="24"/>
  <c r="BF9" i="24"/>
  <c r="BG9" i="24" s="1"/>
  <c r="AO11" i="23"/>
  <c r="AP11" i="23" s="1"/>
  <c r="U11" i="24"/>
  <c r="V11" i="24" s="1"/>
  <c r="AP4" i="24"/>
  <c r="AG9" i="24"/>
  <c r="AH9" i="24" s="1"/>
  <c r="AC16" i="23"/>
  <c r="AD16" i="23" s="1"/>
  <c r="AC6" i="23"/>
  <c r="AD6" i="23" s="1"/>
  <c r="Y6" i="24"/>
  <c r="Z6" i="24" s="1"/>
  <c r="R4" i="24"/>
  <c r="U13" i="24"/>
  <c r="V13" i="24" s="1"/>
  <c r="AS5" i="23"/>
  <c r="AT5" i="23" s="1"/>
  <c r="U8" i="24"/>
  <c r="V8" i="24" s="1"/>
  <c r="AW16" i="23"/>
  <c r="AX16" i="23" s="1"/>
  <c r="Q13" i="23"/>
  <c r="R13" i="23" s="1"/>
  <c r="AN18" i="24"/>
  <c r="P24" i="24" s="1"/>
  <c r="AO5" i="24"/>
  <c r="AP5" i="24" s="1"/>
  <c r="AO7" i="24"/>
  <c r="AP7" i="24" s="1"/>
  <c r="AC17" i="24"/>
  <c r="AD4" i="24"/>
  <c r="U9" i="24"/>
  <c r="V9" i="24" s="1"/>
  <c r="Y13" i="23"/>
  <c r="Z13" i="23" s="1"/>
  <c r="P18" i="24"/>
  <c r="J24" i="24" s="1"/>
  <c r="Q5" i="24"/>
  <c r="R5" i="24" s="1"/>
  <c r="AO6" i="23"/>
  <c r="AP6" i="23" s="1"/>
  <c r="AO5" i="23"/>
  <c r="AP5" i="23" s="1"/>
  <c r="AP4" i="23"/>
  <c r="Q10" i="23"/>
  <c r="R10" i="23" s="1"/>
  <c r="AN18" i="25"/>
  <c r="P24" i="25" s="1"/>
  <c r="AO9" i="25"/>
  <c r="AP9" i="25" s="1"/>
  <c r="AO11" i="25"/>
  <c r="AP11" i="25" s="1"/>
  <c r="AO16" i="25"/>
  <c r="AP16" i="25" s="1"/>
  <c r="AO12" i="25"/>
  <c r="AP12" i="25" s="1"/>
  <c r="AO5" i="25"/>
  <c r="AP5" i="25" s="1"/>
  <c r="AO7" i="25"/>
  <c r="AP7" i="25" s="1"/>
  <c r="AO10" i="25"/>
  <c r="AP10" i="25" s="1"/>
  <c r="AO14" i="25"/>
  <c r="AP14" i="25" s="1"/>
  <c r="AO13" i="25"/>
  <c r="AP13" i="25" s="1"/>
  <c r="AO15" i="25"/>
  <c r="AP15" i="25" s="1"/>
  <c r="AO6" i="25"/>
  <c r="AP6" i="25" s="1"/>
  <c r="AO8" i="25"/>
  <c r="AP8" i="25" s="1"/>
  <c r="M15" i="23"/>
  <c r="N15" i="23" s="1"/>
  <c r="AJ18" i="24"/>
  <c r="O24" i="24" s="1"/>
  <c r="AK5" i="24"/>
  <c r="AL5" i="24" s="1"/>
  <c r="AW5" i="23"/>
  <c r="AX5" i="23" s="1"/>
  <c r="AO10" i="24"/>
  <c r="AP10" i="24" s="1"/>
  <c r="AB18" i="24"/>
  <c r="M24" i="24" s="1"/>
  <c r="AC5" i="24"/>
  <c r="AD5" i="24" s="1"/>
  <c r="AC7" i="24"/>
  <c r="AD7" i="24" s="1"/>
  <c r="I13" i="23"/>
  <c r="J13" i="23" s="1"/>
  <c r="BE18" i="24"/>
  <c r="T24" i="24" s="1"/>
  <c r="BF5" i="24"/>
  <c r="BG5" i="24" s="1"/>
  <c r="Y12" i="24"/>
  <c r="Z12" i="24" s="1"/>
  <c r="BG4" i="23"/>
  <c r="AO16" i="23"/>
  <c r="AP16" i="23" s="1"/>
  <c r="AL4" i="24"/>
  <c r="M6" i="23"/>
  <c r="N6" i="23" s="1"/>
  <c r="AO7" i="23"/>
  <c r="AP7" i="23" s="1"/>
  <c r="AG4" i="24"/>
  <c r="BF14" i="24"/>
  <c r="BG14" i="24" s="1"/>
  <c r="H18" i="24"/>
  <c r="H24" i="24" s="1"/>
  <c r="I5" i="24"/>
  <c r="J5" i="24" s="1"/>
  <c r="AX4" i="25"/>
  <c r="BA14" i="23"/>
  <c r="BB14" i="23" s="1"/>
  <c r="M6" i="24"/>
  <c r="N6" i="24" s="1"/>
  <c r="AB18" i="25"/>
  <c r="M24" i="25" s="1"/>
  <c r="AC9" i="25"/>
  <c r="AD9" i="25" s="1"/>
  <c r="AC7" i="25"/>
  <c r="AD7" i="25" s="1"/>
  <c r="AC8" i="25"/>
  <c r="AD8" i="25" s="1"/>
  <c r="AC13" i="25"/>
  <c r="AD13" i="25" s="1"/>
  <c r="AC15" i="25"/>
  <c r="AD15" i="25" s="1"/>
  <c r="AC14" i="25"/>
  <c r="AD14" i="25" s="1"/>
  <c r="AC6" i="25"/>
  <c r="AD6" i="25" s="1"/>
  <c r="AC12" i="25"/>
  <c r="AD12" i="25" s="1"/>
  <c r="AC5" i="25"/>
  <c r="AD5" i="25" s="1"/>
  <c r="AC11" i="25"/>
  <c r="AD11" i="25" s="1"/>
  <c r="AC16" i="25"/>
  <c r="AD16" i="25" s="1"/>
  <c r="AC10" i="25"/>
  <c r="AD10" i="25" s="1"/>
  <c r="AG14" i="24"/>
  <c r="AH14" i="24" s="1"/>
  <c r="AC9" i="24"/>
  <c r="AD9" i="24" s="1"/>
  <c r="AV18" i="24"/>
  <c r="R24" i="24" s="1"/>
  <c r="AW5" i="24"/>
  <c r="AX5" i="24" s="1"/>
  <c r="AC12" i="23"/>
  <c r="AD12" i="23" s="1"/>
  <c r="AH4" i="23"/>
  <c r="AC11" i="24"/>
  <c r="AD11" i="24" s="1"/>
  <c r="M10" i="24"/>
  <c r="N10" i="24" s="1"/>
  <c r="BF7" i="24"/>
  <c r="BG7" i="24" s="1"/>
  <c r="M16" i="23"/>
  <c r="N16" i="23" s="1"/>
  <c r="AV18" i="25"/>
  <c r="R24" i="25" s="1"/>
  <c r="AW9" i="25"/>
  <c r="AX9" i="25" s="1"/>
  <c r="AW13" i="25"/>
  <c r="AX13" i="25" s="1"/>
  <c r="AW6" i="25"/>
  <c r="AX6" i="25" s="1"/>
  <c r="AW5" i="25"/>
  <c r="AX5" i="25" s="1"/>
  <c r="AW15" i="25"/>
  <c r="AX15" i="25" s="1"/>
  <c r="AW8" i="25"/>
  <c r="AX8" i="25" s="1"/>
  <c r="AW16" i="25"/>
  <c r="AX16" i="25" s="1"/>
  <c r="AW7" i="25"/>
  <c r="AX7" i="25" s="1"/>
  <c r="AW12" i="25"/>
  <c r="AX12" i="25" s="1"/>
  <c r="AW10" i="25"/>
  <c r="AX10" i="25" s="1"/>
  <c r="AW11" i="25"/>
  <c r="AX11" i="25" s="1"/>
  <c r="AW14" i="25"/>
  <c r="AX14" i="25" s="1"/>
  <c r="AW13" i="23"/>
  <c r="AX13" i="23" s="1"/>
  <c r="AG15" i="24"/>
  <c r="AH15" i="24" s="1"/>
  <c r="AK8" i="23"/>
  <c r="AL8" i="23" s="1"/>
  <c r="AO12" i="24"/>
  <c r="AP12" i="24" s="1"/>
  <c r="AL4" i="25"/>
  <c r="Y11" i="24"/>
  <c r="Z11" i="24" s="1"/>
  <c r="I15" i="24"/>
  <c r="J15" i="24" s="1"/>
  <c r="AG8" i="23"/>
  <c r="AH8" i="23" s="1"/>
  <c r="AG6" i="23"/>
  <c r="AH6" i="23" s="1"/>
  <c r="AW6" i="24"/>
  <c r="AX6" i="24" s="1"/>
  <c r="AW15" i="24"/>
  <c r="AX15" i="24" s="1"/>
  <c r="AW15" i="23"/>
  <c r="AX15" i="23" s="1"/>
  <c r="AC10" i="24"/>
  <c r="AD10" i="24" s="1"/>
  <c r="BA8" i="23"/>
  <c r="BB8" i="23" s="1"/>
  <c r="BF6" i="24"/>
  <c r="BG6" i="24" s="1"/>
  <c r="M15" i="24"/>
  <c r="N15" i="24" s="1"/>
  <c r="Q7" i="24"/>
  <c r="R7" i="24" s="1"/>
  <c r="AK5" i="23"/>
  <c r="AL5" i="23" s="1"/>
  <c r="R4" i="23"/>
  <c r="I17" i="25"/>
  <c r="J4" i="25"/>
  <c r="M14" i="24"/>
  <c r="N14" i="24" s="1"/>
  <c r="X18" i="25"/>
  <c r="L24" i="25" s="1"/>
  <c r="Y9" i="25"/>
  <c r="Z9" i="25" s="1"/>
  <c r="Y11" i="25"/>
  <c r="Z11" i="25" s="1"/>
  <c r="Y5" i="25"/>
  <c r="Z5" i="25" s="1"/>
  <c r="Y6" i="25"/>
  <c r="Z6" i="25" s="1"/>
  <c r="Y10" i="25"/>
  <c r="Z10" i="25" s="1"/>
  <c r="Y16" i="25"/>
  <c r="Z16" i="25" s="1"/>
  <c r="Y8" i="25"/>
  <c r="Z8" i="25" s="1"/>
  <c r="Y13" i="25"/>
  <c r="Z13" i="25" s="1"/>
  <c r="Y14" i="25"/>
  <c r="Z14" i="25" s="1"/>
  <c r="Y12" i="25"/>
  <c r="Z12" i="25" s="1"/>
  <c r="Y15" i="25"/>
  <c r="Z15" i="25" s="1"/>
  <c r="Y7" i="25"/>
  <c r="Z7" i="25" s="1"/>
  <c r="AO4" i="25"/>
  <c r="I6" i="24"/>
  <c r="J6" i="24" s="1"/>
  <c r="AX4" i="24"/>
  <c r="AK10" i="23"/>
  <c r="AL10" i="23" s="1"/>
  <c r="I8" i="24"/>
  <c r="J8" i="24" s="1"/>
  <c r="AS10" i="24"/>
  <c r="AT10" i="24" s="1"/>
  <c r="BF8" i="23"/>
  <c r="BG8" i="23" s="1"/>
  <c r="Y12" i="23"/>
  <c r="Z12" i="23" s="1"/>
  <c r="Y4" i="23"/>
  <c r="M10" i="23"/>
  <c r="N10" i="23" s="1"/>
  <c r="U10" i="24"/>
  <c r="V10" i="24" s="1"/>
  <c r="I7" i="24"/>
  <c r="J7" i="24" s="1"/>
  <c r="AZ18" i="24"/>
  <c r="S24" i="24" s="1"/>
  <c r="BA5" i="24"/>
  <c r="BB5" i="24" s="1"/>
  <c r="BA13" i="24"/>
  <c r="BB13" i="24" s="1"/>
  <c r="BA10" i="24"/>
  <c r="BB10" i="24" s="1"/>
  <c r="Y11" i="23"/>
  <c r="Z11" i="23" s="1"/>
  <c r="AC4" i="25"/>
  <c r="AO10" i="23"/>
  <c r="AP10" i="23" s="1"/>
  <c r="AO9" i="24"/>
  <c r="AP9" i="24" s="1"/>
  <c r="AK14" i="23"/>
  <c r="AL14" i="23" s="1"/>
  <c r="AK10" i="24"/>
  <c r="AL10" i="24" s="1"/>
  <c r="BF12" i="24"/>
  <c r="BG12" i="24" s="1"/>
  <c r="U13" i="23"/>
  <c r="V13" i="23" s="1"/>
  <c r="BF15" i="24"/>
  <c r="BG15" i="24" s="1"/>
  <c r="AK7" i="24"/>
  <c r="AL7" i="24" s="1"/>
  <c r="AS4" i="24"/>
  <c r="M13" i="24"/>
  <c r="N13" i="24" s="1"/>
  <c r="Y5" i="23"/>
  <c r="Z5" i="23" s="1"/>
  <c r="I9" i="23"/>
  <c r="J9" i="23" s="1"/>
  <c r="BF14" i="23"/>
  <c r="BG14" i="23" s="1"/>
  <c r="Q7" i="23"/>
  <c r="R7" i="23" s="1"/>
  <c r="AJ18" i="25"/>
  <c r="O24" i="25" s="1"/>
  <c r="AK9" i="25"/>
  <c r="AL9" i="25" s="1"/>
  <c r="AK8" i="25"/>
  <c r="AL8" i="25" s="1"/>
  <c r="AK14" i="25"/>
  <c r="AL14" i="25" s="1"/>
  <c r="AK15" i="25"/>
  <c r="AL15" i="25" s="1"/>
  <c r="AK11" i="25"/>
  <c r="AL11" i="25" s="1"/>
  <c r="AK16" i="25"/>
  <c r="AL16" i="25" s="1"/>
  <c r="AK6" i="25"/>
  <c r="AL6" i="25" s="1"/>
  <c r="AK7" i="25"/>
  <c r="AL7" i="25" s="1"/>
  <c r="AK12" i="25"/>
  <c r="AL12" i="25" s="1"/>
  <c r="AK13" i="25"/>
  <c r="AL13" i="25" s="1"/>
  <c r="AK5" i="25"/>
  <c r="AL5" i="25" s="1"/>
  <c r="AK10" i="25"/>
  <c r="AL10" i="25" s="1"/>
  <c r="AO13" i="23"/>
  <c r="AP13" i="23" s="1"/>
  <c r="AO9" i="23"/>
  <c r="AP9" i="23" s="1"/>
  <c r="AG14" i="23"/>
  <c r="AH14" i="23" s="1"/>
  <c r="I10" i="24"/>
  <c r="J10" i="24" s="1"/>
  <c r="AS9" i="24"/>
  <c r="AT9" i="24" s="1"/>
  <c r="I8" i="23"/>
  <c r="J8" i="23" s="1"/>
  <c r="U9" i="23"/>
  <c r="V9" i="23" s="1"/>
  <c r="AK14" i="24"/>
  <c r="AL14" i="24" s="1"/>
  <c r="AC15" i="24"/>
  <c r="AD15" i="24" s="1"/>
  <c r="AO14" i="23"/>
  <c r="AP14" i="23" s="1"/>
  <c r="U6" i="24"/>
  <c r="V6" i="24" s="1"/>
  <c r="M9" i="23"/>
  <c r="N9" i="23" s="1"/>
  <c r="AO8" i="23"/>
  <c r="AP8" i="23" s="1"/>
  <c r="BA6" i="24"/>
  <c r="BB6" i="24" s="1"/>
  <c r="Q17" i="23" l="1"/>
  <c r="BF17" i="23"/>
  <c r="AP17" i="23"/>
  <c r="AQ5" i="23" s="1"/>
  <c r="N17" i="24"/>
  <c r="AC17" i="25"/>
  <c r="AD4" i="25"/>
  <c r="O13" i="24"/>
  <c r="R17" i="23"/>
  <c r="S4" i="23" s="1"/>
  <c r="AY15" i="24"/>
  <c r="S14" i="23"/>
  <c r="BH8" i="25"/>
  <c r="AG17" i="25"/>
  <c r="AP17" i="24"/>
  <c r="AQ4" i="24" s="1"/>
  <c r="AT17" i="23"/>
  <c r="AU4" i="23" s="1"/>
  <c r="BH5" i="25"/>
  <c r="K7" i="25"/>
  <c r="J4" i="23"/>
  <c r="I17" i="23"/>
  <c r="BA17" i="24"/>
  <c r="K8" i="24"/>
  <c r="BH7" i="24"/>
  <c r="AO17" i="24"/>
  <c r="AS17" i="23"/>
  <c r="BH6" i="25"/>
  <c r="K13" i="25"/>
  <c r="O8" i="24"/>
  <c r="BB17" i="24"/>
  <c r="O10" i="24"/>
  <c r="O6" i="24"/>
  <c r="AL17" i="24"/>
  <c r="AM4" i="24" s="1"/>
  <c r="AQ6" i="23"/>
  <c r="BH9" i="25"/>
  <c r="K12" i="25"/>
  <c r="AQ7" i="23"/>
  <c r="O14" i="24"/>
  <c r="K7" i="24"/>
  <c r="AY4" i="24"/>
  <c r="AX17" i="24"/>
  <c r="AK17" i="24"/>
  <c r="S5" i="24"/>
  <c r="O15" i="25"/>
  <c r="BH14" i="25"/>
  <c r="K11" i="24"/>
  <c r="AI12" i="25"/>
  <c r="O7" i="24"/>
  <c r="Z17" i="25"/>
  <c r="L25" i="25" s="1"/>
  <c r="AA4" i="25"/>
  <c r="BC5" i="24"/>
  <c r="K10" i="24"/>
  <c r="BC6" i="24"/>
  <c r="AQ9" i="23"/>
  <c r="AW17" i="24"/>
  <c r="AA6" i="25"/>
  <c r="AH17" i="23"/>
  <c r="AI4" i="23" s="1"/>
  <c r="AX17" i="25"/>
  <c r="R25" i="25" s="1"/>
  <c r="BH9" i="24"/>
  <c r="O7" i="25"/>
  <c r="BH7" i="25"/>
  <c r="BG17" i="25"/>
  <c r="BH4" i="25" s="1"/>
  <c r="BH17" i="25" s="1"/>
  <c r="R4" i="25"/>
  <c r="Q17" i="25"/>
  <c r="Y17" i="25"/>
  <c r="AY6" i="24"/>
  <c r="AM10" i="24"/>
  <c r="AA5" i="25"/>
  <c r="S7" i="24"/>
  <c r="AL17" i="25"/>
  <c r="O25" i="25" s="1"/>
  <c r="AG17" i="23"/>
  <c r="AW17" i="25"/>
  <c r="J17" i="24"/>
  <c r="K4" i="24"/>
  <c r="O16" i="24"/>
  <c r="N4" i="23"/>
  <c r="M17" i="23"/>
  <c r="BH13" i="25"/>
  <c r="BF17" i="25"/>
  <c r="AL4" i="23"/>
  <c r="AK17" i="23"/>
  <c r="Z17" i="24"/>
  <c r="AA16" i="24" s="1"/>
  <c r="K16" i="24"/>
  <c r="BC9" i="25"/>
  <c r="AS17" i="24"/>
  <c r="AT4" i="24"/>
  <c r="AM11" i="25"/>
  <c r="AM9" i="25"/>
  <c r="Z4" i="23"/>
  <c r="Y17" i="23"/>
  <c r="AP4" i="25"/>
  <c r="AO17" i="25"/>
  <c r="AA11" i="25"/>
  <c r="O15" i="24"/>
  <c r="AK17" i="25"/>
  <c r="Q17" i="24"/>
  <c r="I17" i="24"/>
  <c r="O9" i="25"/>
  <c r="O5" i="24"/>
  <c r="BH15" i="25"/>
  <c r="Y17" i="24"/>
  <c r="BB17" i="23"/>
  <c r="BC9" i="23" s="1"/>
  <c r="BC4" i="23"/>
  <c r="AQ9" i="24"/>
  <c r="J17" i="25"/>
  <c r="H25" i="25" s="1"/>
  <c r="K4" i="25"/>
  <c r="BH6" i="24"/>
  <c r="AQ12" i="24"/>
  <c r="AY5" i="24"/>
  <c r="K5" i="24"/>
  <c r="AD17" i="24"/>
  <c r="AE5" i="24" s="1"/>
  <c r="R17" i="24"/>
  <c r="S4" i="24"/>
  <c r="AQ15" i="23"/>
  <c r="M17" i="24"/>
  <c r="W8" i="25"/>
  <c r="BH16" i="25"/>
  <c r="V17" i="25"/>
  <c r="K25" i="25" s="1"/>
  <c r="W4" i="25"/>
  <c r="AI8" i="25"/>
  <c r="U17" i="24"/>
  <c r="V4" i="24"/>
  <c r="O11" i="24"/>
  <c r="BB17" i="25"/>
  <c r="S25" i="25" s="1"/>
  <c r="BA17" i="23"/>
  <c r="AT17" i="25"/>
  <c r="Q25" i="25" s="1"/>
  <c r="K6" i="25"/>
  <c r="U17" i="23"/>
  <c r="V4" i="23"/>
  <c r="BA17" i="25"/>
  <c r="BC16" i="25"/>
  <c r="AS17" i="25"/>
  <c r="BG17" i="24"/>
  <c r="BH13" i="24" s="1"/>
  <c r="BH4" i="24"/>
  <c r="W13" i="25"/>
  <c r="AU6" i="23"/>
  <c r="O14" i="25"/>
  <c r="BF17" i="24"/>
  <c r="BH12" i="25"/>
  <c r="N17" i="25"/>
  <c r="I25" i="25" s="1"/>
  <c r="AI7" i="25"/>
  <c r="S15" i="23"/>
  <c r="K8" i="25"/>
  <c r="AX4" i="23"/>
  <c r="AW17" i="23"/>
  <c r="AQ14" i="23"/>
  <c r="AM13" i="25"/>
  <c r="W6" i="25"/>
  <c r="O12" i="25"/>
  <c r="BH10" i="25"/>
  <c r="U17" i="25"/>
  <c r="AM12" i="25"/>
  <c r="AA15" i="25"/>
  <c r="BH14" i="24"/>
  <c r="BG17" i="23"/>
  <c r="BH8" i="23" s="1"/>
  <c r="AO17" i="23"/>
  <c r="AQ7" i="24"/>
  <c r="AM14" i="24"/>
  <c r="AM7" i="25"/>
  <c r="AA12" i="25"/>
  <c r="AG17" i="24"/>
  <c r="AH4" i="24"/>
  <c r="AQ5" i="24"/>
  <c r="W12" i="25"/>
  <c r="O16" i="25"/>
  <c r="BH11" i="25"/>
  <c r="M17" i="25"/>
  <c r="K9" i="25"/>
  <c r="AH17" i="25"/>
  <c r="N25" i="25" s="1"/>
  <c r="AI4" i="25"/>
  <c r="AC17" i="23"/>
  <c r="AD4" i="23"/>
  <c r="BC5" i="25"/>
  <c r="S8" i="23"/>
  <c r="AQ11" i="23" l="1"/>
  <c r="BC14" i="23"/>
  <c r="S11" i="23"/>
  <c r="S10" i="23"/>
  <c r="AQ16" i="23"/>
  <c r="S12" i="23"/>
  <c r="AQ4" i="23"/>
  <c r="S13" i="23"/>
  <c r="S7" i="23"/>
  <c r="BC8" i="23"/>
  <c r="BC6" i="23"/>
  <c r="S9" i="23"/>
  <c r="AQ13" i="23"/>
  <c r="S6" i="23"/>
  <c r="AQ8" i="23"/>
  <c r="AU7" i="23"/>
  <c r="S25" i="24"/>
  <c r="BC12" i="24"/>
  <c r="BC14" i="24"/>
  <c r="BC16" i="24"/>
  <c r="BC15" i="24"/>
  <c r="BC8" i="24"/>
  <c r="BC7" i="24"/>
  <c r="BC9" i="24"/>
  <c r="BC11" i="24"/>
  <c r="O11" i="25"/>
  <c r="K11" i="25"/>
  <c r="AY14" i="25"/>
  <c r="AU10" i="25"/>
  <c r="AU13" i="25"/>
  <c r="BC10" i="25"/>
  <c r="AY10" i="25"/>
  <c r="J17" i="23"/>
  <c r="Q25" i="23"/>
  <c r="AU12" i="23"/>
  <c r="AU15" i="23"/>
  <c r="AU13" i="23"/>
  <c r="AU11" i="23"/>
  <c r="AU9" i="23"/>
  <c r="AU16" i="23"/>
  <c r="AU8" i="23"/>
  <c r="AU10" i="23"/>
  <c r="AU14" i="23"/>
  <c r="AI11" i="25"/>
  <c r="AE15" i="24"/>
  <c r="AY9" i="25"/>
  <c r="AE7" i="24"/>
  <c r="BH4" i="23"/>
  <c r="AX17" i="23"/>
  <c r="AY4" i="23" s="1"/>
  <c r="BC6" i="25"/>
  <c r="AM5" i="25"/>
  <c r="AY15" i="25"/>
  <c r="O8" i="25"/>
  <c r="AU11" i="25"/>
  <c r="N25" i="23"/>
  <c r="AI16" i="23"/>
  <c r="AI5" i="23"/>
  <c r="AI10" i="23"/>
  <c r="AI13" i="23"/>
  <c r="AI12" i="23"/>
  <c r="AI7" i="23"/>
  <c r="AI15" i="23"/>
  <c r="AI9" i="23"/>
  <c r="AI11" i="23"/>
  <c r="AM7" i="24"/>
  <c r="AI15" i="25"/>
  <c r="AM5" i="24"/>
  <c r="AM17" i="24" s="1"/>
  <c r="W5" i="25"/>
  <c r="W17" i="25" s="1"/>
  <c r="AI6" i="23"/>
  <c r="I25" i="24"/>
  <c r="O9" i="24"/>
  <c r="O12" i="24"/>
  <c r="AA4" i="24"/>
  <c r="BC12" i="25"/>
  <c r="AU8" i="25"/>
  <c r="AM14" i="25"/>
  <c r="AA8" i="25"/>
  <c r="P25" i="24"/>
  <c r="AQ6" i="24"/>
  <c r="AQ17" i="24" s="1"/>
  <c r="AQ13" i="24"/>
  <c r="AQ16" i="24"/>
  <c r="AQ11" i="24"/>
  <c r="AQ15" i="24"/>
  <c r="AQ8" i="24"/>
  <c r="AQ14" i="24"/>
  <c r="AU9" i="25"/>
  <c r="J25" i="23"/>
  <c r="S5" i="23"/>
  <c r="O4" i="24"/>
  <c r="O17" i="24" s="1"/>
  <c r="AA14" i="25"/>
  <c r="L25" i="24"/>
  <c r="AA13" i="24"/>
  <c r="AA15" i="24"/>
  <c r="AA7" i="24"/>
  <c r="AA9" i="24"/>
  <c r="AA10" i="24"/>
  <c r="O25" i="24"/>
  <c r="AM9" i="24"/>
  <c r="AM12" i="24"/>
  <c r="AM15" i="24"/>
  <c r="AM16" i="24"/>
  <c r="AM13" i="24"/>
  <c r="AM8" i="24"/>
  <c r="AM11" i="24"/>
  <c r="AM6" i="24"/>
  <c r="AY13" i="25"/>
  <c r="V17" i="23"/>
  <c r="O10" i="25"/>
  <c r="AY5" i="25"/>
  <c r="S25" i="23"/>
  <c r="BC12" i="23"/>
  <c r="BC11" i="23"/>
  <c r="BC15" i="23"/>
  <c r="BC7" i="23"/>
  <c r="BC13" i="23"/>
  <c r="BC16" i="23"/>
  <c r="BC5" i="23"/>
  <c r="W9" i="25"/>
  <c r="W10" i="25"/>
  <c r="AY8" i="25"/>
  <c r="W11" i="25"/>
  <c r="AA11" i="24"/>
  <c r="W16" i="25"/>
  <c r="AA16" i="25"/>
  <c r="AQ10" i="24"/>
  <c r="AI16" i="25"/>
  <c r="BC11" i="25"/>
  <c r="O5" i="25"/>
  <c r="BC10" i="24"/>
  <c r="P25" i="23"/>
  <c r="AQ12" i="23"/>
  <c r="AD17" i="23"/>
  <c r="AE4" i="23" s="1"/>
  <c r="AU14" i="25"/>
  <c r="AA12" i="24"/>
  <c r="W14" i="25"/>
  <c r="BH12" i="23"/>
  <c r="BH9" i="23"/>
  <c r="BH10" i="23"/>
  <c r="BH7" i="23"/>
  <c r="BH15" i="23"/>
  <c r="BH13" i="23"/>
  <c r="BH16" i="23"/>
  <c r="BH6" i="23"/>
  <c r="BH5" i="23"/>
  <c r="BH11" i="23"/>
  <c r="AA14" i="24"/>
  <c r="AY16" i="25"/>
  <c r="BH14" i="23"/>
  <c r="AP17" i="25"/>
  <c r="BC13" i="24"/>
  <c r="AL17" i="23"/>
  <c r="AM4" i="25"/>
  <c r="R17" i="25"/>
  <c r="S4" i="25" s="1"/>
  <c r="AE11" i="24"/>
  <c r="BC8" i="25"/>
  <c r="AI10" i="25"/>
  <c r="AU16" i="25"/>
  <c r="AM6" i="25"/>
  <c r="AU7" i="25"/>
  <c r="N17" i="23"/>
  <c r="O4" i="23" s="1"/>
  <c r="K5" i="25"/>
  <c r="AU5" i="23"/>
  <c r="AY7" i="25"/>
  <c r="AY11" i="25"/>
  <c r="O6" i="25"/>
  <c r="AY12" i="25"/>
  <c r="BC10" i="23"/>
  <c r="AA5" i="24"/>
  <c r="AA17" i="25"/>
  <c r="V17" i="24"/>
  <c r="W4" i="24"/>
  <c r="BD4" i="24" s="1"/>
  <c r="AI14" i="25"/>
  <c r="AI17" i="25" s="1"/>
  <c r="BC7" i="25"/>
  <c r="O4" i="25"/>
  <c r="BH16" i="24"/>
  <c r="BH11" i="24"/>
  <c r="BH10" i="24"/>
  <c r="BH8" i="24"/>
  <c r="Z17" i="23"/>
  <c r="AA4" i="23" s="1"/>
  <c r="K16" i="25"/>
  <c r="H25" i="24"/>
  <c r="K9" i="24"/>
  <c r="K13" i="24"/>
  <c r="K14" i="24"/>
  <c r="K12" i="24"/>
  <c r="AI6" i="25"/>
  <c r="AI14" i="23"/>
  <c r="AA8" i="24"/>
  <c r="K15" i="24"/>
  <c r="BC15" i="25"/>
  <c r="W15" i="25"/>
  <c r="AI8" i="23"/>
  <c r="BH5" i="24"/>
  <c r="BH17" i="24" s="1"/>
  <c r="BC13" i="25"/>
  <c r="O13" i="25"/>
  <c r="AY6" i="25"/>
  <c r="AE9" i="24"/>
  <c r="BC4" i="25"/>
  <c r="AE10" i="24"/>
  <c r="AI13" i="25"/>
  <c r="AH17" i="24"/>
  <c r="AI4" i="24"/>
  <c r="AA6" i="24"/>
  <c r="J25" i="24"/>
  <c r="S8" i="24"/>
  <c r="S10" i="24"/>
  <c r="S11" i="24"/>
  <c r="S12" i="24"/>
  <c r="S16" i="24"/>
  <c r="S14" i="24"/>
  <c r="S6" i="24"/>
  <c r="S17" i="24" s="1"/>
  <c r="S9" i="24"/>
  <c r="S15" i="24"/>
  <c r="S13" i="24"/>
  <c r="AA9" i="25"/>
  <c r="K10" i="25"/>
  <c r="AM16" i="25"/>
  <c r="AI5" i="25"/>
  <c r="K6" i="24"/>
  <c r="BH12" i="24"/>
  <c r="BH15" i="24"/>
  <c r="AA10" i="25"/>
  <c r="AA13" i="25"/>
  <c r="W7" i="25"/>
  <c r="AE4" i="25"/>
  <c r="AD17" i="25"/>
  <c r="AA7" i="25"/>
  <c r="M25" i="24"/>
  <c r="AE6" i="24"/>
  <c r="AE8" i="24"/>
  <c r="AE14" i="24"/>
  <c r="AE13" i="24"/>
  <c r="AE12" i="24"/>
  <c r="AE16" i="24"/>
  <c r="AU15" i="25"/>
  <c r="BC14" i="25"/>
  <c r="AT17" i="24"/>
  <c r="AU4" i="24"/>
  <c r="AU12" i="25"/>
  <c r="AU6" i="25"/>
  <c r="AU4" i="25"/>
  <c r="K15" i="25"/>
  <c r="AE4" i="24"/>
  <c r="AI9" i="25"/>
  <c r="AM10" i="25"/>
  <c r="AY4" i="25"/>
  <c r="AY17" i="25" s="1"/>
  <c r="AM8" i="25"/>
  <c r="AM15" i="25"/>
  <c r="K14" i="25"/>
  <c r="R25" i="24"/>
  <c r="AY10" i="24"/>
  <c r="AY13" i="24"/>
  <c r="AY8" i="24"/>
  <c r="AY12" i="24"/>
  <c r="AY14" i="24"/>
  <c r="AY16" i="24"/>
  <c r="AY7" i="24"/>
  <c r="AY17" i="24" s="1"/>
  <c r="AY11" i="24"/>
  <c r="AY9" i="24"/>
  <c r="BC4" i="24"/>
  <c r="BC17" i="24" s="1"/>
  <c r="T25" i="24" s="1"/>
  <c r="AU5" i="25"/>
  <c r="S16" i="23"/>
  <c r="AQ10" i="23"/>
  <c r="S17" i="23" l="1"/>
  <c r="AQ17" i="23"/>
  <c r="AU17" i="23"/>
  <c r="AI17" i="23"/>
  <c r="BC17" i="23"/>
  <c r="T25" i="23" s="1"/>
  <c r="AA17" i="24"/>
  <c r="Q25" i="24"/>
  <c r="AU12" i="24"/>
  <c r="AU8" i="24"/>
  <c r="AU14" i="24"/>
  <c r="AU6" i="24"/>
  <c r="AU13" i="24"/>
  <c r="AU11" i="24"/>
  <c r="AU15" i="24"/>
  <c r="AU7" i="24"/>
  <c r="AU16" i="24"/>
  <c r="AU10" i="24"/>
  <c r="AU9" i="24"/>
  <c r="AU5" i="24"/>
  <c r="K17" i="25"/>
  <c r="AE17" i="24"/>
  <c r="P25" i="25"/>
  <c r="AQ6" i="25"/>
  <c r="AQ13" i="25"/>
  <c r="AQ7" i="25"/>
  <c r="AQ9" i="25"/>
  <c r="AQ10" i="25"/>
  <c r="AQ12" i="25"/>
  <c r="AQ8" i="25"/>
  <c r="AQ14" i="25"/>
  <c r="AQ11" i="25"/>
  <c r="AQ5" i="25"/>
  <c r="AQ16" i="25"/>
  <c r="AQ15" i="25"/>
  <c r="AU17" i="25"/>
  <c r="BD6" i="24"/>
  <c r="O17" i="25"/>
  <c r="R25" i="23"/>
  <c r="AY6" i="23"/>
  <c r="AY10" i="23"/>
  <c r="AY14" i="23"/>
  <c r="AY16" i="23"/>
  <c r="AY11" i="23"/>
  <c r="AY12" i="23"/>
  <c r="AY9" i="23"/>
  <c r="AY5" i="23"/>
  <c r="AY8" i="23"/>
  <c r="AY15" i="23"/>
  <c r="AY7" i="23"/>
  <c r="AY13" i="23"/>
  <c r="K17" i="24"/>
  <c r="BH17" i="23"/>
  <c r="AU17" i="24"/>
  <c r="L25" i="23"/>
  <c r="AA14" i="23"/>
  <c r="AA7" i="23"/>
  <c r="AA16" i="23"/>
  <c r="AA9" i="23"/>
  <c r="AA8" i="23"/>
  <c r="AA6" i="23"/>
  <c r="AA10" i="23"/>
  <c r="AA13" i="23"/>
  <c r="AA12" i="23"/>
  <c r="AA15" i="23"/>
  <c r="AA5" i="23"/>
  <c r="AA11" i="23"/>
  <c r="K25" i="24"/>
  <c r="W14" i="24"/>
  <c r="BD14" i="24" s="1"/>
  <c r="W7" i="24"/>
  <c r="W11" i="24"/>
  <c r="W13" i="24"/>
  <c r="BD13" i="24" s="1"/>
  <c r="W12" i="24"/>
  <c r="BD12" i="24" s="1"/>
  <c r="W10" i="24"/>
  <c r="BD10" i="24" s="1"/>
  <c r="W9" i="24"/>
  <c r="BD9" i="24" s="1"/>
  <c r="W8" i="24"/>
  <c r="BD8" i="24" s="1"/>
  <c r="W15" i="24"/>
  <c r="BD15" i="24" s="1"/>
  <c r="W6" i="24"/>
  <c r="W16" i="24"/>
  <c r="BD16" i="24" s="1"/>
  <c r="W5" i="24"/>
  <c r="BD5" i="24" s="1"/>
  <c r="M25" i="23"/>
  <c r="AE15" i="23"/>
  <c r="AE11" i="23"/>
  <c r="AE9" i="23"/>
  <c r="AE7" i="23"/>
  <c r="AE5" i="23"/>
  <c r="AE8" i="23"/>
  <c r="AE10" i="23"/>
  <c r="AE14" i="23"/>
  <c r="AE6" i="23"/>
  <c r="AE16" i="23"/>
  <c r="AE13" i="23"/>
  <c r="AE12" i="23"/>
  <c r="N25" i="24"/>
  <c r="AI16" i="24"/>
  <c r="AI12" i="24"/>
  <c r="AI11" i="24"/>
  <c r="BD11" i="24" s="1"/>
  <c r="AI10" i="24"/>
  <c r="AI7" i="24"/>
  <c r="AI6" i="24"/>
  <c r="AI14" i="24"/>
  <c r="AI13" i="24"/>
  <c r="AI15" i="24"/>
  <c r="AI9" i="24"/>
  <c r="AI5" i="24"/>
  <c r="AI17" i="24" s="1"/>
  <c r="AI8" i="24"/>
  <c r="O25" i="23"/>
  <c r="AM12" i="23"/>
  <c r="AM6" i="23"/>
  <c r="AM9" i="23"/>
  <c r="AM15" i="23"/>
  <c r="AM11" i="23"/>
  <c r="AM14" i="23"/>
  <c r="AM8" i="23"/>
  <c r="AM10" i="23"/>
  <c r="AM5" i="23"/>
  <c r="AM13" i="23"/>
  <c r="AM16" i="23"/>
  <c r="AM7" i="23"/>
  <c r="K25" i="23"/>
  <c r="W16" i="23"/>
  <c r="W7" i="23"/>
  <c r="W5" i="23"/>
  <c r="W8" i="23"/>
  <c r="W14" i="23"/>
  <c r="W6" i="23"/>
  <c r="W10" i="23"/>
  <c r="W11" i="23"/>
  <c r="W15" i="23"/>
  <c r="W9" i="23"/>
  <c r="W12" i="23"/>
  <c r="W13" i="23"/>
  <c r="H25" i="23"/>
  <c r="K7" i="23"/>
  <c r="K8" i="23"/>
  <c r="K6" i="23"/>
  <c r="K14" i="23"/>
  <c r="K10" i="23"/>
  <c r="K12" i="23"/>
  <c r="K15" i="23"/>
  <c r="K13" i="23"/>
  <c r="K16" i="23"/>
  <c r="K5" i="23"/>
  <c r="K11" i="23"/>
  <c r="K9" i="23"/>
  <c r="AM17" i="25"/>
  <c r="I25" i="23"/>
  <c r="O8" i="23"/>
  <c r="O14" i="23"/>
  <c r="O10" i="23"/>
  <c r="O6" i="23"/>
  <c r="O15" i="23"/>
  <c r="O7" i="23"/>
  <c r="O12" i="23"/>
  <c r="O16" i="23"/>
  <c r="O13" i="23"/>
  <c r="O11" i="23"/>
  <c r="O5" i="23"/>
  <c r="O9" i="23"/>
  <c r="AM4" i="23"/>
  <c r="W4" i="23"/>
  <c r="K4" i="23"/>
  <c r="M25" i="25"/>
  <c r="AE16" i="25"/>
  <c r="AE9" i="25"/>
  <c r="AE15" i="25"/>
  <c r="AE14" i="25"/>
  <c r="AE13" i="25"/>
  <c r="AE5" i="25"/>
  <c r="BD5" i="25" s="1"/>
  <c r="AE10" i="25"/>
  <c r="AE11" i="25"/>
  <c r="AE7" i="25"/>
  <c r="AE8" i="25"/>
  <c r="AE6" i="25"/>
  <c r="AE12" i="25"/>
  <c r="J25" i="25"/>
  <c r="S7" i="25"/>
  <c r="BD7" i="25" s="1"/>
  <c r="S15" i="25"/>
  <c r="BD15" i="25" s="1"/>
  <c r="S9" i="25"/>
  <c r="BD9" i="25" s="1"/>
  <c r="S8" i="25"/>
  <c r="BD8" i="25" s="1"/>
  <c r="S14" i="25"/>
  <c r="BD14" i="25" s="1"/>
  <c r="S13" i="25"/>
  <c r="BD13" i="25" s="1"/>
  <c r="S16" i="25"/>
  <c r="BD16" i="25" s="1"/>
  <c r="S5" i="25"/>
  <c r="S17" i="25" s="1"/>
  <c r="S6" i="25"/>
  <c r="S11" i="25"/>
  <c r="BD11" i="25" s="1"/>
  <c r="S10" i="25"/>
  <c r="BD10" i="25" s="1"/>
  <c r="S12" i="25"/>
  <c r="BC17" i="25"/>
  <c r="T25" i="25" s="1"/>
  <c r="AQ4" i="25"/>
  <c r="AQ17" i="25" s="1"/>
  <c r="AY17" i="23" l="1"/>
  <c r="AA17" i="23"/>
  <c r="BD6" i="23"/>
  <c r="O17" i="23"/>
  <c r="AE17" i="23"/>
  <c r="AE17" i="25"/>
  <c r="BD6" i="25"/>
  <c r="W17" i="23"/>
  <c r="BD10" i="23"/>
  <c r="BD7" i="24"/>
  <c r="BD17" i="24" s="1"/>
  <c r="AM17" i="23"/>
  <c r="BD14" i="23"/>
  <c r="BD8" i="23"/>
  <c r="BD7" i="23"/>
  <c r="BD9" i="23"/>
  <c r="BD5" i="23"/>
  <c r="BD12" i="25"/>
  <c r="BD16" i="23"/>
  <c r="BD11" i="23"/>
  <c r="BD13" i="23"/>
  <c r="BD4" i="25"/>
  <c r="BD17" i="25" s="1"/>
  <c r="BD15" i="23"/>
  <c r="K17" i="23"/>
  <c r="BD4" i="23"/>
  <c r="BD12" i="23"/>
  <c r="W17" i="24"/>
  <c r="BD17" i="23" l="1"/>
  <c r="C57" i="8" l="1"/>
  <c r="C56" i="8"/>
  <c r="C55" i="8"/>
  <c r="C54" i="8"/>
  <c r="C53" i="8"/>
  <c r="C52" i="8"/>
  <c r="C51" i="8"/>
  <c r="C50" i="8"/>
  <c r="C49" i="8"/>
  <c r="C48" i="8"/>
  <c r="C47" i="8"/>
  <c r="C65" i="11"/>
  <c r="C64" i="11"/>
  <c r="C63" i="11"/>
  <c r="C62" i="11"/>
  <c r="C61" i="11"/>
  <c r="C60" i="11"/>
  <c r="C59" i="11"/>
  <c r="C58" i="11"/>
  <c r="C57" i="11"/>
  <c r="C56" i="11"/>
  <c r="C55" i="11"/>
  <c r="AB40" i="6" l="1"/>
  <c r="AA40" i="6"/>
  <c r="Z40" i="6"/>
  <c r="Y40" i="6"/>
  <c r="X40" i="6"/>
  <c r="W40" i="6"/>
  <c r="V40" i="6"/>
  <c r="U40" i="6"/>
  <c r="T40" i="6"/>
  <c r="S40" i="6"/>
  <c r="P40" i="6"/>
  <c r="O40" i="6"/>
  <c r="N40" i="6"/>
  <c r="M40" i="6"/>
  <c r="L40" i="6"/>
  <c r="K40" i="6"/>
  <c r="J40" i="6"/>
  <c r="I40" i="6"/>
  <c r="H40" i="6"/>
  <c r="G40" i="6"/>
  <c r="AB39" i="6"/>
  <c r="AA39" i="6"/>
  <c r="Z39" i="6"/>
  <c r="Y39" i="6"/>
  <c r="X39" i="6"/>
  <c r="W39" i="6"/>
  <c r="V39" i="6"/>
  <c r="U39" i="6"/>
  <c r="T39" i="6"/>
  <c r="S39" i="6"/>
  <c r="P39" i="6"/>
  <c r="O39" i="6"/>
  <c r="N39" i="6"/>
  <c r="M39" i="6"/>
  <c r="L39" i="6"/>
  <c r="K39" i="6"/>
  <c r="J39" i="6"/>
  <c r="I39" i="6"/>
  <c r="H39" i="6"/>
  <c r="G39" i="6"/>
  <c r="M7" i="11" l="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6" i="11"/>
  <c r="S42" i="21"/>
  <c r="R42" i="21"/>
  <c r="Q42" i="21"/>
  <c r="P42" i="21"/>
  <c r="O42" i="21"/>
  <c r="N42" i="21"/>
  <c r="M42" i="21"/>
  <c r="L42" i="21"/>
  <c r="K42" i="21"/>
  <c r="J42" i="21"/>
  <c r="I42" i="21"/>
  <c r="H42" i="21"/>
  <c r="S41" i="21"/>
  <c r="R41" i="21"/>
  <c r="Q41" i="21"/>
  <c r="P41" i="21"/>
  <c r="O41" i="21"/>
  <c r="N41" i="21"/>
  <c r="M41" i="21"/>
  <c r="L41" i="21"/>
  <c r="K41" i="21"/>
  <c r="J41" i="21"/>
  <c r="I41" i="21"/>
  <c r="H41" i="21"/>
  <c r="Q39" i="21"/>
  <c r="S35" i="21"/>
  <c r="Q35" i="21"/>
  <c r="Q34" i="21"/>
  <c r="P34" i="21"/>
  <c r="O33" i="21"/>
  <c r="P30" i="21"/>
  <c r="T25" i="21"/>
  <c r="S24" i="21"/>
  <c r="S31" i="21" s="1"/>
  <c r="R24" i="21"/>
  <c r="Q24" i="21"/>
  <c r="Q32" i="21" s="1"/>
  <c r="P24" i="21"/>
  <c r="P32" i="21" s="1"/>
  <c r="O24" i="21"/>
  <c r="O40" i="21" s="1"/>
  <c r="N24" i="21"/>
  <c r="N40" i="21" s="1"/>
  <c r="M24" i="21"/>
  <c r="M40" i="21" s="1"/>
  <c r="L24" i="21"/>
  <c r="L40" i="21" s="1"/>
  <c r="K24" i="21"/>
  <c r="J24" i="21"/>
  <c r="I24" i="21"/>
  <c r="H24" i="21"/>
  <c r="H37" i="21" s="1"/>
  <c r="T23" i="21"/>
  <c r="C17" i="21"/>
  <c r="E17" i="21" s="1"/>
  <c r="E16" i="21"/>
  <c r="E15" i="21"/>
  <c r="E14" i="21"/>
  <c r="E13" i="21"/>
  <c r="E12" i="21"/>
  <c r="E11" i="21"/>
  <c r="E10" i="21"/>
  <c r="E9" i="21"/>
  <c r="E8" i="21"/>
  <c r="E7" i="21"/>
  <c r="E5" i="21"/>
  <c r="BE3" i="21"/>
  <c r="AZ3" i="21"/>
  <c r="AV3" i="21"/>
  <c r="AR3" i="21"/>
  <c r="AN3" i="21"/>
  <c r="AJ3" i="21"/>
  <c r="AF3" i="21"/>
  <c r="AB3" i="21"/>
  <c r="X3" i="21"/>
  <c r="T3" i="21"/>
  <c r="P3" i="21"/>
  <c r="L3" i="21"/>
  <c r="H3" i="21"/>
  <c r="S42" i="22"/>
  <c r="R42" i="22"/>
  <c r="Q42" i="22"/>
  <c r="P42" i="22"/>
  <c r="O42" i="22"/>
  <c r="N42" i="22"/>
  <c r="M42" i="22"/>
  <c r="L42" i="22"/>
  <c r="K42" i="22"/>
  <c r="J42" i="22"/>
  <c r="I42" i="22"/>
  <c r="H42" i="22"/>
  <c r="S41" i="22"/>
  <c r="R41" i="22"/>
  <c r="Q41" i="22"/>
  <c r="P41" i="22"/>
  <c r="O41" i="22"/>
  <c r="N41" i="22"/>
  <c r="M41" i="22"/>
  <c r="L41" i="22"/>
  <c r="K41" i="22"/>
  <c r="J41" i="22"/>
  <c r="I41" i="22"/>
  <c r="H41" i="22"/>
  <c r="T25" i="22"/>
  <c r="S24" i="22"/>
  <c r="S35" i="22" s="1"/>
  <c r="R24" i="22"/>
  <c r="R31" i="22" s="1"/>
  <c r="Q24" i="22"/>
  <c r="P24" i="22"/>
  <c r="O24" i="22"/>
  <c r="O40" i="22" s="1"/>
  <c r="N24" i="22"/>
  <c r="N40" i="22" s="1"/>
  <c r="M24" i="22"/>
  <c r="M40" i="22" s="1"/>
  <c r="L24" i="22"/>
  <c r="L40" i="22" s="1"/>
  <c r="K24" i="22"/>
  <c r="K34" i="22" s="1"/>
  <c r="J24" i="22"/>
  <c r="J40" i="22" s="1"/>
  <c r="I24" i="22"/>
  <c r="I40" i="22" s="1"/>
  <c r="H24" i="22"/>
  <c r="H30" i="22" s="1"/>
  <c r="T23" i="22"/>
  <c r="C17" i="22"/>
  <c r="E17" i="22" s="1"/>
  <c r="C16" i="22"/>
  <c r="E16" i="22" s="1"/>
  <c r="E15" i="22"/>
  <c r="E14" i="22"/>
  <c r="E13" i="22"/>
  <c r="E12" i="22"/>
  <c r="E11" i="22"/>
  <c r="E10" i="22"/>
  <c r="E9" i="22"/>
  <c r="E8" i="22"/>
  <c r="E7" i="22"/>
  <c r="E6" i="22"/>
  <c r="E5" i="22"/>
  <c r="BE3" i="22"/>
  <c r="AZ3" i="22"/>
  <c r="AV3" i="22"/>
  <c r="AR3" i="22"/>
  <c r="AN3" i="22"/>
  <c r="AJ3" i="22"/>
  <c r="AF3" i="22"/>
  <c r="AB3" i="22"/>
  <c r="X3" i="22"/>
  <c r="T3" i="22"/>
  <c r="P3" i="22"/>
  <c r="L3" i="22"/>
  <c r="H3" i="22"/>
  <c r="N38" i="21" l="1"/>
  <c r="Q30" i="21"/>
  <c r="L36" i="21"/>
  <c r="P40" i="21"/>
  <c r="L30" i="21"/>
  <c r="N30" i="21"/>
  <c r="M36" i="21"/>
  <c r="Q40" i="21"/>
  <c r="M30" i="21"/>
  <c r="O30" i="21"/>
  <c r="O31" i="21"/>
  <c r="N36" i="21"/>
  <c r="O32" i="21"/>
  <c r="Q37" i="21"/>
  <c r="L38" i="21"/>
  <c r="M38" i="21"/>
  <c r="L30" i="22"/>
  <c r="I35" i="22"/>
  <c r="M30" i="22"/>
  <c r="J35" i="22"/>
  <c r="N30" i="22"/>
  <c r="L36" i="22"/>
  <c r="O30" i="22"/>
  <c r="M36" i="22"/>
  <c r="L38" i="22"/>
  <c r="S33" i="22"/>
  <c r="M38" i="22"/>
  <c r="I34" i="22"/>
  <c r="L34" i="22"/>
  <c r="I30" i="22"/>
  <c r="O34" i="22"/>
  <c r="J30" i="22"/>
  <c r="K30" i="21"/>
  <c r="K40" i="21"/>
  <c r="K39" i="21"/>
  <c r="K37" i="21"/>
  <c r="K35" i="21"/>
  <c r="K31" i="21"/>
  <c r="E6" i="21"/>
  <c r="E18" i="21" s="1"/>
  <c r="D18" i="21"/>
  <c r="I40" i="21"/>
  <c r="I39" i="21"/>
  <c r="I37" i="21"/>
  <c r="I30" i="21"/>
  <c r="I35" i="21"/>
  <c r="J30" i="21"/>
  <c r="J40" i="21"/>
  <c r="J39" i="21"/>
  <c r="J37" i="21"/>
  <c r="J35" i="21"/>
  <c r="R30" i="21"/>
  <c r="R40" i="21"/>
  <c r="R35" i="21"/>
  <c r="R39" i="21"/>
  <c r="R33" i="21"/>
  <c r="S30" i="21"/>
  <c r="S40" i="21"/>
  <c r="S39" i="21"/>
  <c r="S37" i="21"/>
  <c r="R31" i="21"/>
  <c r="S33" i="21"/>
  <c r="K36" i="21"/>
  <c r="R37" i="21"/>
  <c r="T42" i="21"/>
  <c r="T41" i="21"/>
  <c r="H30" i="21"/>
  <c r="H40" i="21"/>
  <c r="H35" i="21"/>
  <c r="H39" i="21"/>
  <c r="T24" i="21"/>
  <c r="T34" i="21" s="1"/>
  <c r="Q33" i="21"/>
  <c r="P33" i="21"/>
  <c r="N33" i="21"/>
  <c r="M33" i="21"/>
  <c r="L33" i="21"/>
  <c r="T33" i="21"/>
  <c r="Q31" i="21"/>
  <c r="P31" i="21"/>
  <c r="N31" i="21"/>
  <c r="M31" i="21"/>
  <c r="L31" i="21"/>
  <c r="T31" i="21"/>
  <c r="K34" i="21"/>
  <c r="J34" i="21"/>
  <c r="H34" i="21"/>
  <c r="S34" i="21"/>
  <c r="R34" i="21"/>
  <c r="K32" i="21"/>
  <c r="J32" i="21"/>
  <c r="T32" i="21"/>
  <c r="H32" i="21"/>
  <c r="S32" i="21"/>
  <c r="R32" i="21"/>
  <c r="K38" i="21"/>
  <c r="I34" i="21"/>
  <c r="I32" i="21"/>
  <c r="H33" i="21"/>
  <c r="L34" i="21"/>
  <c r="H31" i="21"/>
  <c r="L32" i="21"/>
  <c r="I33" i="21"/>
  <c r="M34" i="21"/>
  <c r="I31" i="21"/>
  <c r="M32" i="21"/>
  <c r="J33" i="21"/>
  <c r="N34" i="21"/>
  <c r="J31" i="21"/>
  <c r="N32" i="21"/>
  <c r="K33" i="21"/>
  <c r="O34" i="21"/>
  <c r="O36" i="21"/>
  <c r="O38" i="21"/>
  <c r="P36" i="21"/>
  <c r="P38" i="21"/>
  <c r="Q36" i="21"/>
  <c r="Q38" i="21"/>
  <c r="L35" i="21"/>
  <c r="R36" i="21"/>
  <c r="L37" i="21"/>
  <c r="R38" i="21"/>
  <c r="L39" i="21"/>
  <c r="M35" i="21"/>
  <c r="S36" i="21"/>
  <c r="M37" i="21"/>
  <c r="S38" i="21"/>
  <c r="M39" i="21"/>
  <c r="N35" i="21"/>
  <c r="H36" i="21"/>
  <c r="T36" i="21"/>
  <c r="N37" i="21"/>
  <c r="H38" i="21"/>
  <c r="T38" i="21"/>
  <c r="N39" i="21"/>
  <c r="O35" i="21"/>
  <c r="I36" i="21"/>
  <c r="O37" i="21"/>
  <c r="I38" i="21"/>
  <c r="O39" i="21"/>
  <c r="P35" i="21"/>
  <c r="J36" i="21"/>
  <c r="P37" i="21"/>
  <c r="J38" i="21"/>
  <c r="P39" i="21"/>
  <c r="Q40" i="22"/>
  <c r="Q32" i="22"/>
  <c r="Q30" i="22"/>
  <c r="P40" i="22"/>
  <c r="P32" i="22"/>
  <c r="P30" i="22"/>
  <c r="P34" i="22"/>
  <c r="E18" i="22"/>
  <c r="F11" i="22" s="1"/>
  <c r="G11" i="22" s="1"/>
  <c r="Q34" i="22"/>
  <c r="O32" i="22"/>
  <c r="M32" i="22"/>
  <c r="L32" i="22"/>
  <c r="J32" i="22"/>
  <c r="K40" i="22"/>
  <c r="K32" i="22"/>
  <c r="K30" i="22"/>
  <c r="I32" i="22"/>
  <c r="R30" i="22"/>
  <c r="R40" i="22"/>
  <c r="I31" i="22"/>
  <c r="I33" i="22"/>
  <c r="K35" i="22"/>
  <c r="Q37" i="22"/>
  <c r="Q39" i="22"/>
  <c r="T42" i="22"/>
  <c r="T41" i="22"/>
  <c r="T24" i="22"/>
  <c r="S30" i="22"/>
  <c r="S40" i="22"/>
  <c r="J31" i="22"/>
  <c r="J33" i="22"/>
  <c r="M34" i="22"/>
  <c r="O35" i="22"/>
  <c r="K31" i="22"/>
  <c r="K33" i="22"/>
  <c r="Q35" i="22"/>
  <c r="O31" i="22"/>
  <c r="O33" i="22"/>
  <c r="R35" i="22"/>
  <c r="P31" i="22"/>
  <c r="Q33" i="22"/>
  <c r="Q31" i="22"/>
  <c r="R33" i="22"/>
  <c r="J36" i="22"/>
  <c r="T36" i="22"/>
  <c r="H36" i="22"/>
  <c r="S36" i="22"/>
  <c r="R36" i="22"/>
  <c r="Q36" i="22"/>
  <c r="P36" i="22"/>
  <c r="O36" i="22"/>
  <c r="N36" i="22"/>
  <c r="R37" i="22"/>
  <c r="R39" i="22"/>
  <c r="P35" i="22"/>
  <c r="N35" i="22"/>
  <c r="M35" i="22"/>
  <c r="L35" i="22"/>
  <c r="H35" i="22"/>
  <c r="S37" i="22"/>
  <c r="S39" i="22"/>
  <c r="P33" i="22"/>
  <c r="N33" i="22"/>
  <c r="M33" i="22"/>
  <c r="L33" i="22"/>
  <c r="T33" i="22"/>
  <c r="H33" i="22"/>
  <c r="J34" i="22"/>
  <c r="H34" i="22"/>
  <c r="S34" i="22"/>
  <c r="R34" i="22"/>
  <c r="N34" i="22"/>
  <c r="K38" i="22"/>
  <c r="N31" i="22"/>
  <c r="M31" i="22"/>
  <c r="L31" i="22"/>
  <c r="T31" i="22"/>
  <c r="H31" i="22"/>
  <c r="H32" i="22"/>
  <c r="S32" i="22"/>
  <c r="R32" i="22"/>
  <c r="N32" i="22"/>
  <c r="I36" i="22"/>
  <c r="S31" i="22"/>
  <c r="D18" i="22"/>
  <c r="K36" i="22"/>
  <c r="H37" i="22"/>
  <c r="N38" i="22"/>
  <c r="H39" i="22"/>
  <c r="T39" i="22"/>
  <c r="I37" i="22"/>
  <c r="O38" i="22"/>
  <c r="I39" i="22"/>
  <c r="J37" i="22"/>
  <c r="P38" i="22"/>
  <c r="J39" i="22"/>
  <c r="K37" i="22"/>
  <c r="Q38" i="22"/>
  <c r="K39" i="22"/>
  <c r="H40" i="22"/>
  <c r="L37" i="22"/>
  <c r="R38" i="22"/>
  <c r="L39" i="22"/>
  <c r="M37" i="22"/>
  <c r="S38" i="22"/>
  <c r="M39" i="22"/>
  <c r="N37" i="22"/>
  <c r="H38" i="22"/>
  <c r="N39" i="22"/>
  <c r="O37" i="22"/>
  <c r="I38" i="22"/>
  <c r="O39" i="22"/>
  <c r="P37" i="22"/>
  <c r="J38" i="22"/>
  <c r="P39" i="22"/>
  <c r="F16" i="21" l="1"/>
  <c r="G16" i="21" s="1"/>
  <c r="F7" i="21"/>
  <c r="G7" i="21" s="1"/>
  <c r="F5" i="21"/>
  <c r="F11" i="21"/>
  <c r="G11" i="21" s="1"/>
  <c r="F9" i="21"/>
  <c r="G9" i="21" s="1"/>
  <c r="F13" i="21"/>
  <c r="G13" i="21" s="1"/>
  <c r="F12" i="21"/>
  <c r="G12" i="21" s="1"/>
  <c r="F8" i="21"/>
  <c r="G8" i="21" s="1"/>
  <c r="F15" i="21"/>
  <c r="G15" i="21" s="1"/>
  <c r="F14" i="21"/>
  <c r="G14" i="21" s="1"/>
  <c r="F10" i="21"/>
  <c r="G10" i="21" s="1"/>
  <c r="F17" i="21"/>
  <c r="G17" i="21" s="1"/>
  <c r="F6" i="21"/>
  <c r="G6" i="21" s="1"/>
  <c r="T30" i="21"/>
  <c r="T40" i="21"/>
  <c r="T39" i="21"/>
  <c r="T37" i="21"/>
  <c r="T35" i="21"/>
  <c r="F12" i="22"/>
  <c r="G12" i="22" s="1"/>
  <c r="T12" i="22" s="1"/>
  <c r="AV11" i="22"/>
  <c r="AJ11" i="22"/>
  <c r="X11" i="22"/>
  <c r="L11" i="22"/>
  <c r="AN11" i="22"/>
  <c r="AZ11" i="22"/>
  <c r="H11" i="22"/>
  <c r="AF11" i="22"/>
  <c r="P11" i="22"/>
  <c r="BE11" i="22"/>
  <c r="T11" i="22"/>
  <c r="AR11" i="22"/>
  <c r="AB11" i="22"/>
  <c r="F15" i="22"/>
  <c r="G15" i="22" s="1"/>
  <c r="F13" i="22"/>
  <c r="G13" i="22" s="1"/>
  <c r="F6" i="22"/>
  <c r="G6" i="22" s="1"/>
  <c r="F5" i="22"/>
  <c r="F10" i="22"/>
  <c r="G10" i="22" s="1"/>
  <c r="T30" i="22"/>
  <c r="T40" i="22"/>
  <c r="F9" i="22"/>
  <c r="G9" i="22" s="1"/>
  <c r="BE12" i="22"/>
  <c r="AZ12" i="22"/>
  <c r="AV12" i="22"/>
  <c r="H12" i="22"/>
  <c r="F8" i="22"/>
  <c r="G8" i="22" s="1"/>
  <c r="F7" i="22"/>
  <c r="G7" i="22" s="1"/>
  <c r="T37" i="22"/>
  <c r="T35" i="22"/>
  <c r="F14" i="22"/>
  <c r="G14" i="22" s="1"/>
  <c r="T32" i="22"/>
  <c r="T38" i="22"/>
  <c r="F17" i="22"/>
  <c r="G17" i="22" s="1"/>
  <c r="T34" i="22"/>
  <c r="F16" i="22"/>
  <c r="G16" i="22" s="1"/>
  <c r="AF12" i="22" l="1"/>
  <c r="X12" i="22"/>
  <c r="L12" i="22"/>
  <c r="AN12" i="22"/>
  <c r="AJ12" i="22"/>
  <c r="AB12" i="22"/>
  <c r="P12" i="22"/>
  <c r="AR12" i="22"/>
  <c r="H12" i="21"/>
  <c r="T12" i="21"/>
  <c r="AF12" i="21"/>
  <c r="P12" i="21"/>
  <c r="BE12" i="21"/>
  <c r="AR12" i="21"/>
  <c r="L12" i="21"/>
  <c r="AN12" i="21"/>
  <c r="X12" i="21"/>
  <c r="AZ12" i="21"/>
  <c r="AB12" i="21"/>
  <c r="AV12" i="21"/>
  <c r="AJ12" i="21"/>
  <c r="AZ13" i="21"/>
  <c r="AN13" i="21"/>
  <c r="AB13" i="21"/>
  <c r="P13" i="21"/>
  <c r="AF13" i="21"/>
  <c r="AR13" i="21"/>
  <c r="BE13" i="21"/>
  <c r="L13" i="21"/>
  <c r="AJ13" i="21"/>
  <c r="H13" i="21"/>
  <c r="AV13" i="21"/>
  <c r="X13" i="21"/>
  <c r="T13" i="21"/>
  <c r="AN8" i="21"/>
  <c r="L8" i="21"/>
  <c r="AZ8" i="21"/>
  <c r="X8" i="21"/>
  <c r="AV8" i="21"/>
  <c r="AJ8" i="21"/>
  <c r="AF8" i="21"/>
  <c r="AB8" i="21"/>
  <c r="BE8" i="21"/>
  <c r="H8" i="21"/>
  <c r="T8" i="21"/>
  <c r="AR8" i="21"/>
  <c r="P8" i="21"/>
  <c r="AV9" i="21"/>
  <c r="BE9" i="21"/>
  <c r="H9" i="21"/>
  <c r="T9" i="21"/>
  <c r="AR9" i="21"/>
  <c r="AF9" i="21"/>
  <c r="AB9" i="21"/>
  <c r="P9" i="21"/>
  <c r="AN9" i="21"/>
  <c r="AZ9" i="21"/>
  <c r="X9" i="21"/>
  <c r="L9" i="21"/>
  <c r="AJ9" i="21"/>
  <c r="AR10" i="21"/>
  <c r="AF10" i="21"/>
  <c r="T10" i="21"/>
  <c r="H10" i="21"/>
  <c r="BE10" i="21"/>
  <c r="P10" i="21"/>
  <c r="AB10" i="21"/>
  <c r="L10" i="21"/>
  <c r="AN10" i="21"/>
  <c r="AZ10" i="21"/>
  <c r="X10" i="21"/>
  <c r="AJ10" i="21"/>
  <c r="AV10" i="21"/>
  <c r="AV15" i="21"/>
  <c r="AJ15" i="21"/>
  <c r="X15" i="21"/>
  <c r="L15" i="21"/>
  <c r="AB15" i="21"/>
  <c r="T15" i="21"/>
  <c r="BE15" i="21"/>
  <c r="H15" i="21"/>
  <c r="AN15" i="21"/>
  <c r="P15" i="21"/>
  <c r="AZ15" i="21"/>
  <c r="AR15" i="21"/>
  <c r="AF15" i="21"/>
  <c r="F18" i="21"/>
  <c r="G18" i="21" s="1"/>
  <c r="G5" i="21"/>
  <c r="AR17" i="21"/>
  <c r="AN17" i="21"/>
  <c r="AJ17" i="21"/>
  <c r="BE17" i="21"/>
  <c r="X17" i="21"/>
  <c r="H17" i="21"/>
  <c r="AZ17" i="21"/>
  <c r="AF17" i="21"/>
  <c r="AB17" i="21"/>
  <c r="T17" i="21"/>
  <c r="P17" i="21"/>
  <c r="L17" i="21"/>
  <c r="AV17" i="21"/>
  <c r="AR14" i="21"/>
  <c r="AF14" i="21"/>
  <c r="T14" i="21"/>
  <c r="H14" i="21"/>
  <c r="AJ14" i="21"/>
  <c r="AB14" i="21"/>
  <c r="P14" i="21"/>
  <c r="AV14" i="21"/>
  <c r="L14" i="21"/>
  <c r="AN14" i="21"/>
  <c r="AZ14" i="21"/>
  <c r="X14" i="21"/>
  <c r="BE14" i="21"/>
  <c r="BE7" i="21"/>
  <c r="AR7" i="21"/>
  <c r="AN7" i="21"/>
  <c r="P7" i="21"/>
  <c r="AB7" i="21"/>
  <c r="T7" i="21"/>
  <c r="AF7" i="21"/>
  <c r="AZ7" i="21"/>
  <c r="X7" i="21"/>
  <c r="AV7" i="21"/>
  <c r="L7" i="21"/>
  <c r="H7" i="21"/>
  <c r="AJ7" i="21"/>
  <c r="AZ11" i="21"/>
  <c r="AV11" i="21"/>
  <c r="L11" i="21"/>
  <c r="X11" i="21"/>
  <c r="AJ11" i="21"/>
  <c r="H11" i="21"/>
  <c r="T11" i="21"/>
  <c r="AR11" i="21"/>
  <c r="AN11" i="21"/>
  <c r="AF11" i="21"/>
  <c r="P11" i="21"/>
  <c r="BE11" i="21"/>
  <c r="AB11" i="21"/>
  <c r="AR6" i="21"/>
  <c r="AF6" i="21"/>
  <c r="T6" i="21"/>
  <c r="H6" i="21"/>
  <c r="AJ6" i="21"/>
  <c r="AV6" i="21"/>
  <c r="L6" i="21"/>
  <c r="BE6" i="21"/>
  <c r="AZ6" i="21"/>
  <c r="X6" i="21"/>
  <c r="P6" i="21"/>
  <c r="AN6" i="21"/>
  <c r="AB6" i="21"/>
  <c r="AZ16" i="21"/>
  <c r="AN16" i="21"/>
  <c r="AB16" i="21"/>
  <c r="P16" i="21"/>
  <c r="T16" i="21"/>
  <c r="L16" i="21"/>
  <c r="AV16" i="21"/>
  <c r="AF16" i="21"/>
  <c r="BE16" i="21"/>
  <c r="X16" i="21"/>
  <c r="AR16" i="21"/>
  <c r="H16" i="21"/>
  <c r="AJ16" i="21"/>
  <c r="AZ16" i="22"/>
  <c r="AN16" i="22"/>
  <c r="AB16" i="22"/>
  <c r="P16" i="22"/>
  <c r="AF16" i="22"/>
  <c r="L16" i="22"/>
  <c r="AR16" i="22"/>
  <c r="BE16" i="22"/>
  <c r="X16" i="22"/>
  <c r="AJ16" i="22"/>
  <c r="T16" i="22"/>
  <c r="H16" i="22"/>
  <c r="AV16" i="22"/>
  <c r="H8" i="22"/>
  <c r="T8" i="22"/>
  <c r="BE8" i="22"/>
  <c r="AR8" i="22"/>
  <c r="AJ8" i="22"/>
  <c r="AZ8" i="22"/>
  <c r="P8" i="22"/>
  <c r="AV8" i="22"/>
  <c r="L8" i="22"/>
  <c r="AF8" i="22"/>
  <c r="AB8" i="22"/>
  <c r="AN8" i="22"/>
  <c r="X8" i="22"/>
  <c r="BE10" i="22"/>
  <c r="AR10" i="22"/>
  <c r="AF10" i="22"/>
  <c r="T10" i="22"/>
  <c r="AN10" i="22"/>
  <c r="L10" i="22"/>
  <c r="AZ10" i="22"/>
  <c r="X10" i="22"/>
  <c r="H10" i="22"/>
  <c r="AV10" i="22"/>
  <c r="AB10" i="22"/>
  <c r="AJ10" i="22"/>
  <c r="P10" i="22"/>
  <c r="H17" i="22"/>
  <c r="AJ17" i="22"/>
  <c r="AZ17" i="22"/>
  <c r="T17" i="22"/>
  <c r="AV17" i="22"/>
  <c r="AF17" i="22"/>
  <c r="AB17" i="22"/>
  <c r="L17" i="22"/>
  <c r="BE17" i="22"/>
  <c r="AR17" i="22"/>
  <c r="AN17" i="22"/>
  <c r="X17" i="22"/>
  <c r="P17" i="22"/>
  <c r="F18" i="22"/>
  <c r="G18" i="22" s="1"/>
  <c r="G5" i="22"/>
  <c r="BE6" i="22"/>
  <c r="P6" i="22"/>
  <c r="AN6" i="22"/>
  <c r="AR6" i="22"/>
  <c r="H6" i="22"/>
  <c r="X6" i="22"/>
  <c r="T6" i="22"/>
  <c r="L6" i="22"/>
  <c r="AF6" i="22"/>
  <c r="AV6" i="22"/>
  <c r="AJ6" i="22"/>
  <c r="AB6" i="22"/>
  <c r="AZ6" i="22"/>
  <c r="AZ13" i="22"/>
  <c r="AN13" i="22"/>
  <c r="AR13" i="22"/>
  <c r="L13" i="22"/>
  <c r="BE13" i="22"/>
  <c r="X13" i="22"/>
  <c r="AJ13" i="22"/>
  <c r="H13" i="22"/>
  <c r="AV13" i="22"/>
  <c r="P13" i="22"/>
  <c r="T13" i="22"/>
  <c r="AB13" i="22"/>
  <c r="AF13" i="22"/>
  <c r="AV7" i="22"/>
  <c r="AJ7" i="22"/>
  <c r="X7" i="22"/>
  <c r="L7" i="22"/>
  <c r="AZ7" i="22"/>
  <c r="BE7" i="22"/>
  <c r="AN7" i="22"/>
  <c r="P7" i="22"/>
  <c r="T7" i="22"/>
  <c r="AF7" i="22"/>
  <c r="H7" i="22"/>
  <c r="AB7" i="22"/>
  <c r="AR7" i="22"/>
  <c r="P9" i="22"/>
  <c r="AB9" i="22"/>
  <c r="AZ9" i="22"/>
  <c r="AV9" i="22"/>
  <c r="AF9" i="22"/>
  <c r="L9" i="22"/>
  <c r="X9" i="22"/>
  <c r="AN9" i="22"/>
  <c r="AR9" i="22"/>
  <c r="H9" i="22"/>
  <c r="BE9" i="22"/>
  <c r="T9" i="22"/>
  <c r="AJ9" i="22"/>
  <c r="BE14" i="22"/>
  <c r="AR14" i="22"/>
  <c r="AF14" i="22"/>
  <c r="T14" i="22"/>
  <c r="H14" i="22"/>
  <c r="P14" i="22"/>
  <c r="AV14" i="22"/>
  <c r="L14" i="22"/>
  <c r="AN14" i="22"/>
  <c r="AJ14" i="22"/>
  <c r="X14" i="22"/>
  <c r="AZ14" i="22"/>
  <c r="AB14" i="22"/>
  <c r="AV15" i="22"/>
  <c r="AJ15" i="22"/>
  <c r="X15" i="22"/>
  <c r="L15" i="22"/>
  <c r="BE15" i="22"/>
  <c r="H15" i="22"/>
  <c r="AN15" i="22"/>
  <c r="AZ15" i="22"/>
  <c r="AF15" i="22"/>
  <c r="AR15" i="22"/>
  <c r="P15" i="22"/>
  <c r="T15" i="22"/>
  <c r="AB15" i="22"/>
  <c r="K45" i="11"/>
  <c r="AN5" i="21" l="1"/>
  <c r="AZ5" i="21"/>
  <c r="AJ5" i="21"/>
  <c r="X5" i="21"/>
  <c r="L5" i="21"/>
  <c r="AR5" i="21"/>
  <c r="T5" i="21"/>
  <c r="BE5" i="21"/>
  <c r="AV5" i="21"/>
  <c r="H5" i="21"/>
  <c r="AB5" i="21"/>
  <c r="P5" i="21"/>
  <c r="AF5" i="21"/>
  <c r="AV5" i="22"/>
  <c r="H5" i="22"/>
  <c r="AF5" i="22"/>
  <c r="AB5" i="22"/>
  <c r="L5" i="22"/>
  <c r="AR5" i="22"/>
  <c r="AZ5" i="22"/>
  <c r="P5" i="22"/>
  <c r="X5" i="22"/>
  <c r="AN5" i="22"/>
  <c r="AJ5" i="22"/>
  <c r="BE5" i="22"/>
  <c r="T5" i="22"/>
  <c r="AN18" i="21" l="1"/>
  <c r="AJ18" i="21"/>
  <c r="AZ18" i="21"/>
  <c r="AB18" i="21"/>
  <c r="H18" i="21"/>
  <c r="AF18" i="21"/>
  <c r="AG5" i="21" s="1"/>
  <c r="P18" i="21"/>
  <c r="Q5" i="21" s="1"/>
  <c r="AV18" i="21"/>
  <c r="AW5" i="21" s="1"/>
  <c r="BE18" i="21"/>
  <c r="T18" i="21"/>
  <c r="U5" i="21"/>
  <c r="AR18" i="21"/>
  <c r="AS5" i="21"/>
  <c r="L18" i="21"/>
  <c r="M5" i="21" s="1"/>
  <c r="X18" i="21"/>
  <c r="AJ18" i="22"/>
  <c r="AK5" i="22"/>
  <c r="AV18" i="22"/>
  <c r="AW5" i="22"/>
  <c r="AN18" i="22"/>
  <c r="AO5" i="22" s="1"/>
  <c r="BE18" i="22"/>
  <c r="BF5" i="22" s="1"/>
  <c r="X18" i="22"/>
  <c r="AZ18" i="22"/>
  <c r="BA5" i="22" s="1"/>
  <c r="T18" i="22"/>
  <c r="U5" i="22" s="1"/>
  <c r="P18" i="22"/>
  <c r="Q5" i="22"/>
  <c r="AR18" i="22"/>
  <c r="AS5" i="22"/>
  <c r="L18" i="22"/>
  <c r="M5" i="22" s="1"/>
  <c r="AB18" i="22"/>
  <c r="AC5" i="22"/>
  <c r="AF18" i="22"/>
  <c r="AG5" i="22" s="1"/>
  <c r="H18" i="22"/>
  <c r="I5" i="22" s="1"/>
  <c r="N5" i="21" l="1"/>
  <c r="AH5" i="21"/>
  <c r="AR19" i="21"/>
  <c r="Q25" i="21" s="1"/>
  <c r="AS6" i="21"/>
  <c r="AT6" i="21" s="1"/>
  <c r="AS9" i="21"/>
  <c r="AT9" i="21" s="1"/>
  <c r="AS11" i="21"/>
  <c r="AT11" i="21" s="1"/>
  <c r="AS16" i="21"/>
  <c r="AT16" i="21" s="1"/>
  <c r="AS13" i="21"/>
  <c r="AT13" i="21" s="1"/>
  <c r="AS8" i="21"/>
  <c r="AT8" i="21" s="1"/>
  <c r="AS15" i="21"/>
  <c r="AT15" i="21" s="1"/>
  <c r="AS17" i="21"/>
  <c r="AT17" i="21" s="1"/>
  <c r="AS12" i="21"/>
  <c r="AT12" i="21" s="1"/>
  <c r="AS14" i="21"/>
  <c r="AT14" i="21" s="1"/>
  <c r="AS10" i="21"/>
  <c r="AT10" i="21" s="1"/>
  <c r="AS7" i="21"/>
  <c r="AT7" i="21" s="1"/>
  <c r="BE19" i="21"/>
  <c r="BF6" i="21"/>
  <c r="BG6" i="21" s="1"/>
  <c r="BF9" i="21"/>
  <c r="BG9" i="21" s="1"/>
  <c r="BF15" i="21"/>
  <c r="BG15" i="21" s="1"/>
  <c r="BF11" i="21"/>
  <c r="BG11" i="21" s="1"/>
  <c r="BF12" i="21"/>
  <c r="BG12" i="21" s="1"/>
  <c r="BF8" i="21"/>
  <c r="BG8" i="21" s="1"/>
  <c r="BF17" i="21"/>
  <c r="BG17" i="21" s="1"/>
  <c r="BF10" i="21"/>
  <c r="BG10" i="21" s="1"/>
  <c r="BF16" i="21"/>
  <c r="BG16" i="21" s="1"/>
  <c r="BF13" i="21"/>
  <c r="BG13" i="21" s="1"/>
  <c r="BF14" i="21"/>
  <c r="BG14" i="21" s="1"/>
  <c r="BF7" i="21"/>
  <c r="BG7" i="21" s="1"/>
  <c r="AF19" i="21"/>
  <c r="N25" i="21" s="1"/>
  <c r="AG9" i="21"/>
  <c r="AH9" i="21" s="1"/>
  <c r="AG13" i="21"/>
  <c r="AH13" i="21" s="1"/>
  <c r="AG12" i="21"/>
  <c r="AH12" i="21" s="1"/>
  <c r="AG15" i="21"/>
  <c r="AH15" i="21" s="1"/>
  <c r="AG10" i="21"/>
  <c r="AH10" i="21" s="1"/>
  <c r="AG7" i="21"/>
  <c r="AH7" i="21" s="1"/>
  <c r="AG17" i="21"/>
  <c r="AH17" i="21" s="1"/>
  <c r="AG14" i="21"/>
  <c r="AH14" i="21" s="1"/>
  <c r="AG16" i="21"/>
  <c r="AH16" i="21" s="1"/>
  <c r="AG8" i="21"/>
  <c r="AH8" i="21" s="1"/>
  <c r="AG11" i="21"/>
  <c r="AH11" i="21" s="1"/>
  <c r="AG6" i="21"/>
  <c r="AH6" i="21" s="1"/>
  <c r="H19" i="21"/>
  <c r="H25" i="21" s="1"/>
  <c r="I12" i="21"/>
  <c r="J12" i="21" s="1"/>
  <c r="I10" i="21"/>
  <c r="J10" i="21" s="1"/>
  <c r="I17" i="21"/>
  <c r="J17" i="21" s="1"/>
  <c r="I8" i="21"/>
  <c r="J8" i="21" s="1"/>
  <c r="I7" i="21"/>
  <c r="J7" i="21" s="1"/>
  <c r="I14" i="21"/>
  <c r="J14" i="21" s="1"/>
  <c r="I9" i="21"/>
  <c r="J9" i="21" s="1"/>
  <c r="I6" i="21"/>
  <c r="J6" i="21" s="1"/>
  <c r="I11" i="21"/>
  <c r="J11" i="21" s="1"/>
  <c r="I15" i="21"/>
  <c r="J15" i="21" s="1"/>
  <c r="I13" i="21"/>
  <c r="J13" i="21" s="1"/>
  <c r="I16" i="21"/>
  <c r="J16" i="21" s="1"/>
  <c r="AB19" i="21"/>
  <c r="M25" i="21" s="1"/>
  <c r="AC11" i="21"/>
  <c r="AD11" i="21" s="1"/>
  <c r="AC6" i="21"/>
  <c r="AD6" i="21" s="1"/>
  <c r="AC9" i="21"/>
  <c r="AD9" i="21" s="1"/>
  <c r="AC17" i="21"/>
  <c r="AD17" i="21" s="1"/>
  <c r="AC16" i="21"/>
  <c r="AD16" i="21" s="1"/>
  <c r="AC12" i="21"/>
  <c r="AD12" i="21" s="1"/>
  <c r="AC13" i="21"/>
  <c r="AD13" i="21" s="1"/>
  <c r="AC7" i="21"/>
  <c r="AD7" i="21" s="1"/>
  <c r="AC10" i="21"/>
  <c r="AD10" i="21" s="1"/>
  <c r="AC15" i="21"/>
  <c r="AD15" i="21" s="1"/>
  <c r="AC8" i="21"/>
  <c r="AD8" i="21" s="1"/>
  <c r="AC14" i="21"/>
  <c r="AD14" i="21" s="1"/>
  <c r="BF5" i="21"/>
  <c r="AX5" i="21"/>
  <c r="AN19" i="21"/>
  <c r="P25" i="21" s="1"/>
  <c r="AO13" i="21"/>
  <c r="AP13" i="21" s="1"/>
  <c r="AO9" i="21"/>
  <c r="AP9" i="21" s="1"/>
  <c r="AO14" i="21"/>
  <c r="AP14" i="21" s="1"/>
  <c r="AO17" i="21"/>
  <c r="AP17" i="21" s="1"/>
  <c r="AO12" i="21"/>
  <c r="AP12" i="21" s="1"/>
  <c r="AO6" i="21"/>
  <c r="AP6" i="21" s="1"/>
  <c r="AO7" i="21"/>
  <c r="AP7" i="21" s="1"/>
  <c r="AO15" i="21"/>
  <c r="AP15" i="21" s="1"/>
  <c r="AO16" i="21"/>
  <c r="AP16" i="21" s="1"/>
  <c r="AO8" i="21"/>
  <c r="AP8" i="21" s="1"/>
  <c r="AO11" i="21"/>
  <c r="AP11" i="21" s="1"/>
  <c r="AO10" i="21"/>
  <c r="AP10" i="21" s="1"/>
  <c r="L19" i="21"/>
  <c r="I25" i="21" s="1"/>
  <c r="M13" i="21"/>
  <c r="N13" i="21" s="1"/>
  <c r="M11" i="21"/>
  <c r="N11" i="21" s="1"/>
  <c r="M12" i="21"/>
  <c r="N12" i="21" s="1"/>
  <c r="M16" i="21"/>
  <c r="N16" i="21" s="1"/>
  <c r="M8" i="21"/>
  <c r="N8" i="21" s="1"/>
  <c r="M7" i="21"/>
  <c r="N7" i="21" s="1"/>
  <c r="M9" i="21"/>
  <c r="N9" i="21" s="1"/>
  <c r="M6" i="21"/>
  <c r="N6" i="21" s="1"/>
  <c r="M15" i="21"/>
  <c r="N15" i="21" s="1"/>
  <c r="M14" i="21"/>
  <c r="N14" i="21" s="1"/>
  <c r="M17" i="21"/>
  <c r="N17" i="21" s="1"/>
  <c r="M10" i="21"/>
  <c r="N10" i="21" s="1"/>
  <c r="AT5" i="21"/>
  <c r="I5" i="21"/>
  <c r="V5" i="21"/>
  <c r="T19" i="21"/>
  <c r="K25" i="21" s="1"/>
  <c r="U17" i="21"/>
  <c r="V17" i="21" s="1"/>
  <c r="U9" i="21"/>
  <c r="V9" i="21" s="1"/>
  <c r="U11" i="21"/>
  <c r="V11" i="21" s="1"/>
  <c r="U14" i="21"/>
  <c r="V14" i="21" s="1"/>
  <c r="U15" i="21"/>
  <c r="V15" i="21" s="1"/>
  <c r="U6" i="21"/>
  <c r="V6" i="21" s="1"/>
  <c r="U10" i="21"/>
  <c r="V10" i="21" s="1"/>
  <c r="U16" i="21"/>
  <c r="V16" i="21" s="1"/>
  <c r="U8" i="21"/>
  <c r="V8" i="21" s="1"/>
  <c r="U13" i="21"/>
  <c r="V13" i="21" s="1"/>
  <c r="U12" i="21"/>
  <c r="V12" i="21" s="1"/>
  <c r="U7" i="21"/>
  <c r="V7" i="21" s="1"/>
  <c r="AC5" i="21"/>
  <c r="AZ19" i="21"/>
  <c r="S25" i="21" s="1"/>
  <c r="BA15" i="21"/>
  <c r="BB15" i="21" s="1"/>
  <c r="BA8" i="21"/>
  <c r="BB8" i="21" s="1"/>
  <c r="BA14" i="21"/>
  <c r="BB14" i="21" s="1"/>
  <c r="BA6" i="21"/>
  <c r="BB6" i="21" s="1"/>
  <c r="BA7" i="21"/>
  <c r="BB7" i="21" s="1"/>
  <c r="BA11" i="21"/>
  <c r="BB11" i="21" s="1"/>
  <c r="BA9" i="21"/>
  <c r="BB9" i="21" s="1"/>
  <c r="BA13" i="21"/>
  <c r="BB13" i="21" s="1"/>
  <c r="BA17" i="21"/>
  <c r="BB17" i="21" s="1"/>
  <c r="BA10" i="21"/>
  <c r="BB10" i="21" s="1"/>
  <c r="BA12" i="21"/>
  <c r="BB12" i="21" s="1"/>
  <c r="BA16" i="21"/>
  <c r="BB16" i="21" s="1"/>
  <c r="BA5" i="21"/>
  <c r="AJ19" i="21"/>
  <c r="O25" i="21" s="1"/>
  <c r="AK10" i="21"/>
  <c r="AL10" i="21" s="1"/>
  <c r="AK9" i="21"/>
  <c r="AL9" i="21" s="1"/>
  <c r="AK14" i="21"/>
  <c r="AL14" i="21" s="1"/>
  <c r="AK17" i="21"/>
  <c r="AL17" i="21" s="1"/>
  <c r="AK15" i="21"/>
  <c r="AL15" i="21" s="1"/>
  <c r="AK7" i="21"/>
  <c r="AL7" i="21" s="1"/>
  <c r="AK11" i="21"/>
  <c r="AL11" i="21" s="1"/>
  <c r="AK16" i="21"/>
  <c r="AL16" i="21" s="1"/>
  <c r="AK8" i="21"/>
  <c r="AL8" i="21" s="1"/>
  <c r="AK13" i="21"/>
  <c r="AL13" i="21" s="1"/>
  <c r="AK6" i="21"/>
  <c r="AL6" i="21" s="1"/>
  <c r="AK12" i="21"/>
  <c r="AL12" i="21" s="1"/>
  <c r="AV19" i="21"/>
  <c r="R25" i="21" s="1"/>
  <c r="AW7" i="21"/>
  <c r="AX7" i="21" s="1"/>
  <c r="AW12" i="21"/>
  <c r="AX12" i="21" s="1"/>
  <c r="AW11" i="21"/>
  <c r="AX11" i="21" s="1"/>
  <c r="AW9" i="21"/>
  <c r="AX9" i="21" s="1"/>
  <c r="AW14" i="21"/>
  <c r="AX14" i="21" s="1"/>
  <c r="AW16" i="21"/>
  <c r="AX16" i="21" s="1"/>
  <c r="AW10" i="21"/>
  <c r="AX10" i="21" s="1"/>
  <c r="AW8" i="21"/>
  <c r="AX8" i="21" s="1"/>
  <c r="AW13" i="21"/>
  <c r="AX13" i="21" s="1"/>
  <c r="AW6" i="21"/>
  <c r="AX6" i="21" s="1"/>
  <c r="AW15" i="21"/>
  <c r="AX15" i="21" s="1"/>
  <c r="AW17" i="21"/>
  <c r="AX17" i="21" s="1"/>
  <c r="AK5" i="21"/>
  <c r="X19" i="21"/>
  <c r="L25" i="21" s="1"/>
  <c r="Y6" i="21"/>
  <c r="Z6" i="21" s="1"/>
  <c r="Y15" i="21"/>
  <c r="Z15" i="21" s="1"/>
  <c r="Y10" i="21"/>
  <c r="Z10" i="21" s="1"/>
  <c r="Y12" i="21"/>
  <c r="Z12" i="21" s="1"/>
  <c r="Y8" i="21"/>
  <c r="Z8" i="21" s="1"/>
  <c r="Y17" i="21"/>
  <c r="Z17" i="21" s="1"/>
  <c r="Y9" i="21"/>
  <c r="Z9" i="21" s="1"/>
  <c r="Y7" i="21"/>
  <c r="Z7" i="21" s="1"/>
  <c r="Y13" i="21"/>
  <c r="Z13" i="21" s="1"/>
  <c r="Y14" i="21"/>
  <c r="Z14" i="21" s="1"/>
  <c r="Y11" i="21"/>
  <c r="Z11" i="21" s="1"/>
  <c r="Y16" i="21"/>
  <c r="Z16" i="21" s="1"/>
  <c r="R5" i="21"/>
  <c r="Y5" i="21"/>
  <c r="P19" i="21"/>
  <c r="J25" i="21" s="1"/>
  <c r="Q7" i="21"/>
  <c r="R7" i="21" s="1"/>
  <c r="Q6" i="21"/>
  <c r="R6" i="21" s="1"/>
  <c r="Q13" i="21"/>
  <c r="R13" i="21" s="1"/>
  <c r="Q17" i="21"/>
  <c r="R17" i="21" s="1"/>
  <c r="Q12" i="21"/>
  <c r="R12" i="21" s="1"/>
  <c r="Q16" i="21"/>
  <c r="R16" i="21" s="1"/>
  <c r="Q15" i="21"/>
  <c r="R15" i="21" s="1"/>
  <c r="Q14" i="21"/>
  <c r="R14" i="21" s="1"/>
  <c r="Q8" i="21"/>
  <c r="R8" i="21" s="1"/>
  <c r="Q11" i="21"/>
  <c r="R11" i="21" s="1"/>
  <c r="Q9" i="21"/>
  <c r="R9" i="21" s="1"/>
  <c r="Q10" i="21"/>
  <c r="R10" i="21" s="1"/>
  <c r="AO5" i="21"/>
  <c r="BB5" i="22"/>
  <c r="X19" i="22"/>
  <c r="L25" i="22" s="1"/>
  <c r="Y11" i="22"/>
  <c r="Z11" i="22" s="1"/>
  <c r="Y12" i="22"/>
  <c r="Z12" i="22" s="1"/>
  <c r="Y15" i="22"/>
  <c r="Z15" i="22" s="1"/>
  <c r="Y10" i="22"/>
  <c r="Z10" i="22" s="1"/>
  <c r="Y14" i="22"/>
  <c r="Z14" i="22" s="1"/>
  <c r="Y8" i="22"/>
  <c r="Z8" i="22" s="1"/>
  <c r="Y9" i="22"/>
  <c r="Z9" i="22" s="1"/>
  <c r="Y16" i="22"/>
  <c r="Z16" i="22" s="1"/>
  <c r="Y17" i="22"/>
  <c r="Z17" i="22" s="1"/>
  <c r="Y6" i="22"/>
  <c r="Z6" i="22" s="1"/>
  <c r="Y7" i="22"/>
  <c r="Z7" i="22" s="1"/>
  <c r="Y13" i="22"/>
  <c r="Z13" i="22" s="1"/>
  <c r="AH5" i="22"/>
  <c r="AF19" i="22"/>
  <c r="N25" i="22" s="1"/>
  <c r="AG12" i="22"/>
  <c r="AH12" i="22" s="1"/>
  <c r="AG11" i="22"/>
  <c r="AH11" i="22" s="1"/>
  <c r="AG14" i="22"/>
  <c r="AH14" i="22" s="1"/>
  <c r="AG17" i="22"/>
  <c r="AH17" i="22" s="1"/>
  <c r="AG7" i="22"/>
  <c r="AH7" i="22" s="1"/>
  <c r="AG10" i="22"/>
  <c r="AH10" i="22" s="1"/>
  <c r="AG6" i="22"/>
  <c r="AH6" i="22" s="1"/>
  <c r="AG8" i="22"/>
  <c r="AH8" i="22" s="1"/>
  <c r="AG15" i="22"/>
  <c r="AH15" i="22" s="1"/>
  <c r="AG9" i="22"/>
  <c r="AH9" i="22" s="1"/>
  <c r="AG13" i="22"/>
  <c r="AH13" i="22" s="1"/>
  <c r="AG16" i="22"/>
  <c r="AH16" i="22" s="1"/>
  <c r="AZ19" i="22"/>
  <c r="S25" i="22" s="1"/>
  <c r="BA11" i="22"/>
  <c r="BB11" i="22" s="1"/>
  <c r="BA12" i="22"/>
  <c r="BB12" i="22" s="1"/>
  <c r="BA16" i="22"/>
  <c r="BB16" i="22" s="1"/>
  <c r="BA13" i="22"/>
  <c r="BB13" i="22" s="1"/>
  <c r="BA10" i="22"/>
  <c r="BB10" i="22" s="1"/>
  <c r="BA15" i="22"/>
  <c r="BB15" i="22" s="1"/>
  <c r="BA8" i="22"/>
  <c r="BB8" i="22" s="1"/>
  <c r="BA9" i="22"/>
  <c r="BB9" i="22" s="1"/>
  <c r="BA6" i="22"/>
  <c r="BB6" i="22" s="1"/>
  <c r="BA14" i="22"/>
  <c r="BB14" i="22" s="1"/>
  <c r="BA7" i="22"/>
  <c r="BB7" i="22" s="1"/>
  <c r="BA17" i="22"/>
  <c r="BB17" i="22" s="1"/>
  <c r="AD5" i="22"/>
  <c r="Y5" i="22"/>
  <c r="AB19" i="22"/>
  <c r="M25" i="22" s="1"/>
  <c r="AC11" i="22"/>
  <c r="AD11" i="22" s="1"/>
  <c r="AC12" i="22"/>
  <c r="AD12" i="22" s="1"/>
  <c r="AC14" i="22"/>
  <c r="AD14" i="22" s="1"/>
  <c r="AC17" i="22"/>
  <c r="AD17" i="22" s="1"/>
  <c r="AC8" i="22"/>
  <c r="AD8" i="22" s="1"/>
  <c r="AC6" i="22"/>
  <c r="AD6" i="22" s="1"/>
  <c r="AC9" i="22"/>
  <c r="AD9" i="22" s="1"/>
  <c r="AC13" i="22"/>
  <c r="AD13" i="22" s="1"/>
  <c r="AC15" i="22"/>
  <c r="AD15" i="22" s="1"/>
  <c r="AC10" i="22"/>
  <c r="AD10" i="22" s="1"/>
  <c r="AC7" i="22"/>
  <c r="AD7" i="22" s="1"/>
  <c r="AC16" i="22"/>
  <c r="AD16" i="22" s="1"/>
  <c r="N5" i="22"/>
  <c r="BG5" i="22"/>
  <c r="L19" i="22"/>
  <c r="I25" i="22" s="1"/>
  <c r="M12" i="22"/>
  <c r="N12" i="22" s="1"/>
  <c r="M11" i="22"/>
  <c r="N11" i="22" s="1"/>
  <c r="M16" i="22"/>
  <c r="N16" i="22" s="1"/>
  <c r="M15" i="22"/>
  <c r="N15" i="22" s="1"/>
  <c r="M17" i="22"/>
  <c r="N17" i="22" s="1"/>
  <c r="M14" i="22"/>
  <c r="N14" i="22" s="1"/>
  <c r="M6" i="22"/>
  <c r="N6" i="22" s="1"/>
  <c r="M13" i="22"/>
  <c r="N13" i="22" s="1"/>
  <c r="M7" i="22"/>
  <c r="N7" i="22" s="1"/>
  <c r="M10" i="22"/>
  <c r="N10" i="22" s="1"/>
  <c r="M9" i="22"/>
  <c r="N9" i="22" s="1"/>
  <c r="M8" i="22"/>
  <c r="N8" i="22" s="1"/>
  <c r="BE19" i="22"/>
  <c r="BF11" i="22"/>
  <c r="BG11" i="22" s="1"/>
  <c r="BF12" i="22"/>
  <c r="BG12" i="22" s="1"/>
  <c r="BF17" i="22"/>
  <c r="BG17" i="22" s="1"/>
  <c r="BF8" i="22"/>
  <c r="BG8" i="22" s="1"/>
  <c r="BF13" i="22"/>
  <c r="BG13" i="22" s="1"/>
  <c r="BF6" i="22"/>
  <c r="BG6" i="22" s="1"/>
  <c r="BF15" i="22"/>
  <c r="BG15" i="22" s="1"/>
  <c r="BF14" i="22"/>
  <c r="BG14" i="22" s="1"/>
  <c r="BF7" i="22"/>
  <c r="BG7" i="22" s="1"/>
  <c r="BF16" i="22"/>
  <c r="BG16" i="22" s="1"/>
  <c r="BF9" i="22"/>
  <c r="BG9" i="22" s="1"/>
  <c r="BF10" i="22"/>
  <c r="BG10" i="22" s="1"/>
  <c r="AT5" i="22"/>
  <c r="AP5" i="22"/>
  <c r="AR19" i="22"/>
  <c r="Q25" i="22" s="1"/>
  <c r="AS11" i="22"/>
  <c r="AT11" i="22" s="1"/>
  <c r="AS12" i="22"/>
  <c r="AT12" i="22" s="1"/>
  <c r="AS15" i="22"/>
  <c r="AT15" i="22" s="1"/>
  <c r="AS10" i="22"/>
  <c r="AT10" i="22" s="1"/>
  <c r="AS6" i="22"/>
  <c r="AT6" i="22" s="1"/>
  <c r="AS8" i="22"/>
  <c r="AT8" i="22" s="1"/>
  <c r="AS13" i="22"/>
  <c r="AT13" i="22" s="1"/>
  <c r="AS7" i="22"/>
  <c r="AT7" i="22" s="1"/>
  <c r="AS17" i="22"/>
  <c r="AT17" i="22" s="1"/>
  <c r="AS14" i="22"/>
  <c r="AT14" i="22" s="1"/>
  <c r="AS9" i="22"/>
  <c r="AT9" i="22" s="1"/>
  <c r="AS16" i="22"/>
  <c r="AT16" i="22" s="1"/>
  <c r="AN19" i="22"/>
  <c r="P25" i="22" s="1"/>
  <c r="AO11" i="22"/>
  <c r="AP11" i="22" s="1"/>
  <c r="AO12" i="22"/>
  <c r="AP12" i="22" s="1"/>
  <c r="AO9" i="22"/>
  <c r="AP9" i="22" s="1"/>
  <c r="AO16" i="22"/>
  <c r="AP16" i="22" s="1"/>
  <c r="AO14" i="22"/>
  <c r="AP14" i="22" s="1"/>
  <c r="AO15" i="22"/>
  <c r="AP15" i="22" s="1"/>
  <c r="AO6" i="22"/>
  <c r="AP6" i="22" s="1"/>
  <c r="AO13" i="22"/>
  <c r="AP13" i="22" s="1"/>
  <c r="AO10" i="22"/>
  <c r="AP10" i="22" s="1"/>
  <c r="AO8" i="22"/>
  <c r="AP8" i="22" s="1"/>
  <c r="AO17" i="22"/>
  <c r="AP17" i="22" s="1"/>
  <c r="AO7" i="22"/>
  <c r="AP7" i="22" s="1"/>
  <c r="R5" i="22"/>
  <c r="AX5" i="22"/>
  <c r="P19" i="22"/>
  <c r="J25" i="22" s="1"/>
  <c r="Q11" i="22"/>
  <c r="R11" i="22" s="1"/>
  <c r="Q12" i="22"/>
  <c r="R12" i="22" s="1"/>
  <c r="Q8" i="22"/>
  <c r="R8" i="22" s="1"/>
  <c r="Q14" i="22"/>
  <c r="R14" i="22" s="1"/>
  <c r="Q13" i="22"/>
  <c r="R13" i="22" s="1"/>
  <c r="Q9" i="22"/>
  <c r="R9" i="22" s="1"/>
  <c r="Q10" i="22"/>
  <c r="R10" i="22" s="1"/>
  <c r="Q15" i="22"/>
  <c r="R15" i="22" s="1"/>
  <c r="Q7" i="22"/>
  <c r="R7" i="22" s="1"/>
  <c r="Q6" i="22"/>
  <c r="R6" i="22" s="1"/>
  <c r="Q17" i="22"/>
  <c r="R17" i="22" s="1"/>
  <c r="Q16" i="22"/>
  <c r="R16" i="22" s="1"/>
  <c r="AV19" i="22"/>
  <c r="R25" i="22" s="1"/>
  <c r="AW11" i="22"/>
  <c r="AX11" i="22" s="1"/>
  <c r="AW12" i="22"/>
  <c r="AX12" i="22" s="1"/>
  <c r="AW9" i="22"/>
  <c r="AX9" i="22" s="1"/>
  <c r="AW14" i="22"/>
  <c r="AX14" i="22" s="1"/>
  <c r="AW13" i="22"/>
  <c r="AX13" i="22" s="1"/>
  <c r="AW7" i="22"/>
  <c r="AX7" i="22" s="1"/>
  <c r="AW8" i="22"/>
  <c r="AX8" i="22" s="1"/>
  <c r="AW16" i="22"/>
  <c r="AX16" i="22" s="1"/>
  <c r="AW17" i="22"/>
  <c r="AX17" i="22" s="1"/>
  <c r="AW6" i="22"/>
  <c r="AX6" i="22" s="1"/>
  <c r="AW10" i="22"/>
  <c r="AX10" i="22" s="1"/>
  <c r="AW15" i="22"/>
  <c r="AX15" i="22" s="1"/>
  <c r="J5" i="22"/>
  <c r="V5" i="22"/>
  <c r="AL5" i="22"/>
  <c r="H19" i="22"/>
  <c r="H25" i="22" s="1"/>
  <c r="I11" i="22"/>
  <c r="J11" i="22" s="1"/>
  <c r="I12" i="22"/>
  <c r="J12" i="22" s="1"/>
  <c r="I9" i="22"/>
  <c r="J9" i="22" s="1"/>
  <c r="I14" i="22"/>
  <c r="J14" i="22" s="1"/>
  <c r="I15" i="22"/>
  <c r="J15" i="22" s="1"/>
  <c r="I7" i="22"/>
  <c r="J7" i="22" s="1"/>
  <c r="I8" i="22"/>
  <c r="J8" i="22" s="1"/>
  <c r="I10" i="22"/>
  <c r="J10" i="22" s="1"/>
  <c r="I6" i="22"/>
  <c r="J6" i="22" s="1"/>
  <c r="I16" i="22"/>
  <c r="J16" i="22" s="1"/>
  <c r="I17" i="22"/>
  <c r="J17" i="22" s="1"/>
  <c r="I13" i="22"/>
  <c r="J13" i="22" s="1"/>
  <c r="T19" i="22"/>
  <c r="K25" i="22" s="1"/>
  <c r="U11" i="22"/>
  <c r="V11" i="22" s="1"/>
  <c r="U12" i="22"/>
  <c r="V12" i="22" s="1"/>
  <c r="U13" i="22"/>
  <c r="V13" i="22" s="1"/>
  <c r="U7" i="22"/>
  <c r="V7" i="22" s="1"/>
  <c r="U17" i="22"/>
  <c r="V17" i="22" s="1"/>
  <c r="U14" i="22"/>
  <c r="V14" i="22" s="1"/>
  <c r="U9" i="22"/>
  <c r="V9" i="22" s="1"/>
  <c r="U15" i="22"/>
  <c r="V15" i="22" s="1"/>
  <c r="U16" i="22"/>
  <c r="V16" i="22" s="1"/>
  <c r="U8" i="22"/>
  <c r="V8" i="22" s="1"/>
  <c r="U6" i="22"/>
  <c r="V6" i="22" s="1"/>
  <c r="U10" i="22"/>
  <c r="V10" i="22" s="1"/>
  <c r="AJ19" i="22"/>
  <c r="O25" i="22" s="1"/>
  <c r="AK12" i="22"/>
  <c r="AL12" i="22" s="1"/>
  <c r="AK11" i="22"/>
  <c r="AL11" i="22" s="1"/>
  <c r="AK15" i="22"/>
  <c r="AL15" i="22" s="1"/>
  <c r="AK9" i="22"/>
  <c r="AL9" i="22" s="1"/>
  <c r="AK17" i="22"/>
  <c r="AL17" i="22" s="1"/>
  <c r="AK8" i="22"/>
  <c r="AL8" i="22" s="1"/>
  <c r="AK6" i="22"/>
  <c r="AL6" i="22" s="1"/>
  <c r="AK13" i="22"/>
  <c r="AL13" i="22" s="1"/>
  <c r="AK14" i="22"/>
  <c r="AL14" i="22" s="1"/>
  <c r="AK7" i="22"/>
  <c r="AL7" i="22" s="1"/>
  <c r="AK10" i="22"/>
  <c r="AL10" i="22" s="1"/>
  <c r="AK16" i="22"/>
  <c r="AL16" i="22" s="1"/>
  <c r="AC18" i="21" l="1"/>
  <c r="AD5" i="21"/>
  <c r="AW18" i="21"/>
  <c r="AP5" i="21"/>
  <c r="AO18" i="21"/>
  <c r="BB5" i="21"/>
  <c r="BA18" i="21"/>
  <c r="V18" i="21"/>
  <c r="K26" i="21" s="1"/>
  <c r="AT18" i="21"/>
  <c r="Q26" i="21" s="1"/>
  <c r="AH18" i="21"/>
  <c r="N26" i="21" s="1"/>
  <c r="AI5" i="21"/>
  <c r="BF18" i="21"/>
  <c r="BG5" i="21"/>
  <c r="I18" i="21"/>
  <c r="J5" i="21"/>
  <c r="AS18" i="21"/>
  <c r="AG18" i="21"/>
  <c r="AX18" i="21"/>
  <c r="R26" i="21" s="1"/>
  <c r="U18" i="21"/>
  <c r="AL5" i="21"/>
  <c r="AK18" i="21"/>
  <c r="AI17" i="21"/>
  <c r="AU12" i="21"/>
  <c r="M18" i="21"/>
  <c r="Z5" i="21"/>
  <c r="Y18" i="21"/>
  <c r="R18" i="21"/>
  <c r="J26" i="21" s="1"/>
  <c r="Q18" i="21"/>
  <c r="N18" i="21"/>
  <c r="I26" i="21" s="1"/>
  <c r="R18" i="22"/>
  <c r="J26" i="22" s="1"/>
  <c r="M18" i="22"/>
  <c r="AY7" i="22"/>
  <c r="AK18" i="22"/>
  <c r="Y18" i="22"/>
  <c r="Z5" i="22"/>
  <c r="AC18" i="22"/>
  <c r="AL18" i="22"/>
  <c r="O26" i="22" s="1"/>
  <c r="AM5" i="22"/>
  <c r="AD18" i="22"/>
  <c r="M26" i="22" s="1"/>
  <c r="AE5" i="22"/>
  <c r="J18" i="22"/>
  <c r="H26" i="22" s="1"/>
  <c r="I18" i="22"/>
  <c r="AS18" i="22"/>
  <c r="AH18" i="22"/>
  <c r="N26" i="22" s="1"/>
  <c r="AI5" i="22"/>
  <c r="AI9" i="22"/>
  <c r="AY6" i="22"/>
  <c r="BG18" i="22"/>
  <c r="BH8" i="22" s="1"/>
  <c r="H58" i="11" s="1"/>
  <c r="AW18" i="22"/>
  <c r="BF18" i="22"/>
  <c r="BA18" i="22"/>
  <c r="V18" i="22"/>
  <c r="K26" i="22" s="1"/>
  <c r="W5" i="22"/>
  <c r="AO18" i="22"/>
  <c r="U18" i="22"/>
  <c r="S14" i="22"/>
  <c r="AP18" i="22"/>
  <c r="P26" i="22" s="1"/>
  <c r="AQ5" i="22"/>
  <c r="AT18" i="22"/>
  <c r="Q26" i="22" s="1"/>
  <c r="AU5" i="22"/>
  <c r="AG18" i="22"/>
  <c r="AX18" i="22"/>
  <c r="R26" i="22" s="1"/>
  <c r="AY5" i="22"/>
  <c r="Q18" i="22"/>
  <c r="N18" i="22"/>
  <c r="I26" i="22" s="1"/>
  <c r="O5" i="22"/>
  <c r="AE12" i="22"/>
  <c r="AI6" i="22"/>
  <c r="BB18" i="22"/>
  <c r="S26" i="22" s="1"/>
  <c r="BC5" i="22"/>
  <c r="S6" i="22" l="1"/>
  <c r="BC9" i="22"/>
  <c r="AY5" i="21"/>
  <c r="V38" i="6"/>
  <c r="V47" i="6"/>
  <c r="V43" i="6"/>
  <c r="V46" i="6"/>
  <c r="V37" i="6"/>
  <c r="V44" i="6"/>
  <c r="V45" i="6"/>
  <c r="V42" i="6"/>
  <c r="V36" i="6"/>
  <c r="K7" i="22"/>
  <c r="AY14" i="22"/>
  <c r="AU11" i="22"/>
  <c r="AY10" i="22"/>
  <c r="S13" i="22"/>
  <c r="S8" i="22"/>
  <c r="AE6" i="22"/>
  <c r="S12" i="22"/>
  <c r="AU9" i="22"/>
  <c r="AI12" i="22"/>
  <c r="AI8" i="22"/>
  <c r="K5" i="22"/>
  <c r="K6" i="22"/>
  <c r="O7" i="21"/>
  <c r="O17" i="21"/>
  <c r="O14" i="21"/>
  <c r="W7" i="21"/>
  <c r="W15" i="21"/>
  <c r="W8" i="21"/>
  <c r="AI11" i="21"/>
  <c r="W16" i="21"/>
  <c r="W11" i="21"/>
  <c r="W13" i="21"/>
  <c r="W14" i="21"/>
  <c r="O16" i="21"/>
  <c r="AI10" i="21"/>
  <c r="O8" i="21"/>
  <c r="W5" i="21"/>
  <c r="S12" i="21"/>
  <c r="AY10" i="21"/>
  <c r="AY15" i="21"/>
  <c r="AU11" i="21"/>
  <c r="S5" i="21"/>
  <c r="S13" i="21"/>
  <c r="AY8" i="21"/>
  <c r="AY17" i="21"/>
  <c r="AU14" i="21"/>
  <c r="AY11" i="21"/>
  <c r="AI13" i="21"/>
  <c r="S16" i="21"/>
  <c r="AI16" i="21"/>
  <c r="S7" i="21"/>
  <c r="O6" i="21"/>
  <c r="AY12" i="21"/>
  <c r="AL18" i="21"/>
  <c r="AM5" i="21" s="1"/>
  <c r="S14" i="21"/>
  <c r="BB18" i="21"/>
  <c r="BC5" i="21" s="1"/>
  <c r="AY9" i="21"/>
  <c r="AU7" i="21"/>
  <c r="O5" i="21"/>
  <c r="AU15" i="21"/>
  <c r="S6" i="21"/>
  <c r="Z18" i="21"/>
  <c r="AI14" i="21"/>
  <c r="S15" i="21"/>
  <c r="W6" i="21"/>
  <c r="BG18" i="21"/>
  <c r="BH5" i="21"/>
  <c r="J55" i="11" s="1"/>
  <c r="AU6" i="21"/>
  <c r="AY13" i="21"/>
  <c r="AI7" i="21"/>
  <c r="AY16" i="21"/>
  <c r="AP18" i="21"/>
  <c r="AQ5" i="21" s="1"/>
  <c r="AU13" i="21"/>
  <c r="AI12" i="21"/>
  <c r="AY7" i="21"/>
  <c r="AI15" i="21"/>
  <c r="AU8" i="21"/>
  <c r="O11" i="21"/>
  <c r="S9" i="21"/>
  <c r="AI6" i="21"/>
  <c r="S10" i="21"/>
  <c r="W17" i="21"/>
  <c r="J18" i="21"/>
  <c r="K5" i="21" s="1"/>
  <c r="AU16" i="21"/>
  <c r="AU10" i="21"/>
  <c r="O15" i="21"/>
  <c r="S11" i="21"/>
  <c r="S8" i="21"/>
  <c r="W12" i="21"/>
  <c r="AU17" i="21"/>
  <c r="O10" i="21"/>
  <c r="AI8" i="21"/>
  <c r="O13" i="21"/>
  <c r="AY14" i="21"/>
  <c r="AU9" i="21"/>
  <c r="AI9" i="21"/>
  <c r="W9" i="21"/>
  <c r="O12" i="21"/>
  <c r="O9" i="21"/>
  <c r="S17" i="21"/>
  <c r="W10" i="21"/>
  <c r="AY6" i="21"/>
  <c r="AU5" i="21"/>
  <c r="AD18" i="21"/>
  <c r="AE5" i="21" s="1"/>
  <c r="AE8" i="22"/>
  <c r="AE13" i="22"/>
  <c r="W10" i="22"/>
  <c r="AM15" i="22"/>
  <c r="AM10" i="22"/>
  <c r="AI16" i="22"/>
  <c r="AI13" i="22"/>
  <c r="AI15" i="22"/>
  <c r="AE9" i="22"/>
  <c r="W16" i="22"/>
  <c r="AE17" i="22"/>
  <c r="AE16" i="22"/>
  <c r="O16" i="22"/>
  <c r="BH17" i="22"/>
  <c r="O9" i="22"/>
  <c r="AY9" i="22"/>
  <c r="AU6" i="22"/>
  <c r="AI14" i="22"/>
  <c r="BC13" i="22"/>
  <c r="AU14" i="22"/>
  <c r="K13" i="22"/>
  <c r="BC15" i="22"/>
  <c r="BH6" i="22"/>
  <c r="H56" i="11" s="1"/>
  <c r="BC8" i="22"/>
  <c r="BH10" i="22"/>
  <c r="H60" i="11" s="1"/>
  <c r="BH9" i="22"/>
  <c r="H59" i="11" s="1"/>
  <c r="AI10" i="22"/>
  <c r="AM11" i="22"/>
  <c r="AU17" i="22"/>
  <c r="AM6" i="22"/>
  <c r="BH14" i="22"/>
  <c r="H64" i="11" s="1"/>
  <c r="BC14" i="22"/>
  <c r="K8" i="22"/>
  <c r="AY16" i="22"/>
  <c r="O12" i="22"/>
  <c r="BC11" i="22"/>
  <c r="BH16" i="22"/>
  <c r="BC10" i="22"/>
  <c r="BC6" i="22"/>
  <c r="AU10" i="22"/>
  <c r="AI11" i="22"/>
  <c r="AI17" i="22"/>
  <c r="BC16" i="22"/>
  <c r="K11" i="22"/>
  <c r="BH11" i="22"/>
  <c r="H61" i="11" s="1"/>
  <c r="BC12" i="22"/>
  <c r="AY17" i="22"/>
  <c r="AY15" i="22"/>
  <c r="O6" i="22"/>
  <c r="AE15" i="22"/>
  <c r="AI7" i="22"/>
  <c r="AQ17" i="22"/>
  <c r="AQ9" i="22"/>
  <c r="S11" i="22"/>
  <c r="S5" i="22"/>
  <c r="K12" i="22"/>
  <c r="O7" i="22"/>
  <c r="AQ15" i="22"/>
  <c r="AQ14" i="22"/>
  <c r="W15" i="22"/>
  <c r="K14" i="22"/>
  <c r="W9" i="22"/>
  <c r="K17" i="22"/>
  <c r="AQ10" i="22"/>
  <c r="S10" i="22"/>
  <c r="AM14" i="22"/>
  <c r="AQ13" i="22"/>
  <c r="O8" i="22"/>
  <c r="AE11" i="22"/>
  <c r="K10" i="22"/>
  <c r="AU15" i="22"/>
  <c r="AU13" i="22"/>
  <c r="AE10" i="22"/>
  <c r="AQ6" i="22"/>
  <c r="AY11" i="22"/>
  <c r="S17" i="22"/>
  <c r="W14" i="22"/>
  <c r="O17" i="22"/>
  <c r="W13" i="22"/>
  <c r="AY13" i="22"/>
  <c r="AM9" i="22"/>
  <c r="O14" i="22"/>
  <c r="K9" i="22"/>
  <c r="O10" i="22"/>
  <c r="W17" i="22"/>
  <c r="K16" i="22"/>
  <c r="W6" i="22"/>
  <c r="BC17" i="22"/>
  <c r="BH13" i="22"/>
  <c r="H63" i="11" s="1"/>
  <c r="BH15" i="22"/>
  <c r="H65" i="11" s="1"/>
  <c r="AY8" i="22"/>
  <c r="AQ7" i="22"/>
  <c r="W12" i="22"/>
  <c r="S16" i="22"/>
  <c r="AM17" i="22"/>
  <c r="K15" i="22"/>
  <c r="AM7" i="22"/>
  <c r="W11" i="22"/>
  <c r="O11" i="22"/>
  <c r="AU16" i="22"/>
  <c r="AM16" i="22"/>
  <c r="AU7" i="22"/>
  <c r="Z18" i="22"/>
  <c r="AA5" i="22" s="1"/>
  <c r="W8" i="22"/>
  <c r="AY12" i="22"/>
  <c r="AE14" i="22"/>
  <c r="AU8" i="22"/>
  <c r="AE7" i="22"/>
  <c r="O13" i="22"/>
  <c r="AM8" i="22"/>
  <c r="AQ11" i="22"/>
  <c r="AQ12" i="22"/>
  <c r="W7" i="22"/>
  <c r="AU12" i="22"/>
  <c r="S7" i="22"/>
  <c r="AM12" i="22"/>
  <c r="BC7" i="22"/>
  <c r="O15" i="22"/>
  <c r="AQ8" i="22"/>
  <c r="BH7" i="22"/>
  <c r="H57" i="11" s="1"/>
  <c r="BH5" i="22"/>
  <c r="H55" i="11" s="1"/>
  <c r="AM13" i="22"/>
  <c r="AQ16" i="22"/>
  <c r="BH12" i="22"/>
  <c r="H62" i="11" s="1"/>
  <c r="S9" i="22"/>
  <c r="S15" i="22"/>
  <c r="V41" i="6" l="1"/>
  <c r="H69" i="6" s="1"/>
  <c r="V48" i="6"/>
  <c r="H82" i="6" s="1"/>
  <c r="S32" i="6"/>
  <c r="S19" i="6"/>
  <c r="S18" i="6"/>
  <c r="S31" i="6"/>
  <c r="S14" i="6"/>
  <c r="S20" i="6"/>
  <c r="S21" i="6"/>
  <c r="Y42" i="6"/>
  <c r="Y38" i="6"/>
  <c r="Y45" i="6"/>
  <c r="Y43" i="6"/>
  <c r="Y47" i="6"/>
  <c r="Y37" i="6"/>
  <c r="Y44" i="6"/>
  <c r="Y46" i="6"/>
  <c r="Y36" i="6"/>
  <c r="T37" i="6"/>
  <c r="T45" i="6"/>
  <c r="T46" i="6"/>
  <c r="T47" i="6"/>
  <c r="T42" i="6"/>
  <c r="T38" i="6"/>
  <c r="T43" i="6"/>
  <c r="T44" i="6"/>
  <c r="T36" i="6"/>
  <c r="AA47" i="6"/>
  <c r="AA43" i="6"/>
  <c r="AA46" i="6"/>
  <c r="AA44" i="6"/>
  <c r="AA37" i="6"/>
  <c r="AA38" i="6"/>
  <c r="AA42" i="6"/>
  <c r="AA45" i="6"/>
  <c r="AA36" i="6"/>
  <c r="Z38" i="6"/>
  <c r="Z45" i="6"/>
  <c r="Z37" i="6"/>
  <c r="Z42" i="6"/>
  <c r="Z44" i="6"/>
  <c r="Z46" i="6"/>
  <c r="Z47" i="6"/>
  <c r="Z43" i="6"/>
  <c r="Z36" i="6"/>
  <c r="AB42" i="6"/>
  <c r="AB47" i="6"/>
  <c r="AB45" i="6"/>
  <c r="AB38" i="6"/>
  <c r="AB44" i="6"/>
  <c r="AB37" i="6"/>
  <c r="AB43" i="6"/>
  <c r="AB46" i="6"/>
  <c r="AB36" i="6"/>
  <c r="S43" i="6"/>
  <c r="S47" i="6"/>
  <c r="S46" i="6"/>
  <c r="S37" i="6"/>
  <c r="S44" i="6"/>
  <c r="S45" i="6"/>
  <c r="S38" i="6"/>
  <c r="S42" i="6"/>
  <c r="S36" i="6"/>
  <c r="W38" i="6"/>
  <c r="W43" i="6"/>
  <c r="W45" i="6"/>
  <c r="W47" i="6"/>
  <c r="W42" i="6"/>
  <c r="W37" i="6"/>
  <c r="W44" i="6"/>
  <c r="W46" i="6"/>
  <c r="W36" i="6"/>
  <c r="U37" i="6"/>
  <c r="U47" i="6"/>
  <c r="U42" i="6"/>
  <c r="U44" i="6"/>
  <c r="U46" i="6"/>
  <c r="U45" i="6"/>
  <c r="U38" i="6"/>
  <c r="U43" i="6"/>
  <c r="U36" i="6"/>
  <c r="X43" i="6"/>
  <c r="X37" i="6"/>
  <c r="X44" i="6"/>
  <c r="X38" i="6"/>
  <c r="X47" i="6"/>
  <c r="X45" i="6"/>
  <c r="X46" i="6"/>
  <c r="X42" i="6"/>
  <c r="X36" i="6"/>
  <c r="AI18" i="21"/>
  <c r="W18" i="21"/>
  <c r="AY18" i="21"/>
  <c r="S18" i="21"/>
  <c r="L26" i="21"/>
  <c r="AA8" i="21"/>
  <c r="AA6" i="21"/>
  <c r="AA11" i="21"/>
  <c r="AA9" i="21"/>
  <c r="AA16" i="21"/>
  <c r="AA7" i="21"/>
  <c r="AA12" i="21"/>
  <c r="AA15" i="21"/>
  <c r="AA17" i="21"/>
  <c r="AA13" i="21"/>
  <c r="AA14" i="21"/>
  <c r="AA10" i="21"/>
  <c r="AA5" i="21"/>
  <c r="P26" i="21"/>
  <c r="AQ7" i="21"/>
  <c r="AQ16" i="21"/>
  <c r="AQ12" i="21"/>
  <c r="AQ10" i="21"/>
  <c r="AQ15" i="21"/>
  <c r="AQ8" i="21"/>
  <c r="AQ14" i="21"/>
  <c r="AQ9" i="21"/>
  <c r="AQ13" i="21"/>
  <c r="AQ6" i="21"/>
  <c r="AQ17" i="21"/>
  <c r="AQ11" i="21"/>
  <c r="BH15" i="21"/>
  <c r="J65" i="11" s="1"/>
  <c r="BH6" i="21"/>
  <c r="J56" i="11" s="1"/>
  <c r="BH12" i="21"/>
  <c r="J62" i="11" s="1"/>
  <c r="BH9" i="21"/>
  <c r="J59" i="11" s="1"/>
  <c r="BH13" i="21"/>
  <c r="J63" i="11" s="1"/>
  <c r="BH17" i="21"/>
  <c r="BH14" i="21"/>
  <c r="J64" i="11" s="1"/>
  <c r="BH7" i="21"/>
  <c r="J57" i="11" s="1"/>
  <c r="BH8" i="21"/>
  <c r="J58" i="11" s="1"/>
  <c r="BH10" i="21"/>
  <c r="J60" i="11" s="1"/>
  <c r="BH16" i="21"/>
  <c r="BH11" i="21"/>
  <c r="J61" i="11" s="1"/>
  <c r="H26" i="21"/>
  <c r="K13" i="21"/>
  <c r="K10" i="21"/>
  <c r="K15" i="21"/>
  <c r="K6" i="21"/>
  <c r="K12" i="21"/>
  <c r="K8" i="21"/>
  <c r="K16" i="21"/>
  <c r="K7" i="21"/>
  <c r="K17" i="21"/>
  <c r="K14" i="21"/>
  <c r="K11" i="21"/>
  <c r="K9" i="21"/>
  <c r="S26" i="21"/>
  <c r="BC8" i="21"/>
  <c r="BC10" i="21"/>
  <c r="BC13" i="21"/>
  <c r="BC15" i="21"/>
  <c r="BC6" i="21"/>
  <c r="BC17" i="21"/>
  <c r="BC9" i="21"/>
  <c r="BC14" i="21"/>
  <c r="BC12" i="21"/>
  <c r="BC16" i="21"/>
  <c r="BC11" i="21"/>
  <c r="BC7" i="21"/>
  <c r="O26" i="21"/>
  <c r="AM9" i="21"/>
  <c r="AM11" i="21"/>
  <c r="AM7" i="21"/>
  <c r="AM13" i="21"/>
  <c r="AM15" i="21"/>
  <c r="AM17" i="21"/>
  <c r="AM8" i="21"/>
  <c r="AM6" i="21"/>
  <c r="AM14" i="21"/>
  <c r="AM10" i="21"/>
  <c r="AM16" i="21"/>
  <c r="AM12" i="21"/>
  <c r="M26" i="21"/>
  <c r="AE14" i="21"/>
  <c r="AE16" i="21"/>
  <c r="AE8" i="21"/>
  <c r="AE9" i="21"/>
  <c r="AE17" i="21"/>
  <c r="AE7" i="21"/>
  <c r="AE13" i="21"/>
  <c r="AE12" i="21"/>
  <c r="AE11" i="21"/>
  <c r="AE15" i="21"/>
  <c r="AE10" i="21"/>
  <c r="AE6" i="21"/>
  <c r="AU18" i="21"/>
  <c r="O18" i="21"/>
  <c r="AY18" i="22"/>
  <c r="AI18" i="22"/>
  <c r="W18" i="22"/>
  <c r="AQ18" i="22"/>
  <c r="AU18" i="22"/>
  <c r="AE18" i="22"/>
  <c r="BC18" i="22"/>
  <c r="T26" i="22" s="1"/>
  <c r="AM18" i="22"/>
  <c r="K18" i="22"/>
  <c r="O18" i="22"/>
  <c r="S18" i="22"/>
  <c r="L26" i="22"/>
  <c r="AA16" i="22"/>
  <c r="BD16" i="22" s="1"/>
  <c r="AA10" i="22"/>
  <c r="BD10" i="22" s="1"/>
  <c r="G60" i="11" s="1"/>
  <c r="AA15" i="22"/>
  <c r="BD15" i="22" s="1"/>
  <c r="G65" i="11" s="1"/>
  <c r="AA7" i="22"/>
  <c r="BD7" i="22" s="1"/>
  <c r="G57" i="11" s="1"/>
  <c r="AA11" i="22"/>
  <c r="BD11" i="22" s="1"/>
  <c r="G61" i="11" s="1"/>
  <c r="AA14" i="22"/>
  <c r="BD14" i="22" s="1"/>
  <c r="G64" i="11" s="1"/>
  <c r="AA13" i="22"/>
  <c r="BD13" i="22" s="1"/>
  <c r="G63" i="11" s="1"/>
  <c r="AA17" i="22"/>
  <c r="BD17" i="22" s="1"/>
  <c r="AA12" i="22"/>
  <c r="BD12" i="22" s="1"/>
  <c r="G62" i="11" s="1"/>
  <c r="AA9" i="22"/>
  <c r="BD9" i="22" s="1"/>
  <c r="G59" i="11" s="1"/>
  <c r="AA8" i="22"/>
  <c r="BD8" i="22" s="1"/>
  <c r="G58" i="11" s="1"/>
  <c r="AA6" i="22"/>
  <c r="BD6" i="22" s="1"/>
  <c r="G56" i="11" s="1"/>
  <c r="BD5" i="22"/>
  <c r="G55" i="11" s="1"/>
  <c r="BH18" i="22"/>
  <c r="X41" i="6" l="1"/>
  <c r="H71" i="6" s="1"/>
  <c r="X48" i="6"/>
  <c r="Z48" i="6"/>
  <c r="H89" i="6"/>
  <c r="T41" i="6"/>
  <c r="H67" i="6" s="1"/>
  <c r="Y41" i="6"/>
  <c r="H72" i="6" s="1"/>
  <c r="Z41" i="6"/>
  <c r="H73" i="6" s="1"/>
  <c r="AA48" i="6"/>
  <c r="H87" i="6" s="1"/>
  <c r="W48" i="6"/>
  <c r="H83" i="6" s="1"/>
  <c r="AB48" i="6"/>
  <c r="H88" i="6" s="1"/>
  <c r="H76" i="6"/>
  <c r="AB41" i="6"/>
  <c r="H75" i="6" s="1"/>
  <c r="S41" i="6"/>
  <c r="H66" i="6" s="1"/>
  <c r="T48" i="6"/>
  <c r="H80" i="6" s="1"/>
  <c r="U48" i="6"/>
  <c r="W41" i="6"/>
  <c r="H70" i="6" s="1"/>
  <c r="S48" i="6"/>
  <c r="H79" i="6" s="1"/>
  <c r="AA41" i="6"/>
  <c r="H74" i="6" s="1"/>
  <c r="U41" i="6"/>
  <c r="H68" i="6" s="1"/>
  <c r="Y48" i="6"/>
  <c r="H85" i="6" s="1"/>
  <c r="U18" i="6"/>
  <c r="U14" i="6"/>
  <c r="U31" i="6"/>
  <c r="U32" i="6"/>
  <c r="U19" i="6"/>
  <c r="U20" i="6"/>
  <c r="U21" i="6"/>
  <c r="AA14" i="6"/>
  <c r="AA19" i="6"/>
  <c r="AA31" i="6"/>
  <c r="AA32" i="6"/>
  <c r="AA18" i="6"/>
  <c r="AA20" i="6"/>
  <c r="AA21" i="6"/>
  <c r="AB31" i="6"/>
  <c r="AB14" i="6"/>
  <c r="AB19" i="6"/>
  <c r="AB18" i="6"/>
  <c r="AB32" i="6"/>
  <c r="AB20" i="6"/>
  <c r="AB21" i="6"/>
  <c r="Z20" i="6"/>
  <c r="Z18" i="6"/>
  <c r="Z14" i="6"/>
  <c r="Z19" i="6"/>
  <c r="Z31" i="6"/>
  <c r="Z32" i="6"/>
  <c r="Z21" i="6"/>
  <c r="Y14" i="6"/>
  <c r="Y32" i="6"/>
  <c r="Y20" i="6"/>
  <c r="Y18" i="6"/>
  <c r="Y31" i="6"/>
  <c r="Y19" i="6"/>
  <c r="Y21" i="6"/>
  <c r="X20" i="6"/>
  <c r="X18" i="6"/>
  <c r="X14" i="6"/>
  <c r="X32" i="6"/>
  <c r="X31" i="6"/>
  <c r="X19" i="6"/>
  <c r="X21" i="6"/>
  <c r="W19" i="6"/>
  <c r="W18" i="6"/>
  <c r="W32" i="6"/>
  <c r="W31" i="6"/>
  <c r="W14" i="6"/>
  <c r="W20" i="6"/>
  <c r="W21" i="6"/>
  <c r="T18" i="6"/>
  <c r="T20" i="6"/>
  <c r="T14" i="6"/>
  <c r="T31" i="6"/>
  <c r="T19" i="6"/>
  <c r="T32" i="6"/>
  <c r="T21" i="6"/>
  <c r="V19" i="6"/>
  <c r="V32" i="6"/>
  <c r="V31" i="6"/>
  <c r="V20" i="6"/>
  <c r="V18" i="6"/>
  <c r="V14" i="6"/>
  <c r="V21" i="6"/>
  <c r="O42" i="6"/>
  <c r="O46" i="6"/>
  <c r="O45" i="6"/>
  <c r="O38" i="6"/>
  <c r="O47" i="6"/>
  <c r="O43" i="6"/>
  <c r="O44" i="6"/>
  <c r="O37" i="6"/>
  <c r="O36" i="6"/>
  <c r="P45" i="6"/>
  <c r="P47" i="6"/>
  <c r="P42" i="6"/>
  <c r="P43" i="6"/>
  <c r="P44" i="6"/>
  <c r="P37" i="6"/>
  <c r="P46" i="6"/>
  <c r="P38" i="6"/>
  <c r="P36" i="6"/>
  <c r="M44" i="6"/>
  <c r="M38" i="6"/>
  <c r="M45" i="6"/>
  <c r="M43" i="6"/>
  <c r="M37" i="6"/>
  <c r="M46" i="6"/>
  <c r="M47" i="6"/>
  <c r="M42" i="6"/>
  <c r="M36" i="6"/>
  <c r="H86" i="6"/>
  <c r="I38" i="6"/>
  <c r="I46" i="6"/>
  <c r="I42" i="6"/>
  <c r="I47" i="6"/>
  <c r="I43" i="6"/>
  <c r="I37" i="6"/>
  <c r="I45" i="6"/>
  <c r="I44" i="6"/>
  <c r="I36" i="6"/>
  <c r="N37" i="6"/>
  <c r="N46" i="6"/>
  <c r="N43" i="6"/>
  <c r="N42" i="6"/>
  <c r="N38" i="6"/>
  <c r="N45" i="6"/>
  <c r="N44" i="6"/>
  <c r="N47" i="6"/>
  <c r="N36" i="6"/>
  <c r="L44" i="6"/>
  <c r="L46" i="6"/>
  <c r="L47" i="6"/>
  <c r="L38" i="6"/>
  <c r="L42" i="6"/>
  <c r="L43" i="6"/>
  <c r="L45" i="6"/>
  <c r="L37" i="6"/>
  <c r="L36" i="6"/>
  <c r="H37" i="6"/>
  <c r="H45" i="6"/>
  <c r="H42" i="6"/>
  <c r="H44" i="6"/>
  <c r="H38" i="6"/>
  <c r="H46" i="6"/>
  <c r="H43" i="6"/>
  <c r="H47" i="6"/>
  <c r="H36" i="6"/>
  <c r="H81" i="6"/>
  <c r="G37" i="6"/>
  <c r="G45" i="6"/>
  <c r="G38" i="6"/>
  <c r="G46" i="6"/>
  <c r="G42" i="6"/>
  <c r="G43" i="6"/>
  <c r="G47" i="6"/>
  <c r="G44" i="6"/>
  <c r="G36" i="6"/>
  <c r="H84" i="6"/>
  <c r="J38" i="6"/>
  <c r="J43" i="6"/>
  <c r="J45" i="6"/>
  <c r="J46" i="6"/>
  <c r="J42" i="6"/>
  <c r="J37" i="6"/>
  <c r="J44" i="6"/>
  <c r="J47" i="6"/>
  <c r="J36" i="6"/>
  <c r="K43" i="6"/>
  <c r="K37" i="6"/>
  <c r="K42" i="6"/>
  <c r="K44" i="6"/>
  <c r="K38" i="6"/>
  <c r="K45" i="6"/>
  <c r="K46" i="6"/>
  <c r="K47" i="6"/>
  <c r="K36" i="6"/>
  <c r="BD13" i="21"/>
  <c r="I63" i="11" s="1"/>
  <c r="BH18" i="21"/>
  <c r="BD9" i="21"/>
  <c r="I59" i="11" s="1"/>
  <c r="AM18" i="21"/>
  <c r="AE18" i="21"/>
  <c r="BD17" i="21"/>
  <c r="AQ18" i="21"/>
  <c r="BD7" i="21"/>
  <c r="I57" i="11" s="1"/>
  <c r="BC18" i="21"/>
  <c r="T26" i="21" s="1"/>
  <c r="AA18" i="21"/>
  <c r="BD16" i="21"/>
  <c r="BD11" i="21"/>
  <c r="I61" i="11" s="1"/>
  <c r="K18" i="21"/>
  <c r="BD14" i="21"/>
  <c r="I64" i="11" s="1"/>
  <c r="BD5" i="21"/>
  <c r="I55" i="11" s="1"/>
  <c r="BD15" i="21"/>
  <c r="I65" i="11" s="1"/>
  <c r="BD8" i="21"/>
  <c r="I58" i="11" s="1"/>
  <c r="BD12" i="21"/>
  <c r="I62" i="11" s="1"/>
  <c r="BD6" i="21"/>
  <c r="I56" i="11" s="1"/>
  <c r="BD10" i="21"/>
  <c r="I60" i="11" s="1"/>
  <c r="AA18" i="22"/>
  <c r="BD18" i="22"/>
  <c r="H41" i="6" l="1"/>
  <c r="G67" i="6" s="1"/>
  <c r="G41" i="6"/>
  <c r="G66" i="6" s="1"/>
  <c r="J41" i="6"/>
  <c r="G69" i="6" s="1"/>
  <c r="K41" i="6"/>
  <c r="G70" i="6" s="1"/>
  <c r="L41" i="6"/>
  <c r="G71" i="6" s="1"/>
  <c r="G89" i="6"/>
  <c r="M48" i="6"/>
  <c r="N48" i="6"/>
  <c r="G86" i="6" s="1"/>
  <c r="G48" i="6"/>
  <c r="G79" i="6" s="1"/>
  <c r="L48" i="6"/>
  <c r="G84" i="6" s="1"/>
  <c r="K48" i="6"/>
  <c r="G83" i="6" s="1"/>
  <c r="H48" i="6"/>
  <c r="G80" i="6" s="1"/>
  <c r="O48" i="6"/>
  <c r="G87" i="6" s="1"/>
  <c r="P48" i="6"/>
  <c r="G88" i="6" s="1"/>
  <c r="J48" i="6"/>
  <c r="G82" i="6" s="1"/>
  <c r="I48" i="6"/>
  <c r="G81" i="6" s="1"/>
  <c r="N41" i="6"/>
  <c r="G73" i="6" s="1"/>
  <c r="G76" i="6"/>
  <c r="I41" i="6"/>
  <c r="G68" i="6" s="1"/>
  <c r="M41" i="6"/>
  <c r="G72" i="6" s="1"/>
  <c r="P41" i="6"/>
  <c r="G75" i="6" s="1"/>
  <c r="O41" i="6"/>
  <c r="G74" i="6" s="1"/>
  <c r="G85" i="6"/>
  <c r="P31" i="6"/>
  <c r="P32" i="6"/>
  <c r="P20" i="6"/>
  <c r="P14" i="6"/>
  <c r="P19" i="6"/>
  <c r="P18" i="6"/>
  <c r="P21" i="6"/>
  <c r="M19" i="6"/>
  <c r="M18" i="6"/>
  <c r="M14" i="6"/>
  <c r="M20" i="6"/>
  <c r="M31" i="6"/>
  <c r="M32" i="6"/>
  <c r="M21" i="6"/>
  <c r="K20" i="6"/>
  <c r="K18" i="6"/>
  <c r="K19" i="6"/>
  <c r="K31" i="6"/>
  <c r="K14" i="6"/>
  <c r="K32" i="6"/>
  <c r="K21" i="6"/>
  <c r="H20" i="6"/>
  <c r="H19" i="6"/>
  <c r="H32" i="6"/>
  <c r="H18" i="6"/>
  <c r="H31" i="6"/>
  <c r="H14" i="6"/>
  <c r="H21" i="6"/>
  <c r="G18" i="6"/>
  <c r="G19" i="6"/>
  <c r="G14" i="6"/>
  <c r="G32" i="6"/>
  <c r="G20" i="6"/>
  <c r="G31" i="6"/>
  <c r="G21" i="6"/>
  <c r="I19" i="6"/>
  <c r="I18" i="6"/>
  <c r="I31" i="6"/>
  <c r="I32" i="6"/>
  <c r="I14" i="6"/>
  <c r="I20" i="6"/>
  <c r="I21" i="6"/>
  <c r="J19" i="6"/>
  <c r="J31" i="6"/>
  <c r="J18" i="6"/>
  <c r="J32" i="6"/>
  <c r="J14" i="6"/>
  <c r="J20" i="6"/>
  <c r="J21" i="6"/>
  <c r="O31" i="6"/>
  <c r="O14" i="6"/>
  <c r="O18" i="6"/>
  <c r="O20" i="6"/>
  <c r="O19" i="6"/>
  <c r="O32" i="6"/>
  <c r="O21" i="6"/>
  <c r="L20" i="6"/>
  <c r="L19" i="6"/>
  <c r="L32" i="6"/>
  <c r="L18" i="6"/>
  <c r="L14" i="6"/>
  <c r="L31" i="6"/>
  <c r="L21" i="6"/>
  <c r="N14" i="6"/>
  <c r="N32" i="6"/>
  <c r="N18" i="6"/>
  <c r="N31" i="6"/>
  <c r="N19" i="6"/>
  <c r="N20" i="6"/>
  <c r="N21" i="6"/>
  <c r="BD18" i="21"/>
  <c r="AB33" i="6" l="1"/>
  <c r="AA33" i="6"/>
  <c r="Z33" i="6"/>
  <c r="Y33" i="6"/>
  <c r="X33" i="6"/>
  <c r="W33" i="6"/>
  <c r="V33" i="6"/>
  <c r="U33" i="6"/>
  <c r="T33" i="6"/>
  <c r="AB30" i="6"/>
  <c r="AA30" i="6"/>
  <c r="Z30" i="6"/>
  <c r="Y30" i="6"/>
  <c r="X30" i="6"/>
  <c r="W30" i="6"/>
  <c r="V30" i="6"/>
  <c r="U30" i="6"/>
  <c r="T30" i="6"/>
  <c r="AB29" i="6"/>
  <c r="AA29" i="6"/>
  <c r="Z29" i="6"/>
  <c r="Y29" i="6"/>
  <c r="X29" i="6"/>
  <c r="W29" i="6"/>
  <c r="V29" i="6"/>
  <c r="U29" i="6"/>
  <c r="T29" i="6"/>
  <c r="AB28" i="6"/>
  <c r="AA28" i="6"/>
  <c r="Z28" i="6"/>
  <c r="Y28" i="6"/>
  <c r="X28" i="6"/>
  <c r="W28" i="6"/>
  <c r="V28" i="6"/>
  <c r="U28" i="6"/>
  <c r="T28" i="6"/>
  <c r="AB27" i="6"/>
  <c r="AA27" i="6"/>
  <c r="Z27" i="6"/>
  <c r="Y27" i="6"/>
  <c r="X27" i="6"/>
  <c r="W27" i="6"/>
  <c r="V27" i="6"/>
  <c r="U27" i="6"/>
  <c r="T27" i="6"/>
  <c r="AB26" i="6"/>
  <c r="AA26" i="6"/>
  <c r="Z26" i="6"/>
  <c r="Y26" i="6"/>
  <c r="X26" i="6"/>
  <c r="W26" i="6"/>
  <c r="V26" i="6"/>
  <c r="U26" i="6"/>
  <c r="T26" i="6"/>
  <c r="AB25" i="6"/>
  <c r="AA25" i="6"/>
  <c r="Z25" i="6"/>
  <c r="Y25" i="6"/>
  <c r="X25" i="6"/>
  <c r="W25" i="6"/>
  <c r="V25" i="6"/>
  <c r="U25" i="6"/>
  <c r="T25" i="6"/>
  <c r="AB24" i="6"/>
  <c r="AA24" i="6"/>
  <c r="Z24" i="6"/>
  <c r="Y24" i="6"/>
  <c r="X24" i="6"/>
  <c r="W24" i="6"/>
  <c r="V24" i="6"/>
  <c r="U24" i="6"/>
  <c r="T24" i="6"/>
  <c r="AB23" i="6"/>
  <c r="AA23" i="6"/>
  <c r="Z23" i="6"/>
  <c r="Y23" i="6"/>
  <c r="X23" i="6"/>
  <c r="W23" i="6"/>
  <c r="V23" i="6"/>
  <c r="U23" i="6"/>
  <c r="T23" i="6"/>
  <c r="AB22" i="6"/>
  <c r="AA22" i="6"/>
  <c r="Z22" i="6"/>
  <c r="Y22" i="6"/>
  <c r="X22" i="6"/>
  <c r="W22" i="6"/>
  <c r="V22" i="6"/>
  <c r="U22" i="6"/>
  <c r="T22" i="6"/>
  <c r="AB17" i="6"/>
  <c r="AA17" i="6"/>
  <c r="Z17" i="6"/>
  <c r="Y17" i="6"/>
  <c r="X17" i="6"/>
  <c r="W17" i="6"/>
  <c r="V17" i="6"/>
  <c r="U17" i="6"/>
  <c r="T17" i="6"/>
  <c r="AB16" i="6"/>
  <c r="AA16" i="6"/>
  <c r="Z16" i="6"/>
  <c r="Y16" i="6"/>
  <c r="X16" i="6"/>
  <c r="W16" i="6"/>
  <c r="V16" i="6"/>
  <c r="U16" i="6"/>
  <c r="T16" i="6"/>
  <c r="AB15" i="6"/>
  <c r="AA15" i="6"/>
  <c r="Z15" i="6"/>
  <c r="Y15" i="6"/>
  <c r="X15" i="6"/>
  <c r="W15" i="6"/>
  <c r="V15" i="6"/>
  <c r="U15" i="6"/>
  <c r="T15" i="6"/>
  <c r="AB13" i="6"/>
  <c r="AA13" i="6"/>
  <c r="Z13" i="6"/>
  <c r="Y13" i="6"/>
  <c r="X13" i="6"/>
  <c r="W13" i="6"/>
  <c r="V13" i="6"/>
  <c r="U13" i="6"/>
  <c r="T13" i="6"/>
  <c r="AB12" i="6"/>
  <c r="AA12" i="6"/>
  <c r="Z12" i="6"/>
  <c r="Y12" i="6"/>
  <c r="X12" i="6"/>
  <c r="W12" i="6"/>
  <c r="V12" i="6"/>
  <c r="U12" i="6"/>
  <c r="T12" i="6"/>
  <c r="AB11" i="6"/>
  <c r="AA11" i="6"/>
  <c r="Z11" i="6"/>
  <c r="Y11" i="6"/>
  <c r="X11" i="6"/>
  <c r="W11" i="6"/>
  <c r="V11" i="6"/>
  <c r="U11" i="6"/>
  <c r="T11" i="6"/>
  <c r="AB10" i="6"/>
  <c r="AA10" i="6"/>
  <c r="Z10" i="6"/>
  <c r="Y10" i="6"/>
  <c r="X10" i="6"/>
  <c r="W10" i="6"/>
  <c r="V10" i="6"/>
  <c r="U10" i="6"/>
  <c r="T10" i="6"/>
  <c r="AB9" i="6"/>
  <c r="AA9" i="6"/>
  <c r="Z9" i="6"/>
  <c r="Y9" i="6"/>
  <c r="X9" i="6"/>
  <c r="W9" i="6"/>
  <c r="V9" i="6"/>
  <c r="U9" i="6"/>
  <c r="T9" i="6"/>
  <c r="AB8" i="6"/>
  <c r="AA8" i="6"/>
  <c r="Z8" i="6"/>
  <c r="Y8" i="6"/>
  <c r="X8" i="6"/>
  <c r="W8" i="6"/>
  <c r="V8" i="6"/>
  <c r="U8" i="6"/>
  <c r="T8" i="6"/>
  <c r="AB7" i="6"/>
  <c r="AA7" i="6"/>
  <c r="Z7" i="6"/>
  <c r="Y7" i="6"/>
  <c r="X7" i="6"/>
  <c r="W7" i="6"/>
  <c r="V7" i="6"/>
  <c r="U7" i="6"/>
  <c r="T7" i="6"/>
  <c r="S8" i="6"/>
  <c r="S9" i="6"/>
  <c r="S10" i="6"/>
  <c r="S11" i="6"/>
  <c r="S12" i="6"/>
  <c r="S13" i="6"/>
  <c r="S15" i="6"/>
  <c r="S16" i="6"/>
  <c r="S17" i="6"/>
  <c r="S22" i="6"/>
  <c r="S23" i="6"/>
  <c r="S24" i="6"/>
  <c r="S25" i="6"/>
  <c r="S26" i="6"/>
  <c r="S27" i="6"/>
  <c r="S28" i="6"/>
  <c r="S29" i="6"/>
  <c r="S30" i="6"/>
  <c r="S33" i="6"/>
  <c r="S7" i="6"/>
  <c r="G25" i="6"/>
  <c r="G8" i="6"/>
  <c r="H8" i="6"/>
  <c r="I8" i="6"/>
  <c r="J8" i="6"/>
  <c r="K8" i="6"/>
  <c r="L8" i="6"/>
  <c r="M8" i="6"/>
  <c r="N8" i="6"/>
  <c r="O8" i="6"/>
  <c r="P8" i="6"/>
  <c r="G9" i="6"/>
  <c r="H9" i="6"/>
  <c r="I9" i="6"/>
  <c r="J9" i="6"/>
  <c r="K9" i="6"/>
  <c r="L9" i="6"/>
  <c r="M9" i="6"/>
  <c r="N9" i="6"/>
  <c r="O9" i="6"/>
  <c r="P9" i="6"/>
  <c r="G10" i="6"/>
  <c r="H10" i="6"/>
  <c r="I10" i="6"/>
  <c r="J10" i="6"/>
  <c r="K10" i="6"/>
  <c r="L10" i="6"/>
  <c r="M10" i="6"/>
  <c r="N10" i="6"/>
  <c r="O10" i="6"/>
  <c r="P10" i="6"/>
  <c r="G11" i="6"/>
  <c r="H11" i="6"/>
  <c r="I11" i="6"/>
  <c r="J11" i="6"/>
  <c r="K11" i="6"/>
  <c r="L11" i="6"/>
  <c r="M11" i="6"/>
  <c r="N11" i="6"/>
  <c r="O11" i="6"/>
  <c r="P11" i="6"/>
  <c r="G12" i="6"/>
  <c r="H12" i="6"/>
  <c r="I12" i="6"/>
  <c r="J12" i="6"/>
  <c r="K12" i="6"/>
  <c r="L12" i="6"/>
  <c r="M12" i="6"/>
  <c r="N12" i="6"/>
  <c r="O12" i="6"/>
  <c r="P12" i="6"/>
  <c r="G13" i="6"/>
  <c r="H13" i="6"/>
  <c r="I13" i="6"/>
  <c r="J13" i="6"/>
  <c r="K13" i="6"/>
  <c r="L13" i="6"/>
  <c r="M13" i="6"/>
  <c r="N13" i="6"/>
  <c r="O13" i="6"/>
  <c r="P13" i="6"/>
  <c r="G15" i="6"/>
  <c r="H15" i="6"/>
  <c r="I15" i="6"/>
  <c r="J15" i="6"/>
  <c r="K15" i="6"/>
  <c r="L15" i="6"/>
  <c r="M15" i="6"/>
  <c r="N15" i="6"/>
  <c r="O15" i="6"/>
  <c r="P15" i="6"/>
  <c r="G16" i="6"/>
  <c r="H16" i="6"/>
  <c r="I16" i="6"/>
  <c r="J16" i="6"/>
  <c r="K16" i="6"/>
  <c r="L16" i="6"/>
  <c r="M16" i="6"/>
  <c r="N16" i="6"/>
  <c r="O16" i="6"/>
  <c r="P16" i="6"/>
  <c r="G17" i="6"/>
  <c r="H17" i="6"/>
  <c r="I17" i="6"/>
  <c r="J17" i="6"/>
  <c r="K17" i="6"/>
  <c r="L17" i="6"/>
  <c r="M17" i="6"/>
  <c r="N17" i="6"/>
  <c r="O17" i="6"/>
  <c r="P17" i="6"/>
  <c r="G22" i="6"/>
  <c r="H22" i="6"/>
  <c r="I22" i="6"/>
  <c r="J22" i="6"/>
  <c r="K22" i="6"/>
  <c r="L22" i="6"/>
  <c r="M22" i="6"/>
  <c r="N22" i="6"/>
  <c r="O22" i="6"/>
  <c r="P22" i="6"/>
  <c r="G23" i="6"/>
  <c r="H23" i="6"/>
  <c r="I23" i="6"/>
  <c r="J23" i="6"/>
  <c r="K23" i="6"/>
  <c r="L23" i="6"/>
  <c r="M23" i="6"/>
  <c r="N23" i="6"/>
  <c r="O23" i="6"/>
  <c r="P23" i="6"/>
  <c r="G24" i="6"/>
  <c r="H24" i="6"/>
  <c r="I24" i="6"/>
  <c r="J24" i="6"/>
  <c r="K24" i="6"/>
  <c r="L24" i="6"/>
  <c r="M24" i="6"/>
  <c r="N24" i="6"/>
  <c r="O24" i="6"/>
  <c r="P24" i="6"/>
  <c r="H25" i="6"/>
  <c r="I25" i="6"/>
  <c r="J25" i="6"/>
  <c r="K25" i="6"/>
  <c r="L25" i="6"/>
  <c r="M25" i="6"/>
  <c r="N25" i="6"/>
  <c r="O25" i="6"/>
  <c r="P25" i="6"/>
  <c r="G26" i="6"/>
  <c r="H26" i="6"/>
  <c r="I26" i="6"/>
  <c r="J26" i="6"/>
  <c r="K26" i="6"/>
  <c r="L26" i="6"/>
  <c r="M26" i="6"/>
  <c r="N26" i="6"/>
  <c r="O26" i="6"/>
  <c r="P26" i="6"/>
  <c r="G27" i="6"/>
  <c r="H27" i="6"/>
  <c r="I27" i="6"/>
  <c r="J27" i="6"/>
  <c r="K27" i="6"/>
  <c r="L27" i="6"/>
  <c r="M27" i="6"/>
  <c r="N27" i="6"/>
  <c r="O27" i="6"/>
  <c r="P27" i="6"/>
  <c r="G28" i="6"/>
  <c r="H28" i="6"/>
  <c r="I28" i="6"/>
  <c r="J28" i="6"/>
  <c r="K28" i="6"/>
  <c r="L28" i="6"/>
  <c r="M28" i="6"/>
  <c r="N28" i="6"/>
  <c r="O28" i="6"/>
  <c r="P28" i="6"/>
  <c r="G29" i="6"/>
  <c r="H29" i="6"/>
  <c r="I29" i="6"/>
  <c r="J29" i="6"/>
  <c r="K29" i="6"/>
  <c r="L29" i="6"/>
  <c r="M29" i="6"/>
  <c r="N29" i="6"/>
  <c r="O29" i="6"/>
  <c r="P29" i="6"/>
  <c r="G30" i="6"/>
  <c r="H30" i="6"/>
  <c r="I30" i="6"/>
  <c r="J30" i="6"/>
  <c r="K30" i="6"/>
  <c r="L30" i="6"/>
  <c r="M30" i="6"/>
  <c r="N30" i="6"/>
  <c r="O30" i="6"/>
  <c r="P30" i="6"/>
  <c r="G33" i="6"/>
  <c r="H33" i="6"/>
  <c r="I33" i="6"/>
  <c r="J33" i="6"/>
  <c r="K33" i="6"/>
  <c r="L33" i="6"/>
  <c r="M33" i="6"/>
  <c r="N33" i="6"/>
  <c r="O33" i="6"/>
  <c r="P33" i="6"/>
  <c r="H7" i="6"/>
  <c r="I7" i="6"/>
  <c r="J7" i="6"/>
  <c r="K7" i="6"/>
  <c r="L7" i="6"/>
  <c r="M7" i="6"/>
  <c r="N7" i="6"/>
  <c r="O7" i="6"/>
  <c r="P7" i="6"/>
  <c r="G7" i="6"/>
  <c r="G35" i="6" l="1"/>
  <c r="G53" i="6" s="1"/>
  <c r="F126" i="2" l="1"/>
  <c r="L26" i="8" l="1"/>
  <c r="K26" i="8"/>
  <c r="D205" i="2" l="1"/>
  <c r="E205" i="2"/>
  <c r="B16" i="19"/>
  <c r="B15" i="19"/>
  <c r="B14" i="19"/>
  <c r="B12" i="19"/>
  <c r="B11" i="19"/>
  <c r="D70" i="2" l="1"/>
  <c r="C21" i="12"/>
  <c r="E21" i="12"/>
  <c r="G94" i="2" l="1"/>
  <c r="G93" i="2"/>
  <c r="G92" i="2"/>
  <c r="G91" i="2"/>
  <c r="G90" i="2"/>
  <c r="G89" i="2"/>
  <c r="G88" i="2"/>
  <c r="G87" i="2"/>
  <c r="G86" i="2"/>
  <c r="F85" i="2"/>
  <c r="G84" i="2"/>
  <c r="G83" i="2"/>
  <c r="G82" i="2"/>
  <c r="G81" i="2"/>
  <c r="G80" i="2"/>
  <c r="G79" i="2"/>
  <c r="G78" i="2"/>
  <c r="E188" i="2" s="1"/>
  <c r="G77" i="2"/>
  <c r="G76" i="2"/>
  <c r="G75" i="2"/>
  <c r="G74" i="2"/>
  <c r="F73" i="2"/>
  <c r="G72" i="2"/>
  <c r="G71" i="2"/>
  <c r="G70" i="2"/>
  <c r="G69" i="2"/>
  <c r="E169" i="2" s="1"/>
  <c r="G68" i="2"/>
  <c r="G67" i="2"/>
  <c r="G66" i="2"/>
  <c r="G65" i="2"/>
  <c r="G64" i="2"/>
  <c r="G63" i="2"/>
  <c r="G62" i="2"/>
  <c r="F61" i="2"/>
  <c r="G60" i="2"/>
  <c r="G59" i="2"/>
  <c r="G58" i="2"/>
  <c r="G57" i="2"/>
  <c r="G56" i="2"/>
  <c r="G55" i="2"/>
  <c r="G54" i="2"/>
  <c r="E184" i="2" l="1"/>
  <c r="E185" i="2"/>
  <c r="E186" i="2"/>
  <c r="E187" i="2"/>
  <c r="F70" i="2"/>
  <c r="F83" i="2"/>
  <c r="G85" i="2"/>
  <c r="F86" i="2"/>
  <c r="F88" i="2"/>
  <c r="F68" i="2"/>
  <c r="F56" i="2"/>
  <c r="F71" i="2"/>
  <c r="F58" i="2"/>
  <c r="G73" i="2"/>
  <c r="E183" i="2" s="1"/>
  <c r="F74" i="2"/>
  <c r="D184" i="2" s="1"/>
  <c r="F89" i="2"/>
  <c r="F59" i="2"/>
  <c r="F76" i="2"/>
  <c r="D186" i="2" s="1"/>
  <c r="F92" i="2"/>
  <c r="G61" i="2"/>
  <c r="F94" i="2"/>
  <c r="F62" i="2"/>
  <c r="F77" i="2"/>
  <c r="F64" i="2"/>
  <c r="F80" i="2"/>
  <c r="F82" i="2"/>
  <c r="F65" i="2"/>
  <c r="F54" i="2"/>
  <c r="F60" i="2"/>
  <c r="F66" i="2"/>
  <c r="F72" i="2"/>
  <c r="F78" i="2"/>
  <c r="D188" i="2" s="1"/>
  <c r="F84" i="2"/>
  <c r="F90" i="2"/>
  <c r="F55" i="2"/>
  <c r="F67" i="2"/>
  <c r="F79" i="2"/>
  <c r="F91" i="2"/>
  <c r="F57" i="2"/>
  <c r="F63" i="2"/>
  <c r="F69" i="2"/>
  <c r="D169" i="2" s="1"/>
  <c r="F75" i="2"/>
  <c r="D185" i="2" s="1"/>
  <c r="F81" i="2"/>
  <c r="F87" i="2"/>
  <c r="F93" i="2"/>
  <c r="D183" i="2" l="1"/>
  <c r="D187" i="2"/>
  <c r="B28" i="8"/>
  <c r="H25" i="8" l="1"/>
  <c r="J25" i="8" s="1"/>
  <c r="I25" i="8" s="1"/>
  <c r="I39" i="5" l="1"/>
  <c r="H39" i="5"/>
  <c r="I38" i="5"/>
  <c r="H38" i="5"/>
  <c r="I37" i="5"/>
  <c r="H37" i="5"/>
  <c r="C3" i="14" l="1"/>
  <c r="B3" i="14"/>
  <c r="F104" i="2" l="1"/>
  <c r="H22" i="12" l="1"/>
  <c r="H23" i="12"/>
  <c r="H24" i="12"/>
  <c r="H25" i="12"/>
  <c r="H26" i="12"/>
  <c r="H27" i="12"/>
  <c r="H28" i="12"/>
  <c r="G22" i="12"/>
  <c r="G23" i="12"/>
  <c r="G24" i="12"/>
  <c r="G25" i="12"/>
  <c r="G26" i="12"/>
  <c r="G27" i="12"/>
  <c r="G28" i="12"/>
  <c r="F22" i="12"/>
  <c r="F23" i="12"/>
  <c r="F24" i="12"/>
  <c r="F25" i="12"/>
  <c r="F26" i="12"/>
  <c r="F27" i="12"/>
  <c r="F28" i="12"/>
  <c r="F21" i="12"/>
  <c r="G21" i="12" s="1"/>
  <c r="E22" i="12"/>
  <c r="E23" i="12"/>
  <c r="E24" i="12"/>
  <c r="E25" i="12"/>
  <c r="E26" i="12"/>
  <c r="E27" i="12"/>
  <c r="E28" i="12"/>
  <c r="B14" i="12"/>
  <c r="B16" i="12" s="1"/>
  <c r="H21" i="12" l="1"/>
  <c r="I42" i="5"/>
  <c r="I41" i="5"/>
  <c r="I40" i="5"/>
  <c r="H42" i="5"/>
  <c r="H41" i="5"/>
  <c r="H40" i="5"/>
  <c r="I36" i="5"/>
  <c r="H36" i="5"/>
  <c r="I31" i="5"/>
  <c r="H31" i="5"/>
  <c r="I28" i="5"/>
  <c r="H28" i="5"/>
  <c r="I25" i="5"/>
  <c r="H25" i="5"/>
  <c r="I20" i="5"/>
  <c r="H20" i="5"/>
  <c r="I17" i="5"/>
  <c r="H17" i="5"/>
  <c r="I14" i="5"/>
  <c r="H14" i="5"/>
  <c r="B70" i="5" l="1"/>
  <c r="C70" i="5"/>
  <c r="I14" i="3"/>
  <c r="I15" i="3"/>
  <c r="I16" i="3"/>
  <c r="I17" i="3"/>
  <c r="I18" i="3"/>
  <c r="I19" i="3"/>
  <c r="I20" i="3"/>
  <c r="I21" i="3"/>
  <c r="I22" i="3"/>
  <c r="I23" i="3"/>
  <c r="I24" i="3"/>
  <c r="I25" i="3"/>
  <c r="I26" i="3"/>
  <c r="I27" i="3"/>
  <c r="I28" i="3"/>
  <c r="I29" i="3"/>
  <c r="I30" i="3"/>
  <c r="I31" i="3"/>
  <c r="I32" i="3"/>
  <c r="I33" i="3"/>
  <c r="I34" i="3"/>
  <c r="I35" i="3"/>
  <c r="I4" i="3"/>
  <c r="I5" i="3"/>
  <c r="I6" i="3"/>
  <c r="I7" i="3"/>
  <c r="I8" i="3"/>
  <c r="I9" i="3"/>
  <c r="I10" i="3"/>
  <c r="I11" i="3"/>
  <c r="I12" i="3"/>
  <c r="X70" i="5" l="1"/>
  <c r="S70" i="5"/>
  <c r="R70" i="5"/>
  <c r="Y70" i="5"/>
  <c r="W70" i="5"/>
  <c r="V70" i="5"/>
  <c r="U70" i="5"/>
  <c r="Q70" i="5"/>
  <c r="P70" i="5"/>
  <c r="T70" i="5"/>
  <c r="O70" i="5"/>
  <c r="L70" i="5"/>
  <c r="I70" i="5"/>
  <c r="K70" i="5"/>
  <c r="E70" i="5"/>
  <c r="J70" i="5"/>
  <c r="H70" i="5"/>
  <c r="G70" i="5"/>
  <c r="F70" i="5"/>
  <c r="N70" i="5"/>
  <c r="M70" i="5"/>
  <c r="D70" i="5"/>
  <c r="L46" i="11"/>
  <c r="K46" i="11"/>
  <c r="J46" i="11"/>
  <c r="N46" i="11"/>
  <c r="I46" i="11"/>
  <c r="H46" i="11"/>
  <c r="L34" i="11"/>
  <c r="K34" i="11"/>
  <c r="J34" i="11"/>
  <c r="N34" i="11"/>
  <c r="I34" i="11"/>
  <c r="H34" i="11"/>
  <c r="L33" i="11"/>
  <c r="K33" i="11"/>
  <c r="J33" i="11"/>
  <c r="N33" i="11"/>
  <c r="I33" i="11"/>
  <c r="H33" i="11"/>
  <c r="L32" i="11"/>
  <c r="K32" i="11"/>
  <c r="J32" i="11"/>
  <c r="N32" i="11"/>
  <c r="I32" i="11"/>
  <c r="H32" i="11"/>
  <c r="L31" i="11"/>
  <c r="K31" i="11"/>
  <c r="J31" i="11"/>
  <c r="N31" i="11"/>
  <c r="I31" i="11"/>
  <c r="H31" i="11"/>
  <c r="L30" i="11"/>
  <c r="K30" i="11"/>
  <c r="J30" i="11"/>
  <c r="N30" i="11"/>
  <c r="I30" i="11"/>
  <c r="H30" i="11"/>
  <c r="H7" i="11" l="1"/>
  <c r="I7" i="11"/>
  <c r="N7" i="11"/>
  <c r="J7" i="11"/>
  <c r="K7" i="11"/>
  <c r="L7" i="11"/>
  <c r="H8" i="11"/>
  <c r="I8" i="11"/>
  <c r="N8" i="11"/>
  <c r="J8" i="11"/>
  <c r="K8" i="11"/>
  <c r="L8" i="11"/>
  <c r="H9" i="11"/>
  <c r="I9" i="11"/>
  <c r="N9" i="11"/>
  <c r="J9" i="11"/>
  <c r="K9" i="11"/>
  <c r="L9" i="11"/>
  <c r="H10" i="11"/>
  <c r="I10" i="11"/>
  <c r="N10" i="11"/>
  <c r="J10" i="11"/>
  <c r="K10" i="11"/>
  <c r="L10" i="11"/>
  <c r="H11" i="11"/>
  <c r="I11" i="11"/>
  <c r="N11" i="11"/>
  <c r="J11" i="11"/>
  <c r="K11" i="11"/>
  <c r="L11" i="11"/>
  <c r="H12" i="11"/>
  <c r="I12" i="11"/>
  <c r="N12" i="11"/>
  <c r="J12" i="11"/>
  <c r="K12" i="11"/>
  <c r="L12" i="11"/>
  <c r="H13" i="11"/>
  <c r="I13" i="11"/>
  <c r="N13" i="11"/>
  <c r="J13" i="11"/>
  <c r="K13" i="11"/>
  <c r="L13" i="11"/>
  <c r="H14" i="11"/>
  <c r="I14" i="11"/>
  <c r="N14" i="11"/>
  <c r="J14" i="11"/>
  <c r="K14" i="11"/>
  <c r="L14" i="11"/>
  <c r="H15" i="11"/>
  <c r="I15" i="11"/>
  <c r="N15" i="11"/>
  <c r="J15" i="11"/>
  <c r="K15" i="11"/>
  <c r="L15" i="11"/>
  <c r="H16" i="11"/>
  <c r="I16" i="11"/>
  <c r="N16" i="11"/>
  <c r="J16" i="11"/>
  <c r="K16" i="11"/>
  <c r="L16" i="11"/>
  <c r="H17" i="11"/>
  <c r="I17" i="11"/>
  <c r="N17" i="11"/>
  <c r="J17" i="11"/>
  <c r="K17" i="11"/>
  <c r="L17" i="11"/>
  <c r="H18" i="11"/>
  <c r="I18" i="11"/>
  <c r="N18" i="11"/>
  <c r="J18" i="11"/>
  <c r="K18" i="11"/>
  <c r="L18" i="11"/>
  <c r="H19" i="11"/>
  <c r="I19" i="11"/>
  <c r="N19" i="11"/>
  <c r="J19" i="11"/>
  <c r="K19" i="11"/>
  <c r="L19" i="11"/>
  <c r="H20" i="11"/>
  <c r="I20" i="11"/>
  <c r="N20" i="11"/>
  <c r="J20" i="11"/>
  <c r="K20" i="11"/>
  <c r="L20" i="11"/>
  <c r="H21" i="11"/>
  <c r="I21" i="11"/>
  <c r="N21" i="11"/>
  <c r="J21" i="11"/>
  <c r="K21" i="11"/>
  <c r="L21" i="11"/>
  <c r="H22" i="11"/>
  <c r="I22" i="11"/>
  <c r="N22" i="11"/>
  <c r="J22" i="11"/>
  <c r="K22" i="11"/>
  <c r="L22" i="11"/>
  <c r="H23" i="11"/>
  <c r="I23" i="11"/>
  <c r="N23" i="11"/>
  <c r="J23" i="11"/>
  <c r="K23" i="11"/>
  <c r="L23" i="11"/>
  <c r="H24" i="11"/>
  <c r="I24" i="11"/>
  <c r="N24" i="11"/>
  <c r="J24" i="11"/>
  <c r="K24" i="11"/>
  <c r="L24" i="11"/>
  <c r="H25" i="11"/>
  <c r="I25" i="11"/>
  <c r="N25" i="11"/>
  <c r="J25" i="11"/>
  <c r="K25" i="11"/>
  <c r="L25" i="11"/>
  <c r="H26" i="11"/>
  <c r="I26" i="11"/>
  <c r="N26" i="11"/>
  <c r="J26" i="11"/>
  <c r="K26" i="11"/>
  <c r="L26" i="11"/>
  <c r="H27" i="11"/>
  <c r="I27" i="11"/>
  <c r="N27" i="11"/>
  <c r="J27" i="11"/>
  <c r="K27" i="11"/>
  <c r="L27" i="11"/>
  <c r="H28" i="11"/>
  <c r="I28" i="11"/>
  <c r="N28" i="11"/>
  <c r="J28" i="11"/>
  <c r="K28" i="11"/>
  <c r="L28" i="11"/>
  <c r="H29" i="11"/>
  <c r="I29" i="11"/>
  <c r="N29" i="11"/>
  <c r="J29" i="11"/>
  <c r="K29" i="11"/>
  <c r="L29" i="11"/>
  <c r="H35" i="11"/>
  <c r="I35" i="11"/>
  <c r="N35" i="11"/>
  <c r="J35" i="11"/>
  <c r="K35" i="11"/>
  <c r="L35" i="11"/>
  <c r="H36" i="11"/>
  <c r="I36" i="11"/>
  <c r="N36" i="11"/>
  <c r="J36" i="11"/>
  <c r="K36" i="11"/>
  <c r="L36" i="11"/>
  <c r="H37" i="11"/>
  <c r="I37" i="11"/>
  <c r="N37" i="11"/>
  <c r="J37" i="11"/>
  <c r="K37" i="11"/>
  <c r="L37" i="11"/>
  <c r="H38" i="11"/>
  <c r="I38" i="11"/>
  <c r="N38" i="11"/>
  <c r="J38" i="11"/>
  <c r="K38" i="11"/>
  <c r="L38" i="11"/>
  <c r="H39" i="11"/>
  <c r="I39" i="11"/>
  <c r="N39" i="11"/>
  <c r="J39" i="11"/>
  <c r="K39" i="11"/>
  <c r="L39" i="11"/>
  <c r="H40" i="11"/>
  <c r="I40" i="11"/>
  <c r="N40" i="11"/>
  <c r="J40" i="11"/>
  <c r="K40" i="11"/>
  <c r="L40" i="11"/>
  <c r="H41" i="11"/>
  <c r="I41" i="11"/>
  <c r="N41" i="11"/>
  <c r="J41" i="11"/>
  <c r="K41" i="11"/>
  <c r="L41" i="11"/>
  <c r="H42" i="11"/>
  <c r="I42" i="11"/>
  <c r="N42" i="11"/>
  <c r="J42" i="11"/>
  <c r="K42" i="11"/>
  <c r="L42" i="11"/>
  <c r="H43" i="11"/>
  <c r="I43" i="11"/>
  <c r="N43" i="11"/>
  <c r="J43" i="11"/>
  <c r="K43" i="11"/>
  <c r="L43" i="11"/>
  <c r="H44" i="11"/>
  <c r="I44" i="11"/>
  <c r="N44" i="11"/>
  <c r="J44" i="11"/>
  <c r="K44" i="11"/>
  <c r="L44" i="11"/>
  <c r="H45" i="11"/>
  <c r="I45" i="11"/>
  <c r="N45" i="11"/>
  <c r="J45" i="11"/>
  <c r="L45" i="11"/>
  <c r="H47" i="11"/>
  <c r="I47" i="11"/>
  <c r="N47" i="11"/>
  <c r="J47" i="11"/>
  <c r="K47" i="11"/>
  <c r="L47" i="11"/>
  <c r="I6" i="11"/>
  <c r="N6" i="11"/>
  <c r="J6" i="11"/>
  <c r="K6" i="11"/>
  <c r="L6" i="11"/>
  <c r="H6" i="11"/>
  <c r="H57" i="8" l="1"/>
  <c r="G57" i="8"/>
  <c r="H56" i="8"/>
  <c r="G56" i="8"/>
  <c r="G47" i="8"/>
  <c r="H47" i="8"/>
  <c r="G53" i="8"/>
  <c r="H53" i="8"/>
  <c r="G54" i="8"/>
  <c r="H54" i="8"/>
  <c r="H49" i="8"/>
  <c r="G49" i="8"/>
  <c r="H48" i="8"/>
  <c r="G48" i="8"/>
  <c r="G51" i="8"/>
  <c r="H51" i="8"/>
  <c r="G52" i="8"/>
  <c r="H52" i="8"/>
  <c r="G55" i="8"/>
  <c r="H55" i="8"/>
  <c r="H50" i="8"/>
  <c r="G50" i="8"/>
  <c r="AB35" i="6"/>
  <c r="H62" i="6" s="1"/>
  <c r="M35" i="6"/>
  <c r="G59" i="6" s="1"/>
  <c r="H63" i="6"/>
  <c r="P35" i="6"/>
  <c r="G62" i="6" s="1"/>
  <c r="N35" i="6"/>
  <c r="G60" i="6" s="1"/>
  <c r="L35" i="6"/>
  <c r="G58" i="6" s="1"/>
  <c r="H35" i="6"/>
  <c r="G54" i="6" s="1"/>
  <c r="J35" i="6"/>
  <c r="G56" i="6" s="1"/>
  <c r="S35" i="6"/>
  <c r="H53" i="6" s="1"/>
  <c r="X35" i="6"/>
  <c r="H58" i="6" s="1"/>
  <c r="Z35" i="6"/>
  <c r="H60" i="6" s="1"/>
  <c r="AA35" i="6"/>
  <c r="H61" i="6" s="1"/>
  <c r="V35" i="6"/>
  <c r="H56" i="6" s="1"/>
  <c r="U35" i="6"/>
  <c r="H55" i="6" s="1"/>
  <c r="I35" i="6"/>
  <c r="G55" i="6" s="1"/>
  <c r="R35" i="6"/>
  <c r="G63" i="6" s="1"/>
  <c r="K35" i="6"/>
  <c r="G57" i="6" s="1"/>
  <c r="Y35" i="6"/>
  <c r="H59" i="6" s="1"/>
  <c r="O35" i="6"/>
  <c r="G61" i="6" s="1"/>
  <c r="T35" i="6"/>
  <c r="H54" i="6" s="1"/>
  <c r="W35" i="6"/>
  <c r="H57" i="6" s="1"/>
  <c r="C4" i="14"/>
  <c r="B4" i="14"/>
  <c r="I49" i="8" l="1"/>
  <c r="I54" i="8"/>
  <c r="I50" i="8"/>
  <c r="I55" i="8"/>
  <c r="I53" i="8"/>
  <c r="I52" i="8"/>
  <c r="H58" i="8"/>
  <c r="I47" i="8"/>
  <c r="G58" i="8"/>
  <c r="I51" i="8"/>
  <c r="I56" i="8"/>
  <c r="I48" i="8"/>
  <c r="I57" i="8"/>
  <c r="G2" i="1"/>
  <c r="H26" i="8" l="1"/>
  <c r="H24" i="8"/>
  <c r="H23" i="8"/>
  <c r="J23" i="8" s="1"/>
  <c r="H22" i="8"/>
  <c r="J22" i="8" s="1"/>
  <c r="J26" i="8" l="1"/>
  <c r="I26" i="8" s="1"/>
  <c r="I22" i="8"/>
  <c r="J24" i="8"/>
  <c r="I24" i="8" s="1"/>
  <c r="I23" i="8"/>
  <c r="I27" i="8" l="1"/>
  <c r="J27" i="8"/>
  <c r="E57" i="8" l="1"/>
  <c r="F57" i="8" s="1"/>
  <c r="E51" i="8"/>
  <c r="F51" i="8" s="1"/>
  <c r="E52" i="8"/>
  <c r="F52" i="8" s="1"/>
  <c r="E54" i="8"/>
  <c r="F54" i="8" s="1"/>
  <c r="E50" i="8"/>
  <c r="F50" i="8" s="1"/>
  <c r="E47" i="8"/>
  <c r="F47" i="8" s="1"/>
  <c r="E48" i="8"/>
  <c r="F48" i="8" s="1"/>
  <c r="E53" i="8"/>
  <c r="F53" i="8" s="1"/>
  <c r="E56" i="8"/>
  <c r="F56" i="8" s="1"/>
  <c r="E49" i="8"/>
  <c r="F49" i="8" s="1"/>
  <c r="E55" i="8"/>
  <c r="F55" i="8" s="1"/>
  <c r="D48" i="8"/>
  <c r="D51" i="8"/>
  <c r="D47" i="8"/>
  <c r="D52" i="8"/>
  <c r="D53" i="8"/>
  <c r="D56" i="8"/>
  <c r="D49" i="8"/>
  <c r="D50" i="8"/>
  <c r="D55" i="8"/>
  <c r="D57" i="8"/>
  <c r="D54" i="8"/>
  <c r="E58" i="8" l="1"/>
  <c r="B6" i="14" s="1"/>
  <c r="D58" i="8"/>
  <c r="C6" i="14" s="1"/>
  <c r="I35" i="5"/>
  <c r="E35" i="5"/>
  <c r="H35" i="5" s="1"/>
  <c r="I34" i="5"/>
  <c r="E34" i="5"/>
  <c r="H34" i="5" s="1"/>
  <c r="E33" i="5"/>
  <c r="H33" i="5" s="1"/>
  <c r="E32" i="5"/>
  <c r="H32" i="5" s="1"/>
  <c r="I33" i="5"/>
  <c r="I32" i="5"/>
  <c r="I30" i="5"/>
  <c r="H30" i="5"/>
  <c r="I29" i="5"/>
  <c r="H29" i="5"/>
  <c r="I27" i="5"/>
  <c r="H27" i="5"/>
  <c r="I26" i="5"/>
  <c r="H26" i="5"/>
  <c r="I24" i="5"/>
  <c r="H24" i="5"/>
  <c r="I23" i="5"/>
  <c r="H23" i="5"/>
  <c r="I22" i="5"/>
  <c r="H22" i="5"/>
  <c r="I21" i="5"/>
  <c r="H21" i="5"/>
  <c r="I19" i="5"/>
  <c r="H19" i="5"/>
  <c r="I18" i="5"/>
  <c r="H18" i="5"/>
  <c r="I16" i="5"/>
  <c r="H16" i="5"/>
  <c r="I15" i="5"/>
  <c r="H15" i="5"/>
  <c r="I13" i="5"/>
  <c r="I12" i="5"/>
  <c r="C61" i="5" s="1"/>
  <c r="H13" i="5"/>
  <c r="H12" i="5"/>
  <c r="O61" i="5" l="1"/>
  <c r="X61" i="5"/>
  <c r="W61" i="5"/>
  <c r="V61" i="5"/>
  <c r="U61" i="5"/>
  <c r="T61" i="5"/>
  <c r="S61" i="5"/>
  <c r="P61" i="5"/>
  <c r="Y61" i="5"/>
  <c r="R61" i="5"/>
  <c r="Q61" i="5"/>
  <c r="C62" i="5"/>
  <c r="B69" i="5"/>
  <c r="B67" i="5"/>
  <c r="C63" i="5"/>
  <c r="B71" i="5"/>
  <c r="B64" i="5"/>
  <c r="C64" i="5"/>
  <c r="C65" i="5"/>
  <c r="B61" i="5"/>
  <c r="B66" i="5"/>
  <c r="C66" i="5"/>
  <c r="B62" i="5"/>
  <c r="C67" i="5"/>
  <c r="B65" i="5"/>
  <c r="C68" i="5"/>
  <c r="B63" i="5"/>
  <c r="B68" i="5"/>
  <c r="C69" i="5"/>
  <c r="C71" i="5"/>
  <c r="H43" i="5"/>
  <c r="I43" i="5"/>
  <c r="T66" i="5" l="1"/>
  <c r="P66" i="5"/>
  <c r="W66" i="5"/>
  <c r="V66" i="5"/>
  <c r="S66" i="5"/>
  <c r="R66" i="5"/>
  <c r="Q66" i="5"/>
  <c r="O66" i="5"/>
  <c r="U66" i="5"/>
  <c r="Y66" i="5"/>
  <c r="X66" i="5"/>
  <c r="S65" i="5"/>
  <c r="Q65" i="5"/>
  <c r="P65" i="5"/>
  <c r="O65" i="5"/>
  <c r="X65" i="5"/>
  <c r="R65" i="5"/>
  <c r="Y65" i="5"/>
  <c r="W65" i="5"/>
  <c r="V65" i="5"/>
  <c r="U65" i="5"/>
  <c r="T65" i="5"/>
  <c r="R64" i="5"/>
  <c r="Y64" i="5"/>
  <c r="X64" i="5"/>
  <c r="V64" i="5"/>
  <c r="U64" i="5"/>
  <c r="Q64" i="5"/>
  <c r="P64" i="5"/>
  <c r="O64" i="5"/>
  <c r="W64" i="5"/>
  <c r="T64" i="5"/>
  <c r="S64" i="5"/>
  <c r="W69" i="5"/>
  <c r="T69" i="5"/>
  <c r="S69" i="5"/>
  <c r="V69" i="5"/>
  <c r="U69" i="5"/>
  <c r="R69" i="5"/>
  <c r="Q69" i="5"/>
  <c r="P69" i="5"/>
  <c r="O69" i="5"/>
  <c r="Y69" i="5"/>
  <c r="X69" i="5"/>
  <c r="Q63" i="5"/>
  <c r="O63" i="5"/>
  <c r="P63" i="5"/>
  <c r="Y63" i="5"/>
  <c r="X63" i="5"/>
  <c r="W63" i="5"/>
  <c r="S63" i="5"/>
  <c r="V63" i="5"/>
  <c r="U63" i="5"/>
  <c r="T63" i="5"/>
  <c r="R63" i="5"/>
  <c r="V68" i="5"/>
  <c r="S68" i="5"/>
  <c r="R68" i="5"/>
  <c r="Q68" i="5"/>
  <c r="P68" i="5"/>
  <c r="U68" i="5"/>
  <c r="T68" i="5"/>
  <c r="O68" i="5"/>
  <c r="Y68" i="5"/>
  <c r="X68" i="5"/>
  <c r="W68" i="5"/>
  <c r="Y71" i="5"/>
  <c r="W71" i="5"/>
  <c r="V71" i="5"/>
  <c r="R71" i="5"/>
  <c r="Q71" i="5"/>
  <c r="P71" i="5"/>
  <c r="O71" i="5"/>
  <c r="X71" i="5"/>
  <c r="U71" i="5"/>
  <c r="S71" i="5"/>
  <c r="T71" i="5"/>
  <c r="U67" i="5"/>
  <c r="S67" i="5"/>
  <c r="R67" i="5"/>
  <c r="P67" i="5"/>
  <c r="O67" i="5"/>
  <c r="Y67" i="5"/>
  <c r="X67" i="5"/>
  <c r="T67" i="5"/>
  <c r="W67" i="5"/>
  <c r="Q67" i="5"/>
  <c r="V67" i="5"/>
  <c r="P62" i="5"/>
  <c r="V62" i="5"/>
  <c r="R62" i="5"/>
  <c r="O62" i="5"/>
  <c r="Y62" i="5"/>
  <c r="W62" i="5"/>
  <c r="U62" i="5"/>
  <c r="Q62" i="5"/>
  <c r="X62" i="5"/>
  <c r="T62" i="5"/>
  <c r="S62" i="5"/>
  <c r="D62" i="5"/>
  <c r="M62" i="5"/>
  <c r="J62" i="5"/>
  <c r="L62" i="5"/>
  <c r="I62" i="5"/>
  <c r="G62" i="5"/>
  <c r="N62" i="5"/>
  <c r="E62" i="5"/>
  <c r="K62" i="5"/>
  <c r="H62" i="5"/>
  <c r="F62" i="5"/>
  <c r="H66" i="5"/>
  <c r="E66" i="5"/>
  <c r="N66" i="5"/>
  <c r="G66" i="5"/>
  <c r="D66" i="5"/>
  <c r="L66" i="5"/>
  <c r="F66" i="5"/>
  <c r="K66" i="5"/>
  <c r="J66" i="5"/>
  <c r="I66" i="5"/>
  <c r="M66" i="5"/>
  <c r="D61" i="5"/>
  <c r="N61" i="5"/>
  <c r="L61" i="5"/>
  <c r="J61" i="5"/>
  <c r="G61" i="5"/>
  <c r="E61" i="5"/>
  <c r="M61" i="5"/>
  <c r="K61" i="5"/>
  <c r="I61" i="5"/>
  <c r="H61" i="5"/>
  <c r="F61" i="5"/>
  <c r="F64" i="5"/>
  <c r="J64" i="5"/>
  <c r="G64" i="5"/>
  <c r="E64" i="5"/>
  <c r="L64" i="5"/>
  <c r="H64" i="5"/>
  <c r="D64" i="5"/>
  <c r="N64" i="5"/>
  <c r="M64" i="5"/>
  <c r="I64" i="5"/>
  <c r="K64" i="5"/>
  <c r="M71" i="5"/>
  <c r="I71" i="5"/>
  <c r="H71" i="5"/>
  <c r="N71" i="5"/>
  <c r="L71" i="5"/>
  <c r="K71" i="5"/>
  <c r="J71" i="5"/>
  <c r="G71" i="5"/>
  <c r="F71" i="5"/>
  <c r="E71" i="5"/>
  <c r="D71" i="5"/>
  <c r="J68" i="5"/>
  <c r="F68" i="5"/>
  <c r="I68" i="5"/>
  <c r="G68" i="5"/>
  <c r="D68" i="5"/>
  <c r="M68" i="5"/>
  <c r="H68" i="5"/>
  <c r="E68" i="5"/>
  <c r="N68" i="5"/>
  <c r="L68" i="5"/>
  <c r="K68" i="5"/>
  <c r="I67" i="5"/>
  <c r="E67" i="5"/>
  <c r="D67" i="5"/>
  <c r="M67" i="5"/>
  <c r="H67" i="5"/>
  <c r="K67" i="5"/>
  <c r="J67" i="5"/>
  <c r="G67" i="5"/>
  <c r="F67" i="5"/>
  <c r="N67" i="5"/>
  <c r="L67" i="5"/>
  <c r="E63" i="5"/>
  <c r="M63" i="5"/>
  <c r="H63" i="5"/>
  <c r="D63" i="5"/>
  <c r="N63" i="5"/>
  <c r="J63" i="5"/>
  <c r="I63" i="5"/>
  <c r="G63" i="5"/>
  <c r="K63" i="5"/>
  <c r="L63" i="5"/>
  <c r="F63" i="5"/>
  <c r="K69" i="5"/>
  <c r="D69" i="5"/>
  <c r="N69" i="5"/>
  <c r="M69" i="5"/>
  <c r="J69" i="5"/>
  <c r="H69" i="5"/>
  <c r="G69" i="5"/>
  <c r="F69" i="5"/>
  <c r="L69" i="5"/>
  <c r="I69" i="5"/>
  <c r="E69" i="5"/>
  <c r="G65" i="5"/>
  <c r="L65" i="5"/>
  <c r="I65" i="5"/>
  <c r="F65" i="5"/>
  <c r="D65" i="5"/>
  <c r="N65" i="5"/>
  <c r="H65" i="5"/>
  <c r="E65" i="5"/>
  <c r="J65" i="5"/>
  <c r="M65" i="5"/>
  <c r="K65" i="5"/>
  <c r="G117" i="2"/>
  <c r="G118" i="2"/>
  <c r="G119" i="2"/>
  <c r="G120" i="2"/>
  <c r="E203" i="2" s="1"/>
  <c r="G121" i="2"/>
  <c r="G122" i="2"/>
  <c r="E204" i="2" s="1"/>
  <c r="G123" i="2"/>
  <c r="G124" i="2"/>
  <c r="G125" i="2"/>
  <c r="G116" i="2"/>
  <c r="F117" i="2"/>
  <c r="F118" i="2"/>
  <c r="F119" i="2"/>
  <c r="F120" i="2"/>
  <c r="D203" i="2" s="1"/>
  <c r="F121" i="2"/>
  <c r="F122" i="2"/>
  <c r="D204" i="2" s="1"/>
  <c r="F123" i="2"/>
  <c r="F124" i="2"/>
  <c r="F125" i="2"/>
  <c r="F116" i="2"/>
  <c r="W72" i="5" l="1"/>
  <c r="U72" i="5"/>
  <c r="Y72" i="5"/>
  <c r="P72" i="5"/>
  <c r="X72" i="5"/>
  <c r="T72" i="5"/>
  <c r="R72" i="5"/>
  <c r="S72" i="5"/>
  <c r="V72" i="5"/>
  <c r="D74" i="5"/>
  <c r="Q72" i="5"/>
  <c r="O72" i="5"/>
  <c r="J72" i="5"/>
  <c r="L72" i="5"/>
  <c r="N72" i="5"/>
  <c r="F72" i="5"/>
  <c r="H72" i="5"/>
  <c r="I72" i="5"/>
  <c r="K72" i="5"/>
  <c r="M72" i="5"/>
  <c r="E72" i="5"/>
  <c r="G72" i="5"/>
  <c r="D72" i="5"/>
  <c r="E182" i="2"/>
  <c r="E180" i="2"/>
  <c r="C5" i="14"/>
  <c r="B5" i="14"/>
  <c r="D182" i="2"/>
  <c r="D180" i="2"/>
  <c r="C22" i="2"/>
  <c r="C27" i="2" s="1"/>
  <c r="F100" i="2"/>
  <c r="D194" i="2" s="1"/>
  <c r="F99" i="2"/>
  <c r="D193" i="2" s="1"/>
  <c r="F98" i="2"/>
  <c r="D192" i="2" s="1"/>
  <c r="F97" i="2"/>
  <c r="F96" i="2"/>
  <c r="D190" i="2" s="1"/>
  <c r="F103" i="2"/>
  <c r="F102" i="2"/>
  <c r="F33" i="3"/>
  <c r="F34" i="3"/>
  <c r="F35" i="3"/>
  <c r="F36" i="3"/>
  <c r="F37" i="3"/>
  <c r="F38" i="3"/>
  <c r="F39" i="3"/>
  <c r="F40" i="3"/>
  <c r="F41" i="3"/>
  <c r="F42" i="3"/>
  <c r="F43" i="3"/>
  <c r="F44" i="3"/>
  <c r="F45" i="3"/>
  <c r="F46" i="3"/>
  <c r="F47" i="3"/>
  <c r="F48" i="3"/>
  <c r="D162" i="2" l="1"/>
  <c r="D151" i="2"/>
  <c r="D164" i="2"/>
  <c r="D157" i="2"/>
  <c r="D160" i="2"/>
  <c r="D171" i="2"/>
  <c r="D161" i="2"/>
  <c r="F115" i="2"/>
  <c r="G111" i="2"/>
  <c r="E202" i="2" s="1"/>
  <c r="G112" i="2"/>
  <c r="F108" i="2"/>
  <c r="G108" i="2"/>
  <c r="G110" i="2"/>
  <c r="E201" i="2" s="1"/>
  <c r="G106" i="2"/>
  <c r="G107" i="2"/>
  <c r="E154" i="2"/>
  <c r="G114" i="2"/>
  <c r="F113" i="2"/>
  <c r="D196" i="2" s="1"/>
  <c r="G113" i="2"/>
  <c r="G115" i="2"/>
  <c r="F110" i="2"/>
  <c r="D201" i="2" s="1"/>
  <c r="D154" i="2"/>
  <c r="F114" i="2"/>
  <c r="D197" i="2" s="1"/>
  <c r="F107" i="2"/>
  <c r="D153" i="2" s="1"/>
  <c r="F106" i="2"/>
  <c r="F112" i="2"/>
  <c r="F109" i="2"/>
  <c r="D149" i="2"/>
  <c r="F111" i="2"/>
  <c r="D202" i="2" s="1"/>
  <c r="G109" i="2"/>
  <c r="F95" i="2"/>
  <c r="D189" i="2" s="1"/>
  <c r="F101" i="2"/>
  <c r="D195" i="2" s="1"/>
  <c r="F105" i="2"/>
  <c r="D199" i="2" s="1"/>
  <c r="C13" i="2"/>
  <c r="G104" i="2" s="1"/>
  <c r="E198" i="2" s="1"/>
  <c r="E181" i="2" l="1"/>
  <c r="E200" i="2"/>
  <c r="D181" i="2"/>
  <c r="D200" i="2"/>
  <c r="D176" i="2"/>
  <c r="D198" i="2"/>
  <c r="D191" i="2"/>
  <c r="E176" i="2"/>
  <c r="D166" i="2"/>
  <c r="E179" i="2"/>
  <c r="D156" i="2"/>
  <c r="D175" i="2"/>
  <c r="E148" i="2"/>
  <c r="E178" i="2"/>
  <c r="D159" i="2"/>
  <c r="D177" i="2"/>
  <c r="D179" i="2"/>
  <c r="D148" i="2"/>
  <c r="D174" i="2"/>
  <c r="D173" i="2"/>
  <c r="D178" i="2"/>
  <c r="D170" i="2"/>
  <c r="D168" i="2"/>
  <c r="D163" i="2"/>
  <c r="D152" i="2"/>
  <c r="D172" i="2"/>
  <c r="D165" i="2"/>
  <c r="D150" i="2"/>
  <c r="D167" i="2"/>
  <c r="D155" i="2"/>
  <c r="D158" i="2"/>
  <c r="G102" i="2"/>
  <c r="E196" i="2" s="1"/>
  <c r="G99" i="2"/>
  <c r="E193" i="2" s="1"/>
  <c r="G96" i="2"/>
  <c r="E190" i="2" s="1"/>
  <c r="G103" i="2"/>
  <c r="E197" i="2" s="1"/>
  <c r="G100" i="2"/>
  <c r="E194" i="2" s="1"/>
  <c r="G97" i="2"/>
  <c r="E191" i="2" s="1"/>
  <c r="G98" i="2"/>
  <c r="E192" i="2" s="1"/>
  <c r="G101" i="2"/>
  <c r="E195" i="2" s="1"/>
  <c r="G95" i="2"/>
  <c r="E189" i="2" s="1"/>
  <c r="G105" i="2"/>
  <c r="E199" i="2" s="1"/>
  <c r="F4" i="3"/>
  <c r="F32" i="3"/>
  <c r="F31" i="3"/>
  <c r="F30" i="3"/>
  <c r="F29" i="3"/>
  <c r="F28" i="3"/>
  <c r="F27" i="3"/>
  <c r="F26" i="3"/>
  <c r="F25" i="3"/>
  <c r="F24" i="3"/>
  <c r="F23" i="3"/>
  <c r="F22" i="3"/>
  <c r="F21" i="3"/>
  <c r="F20" i="3"/>
  <c r="F19" i="3"/>
  <c r="F18" i="3"/>
  <c r="F17" i="3"/>
  <c r="F16" i="3"/>
  <c r="F15" i="3"/>
  <c r="F14" i="3"/>
  <c r="F13" i="3"/>
  <c r="F12" i="3"/>
  <c r="I13" i="3"/>
  <c r="F11" i="3"/>
  <c r="F10" i="3"/>
  <c r="F9" i="3"/>
  <c r="F8" i="3"/>
  <c r="F7" i="3"/>
  <c r="F6" i="3"/>
  <c r="F5" i="3"/>
  <c r="E174" i="2" l="1"/>
  <c r="E155" i="2"/>
  <c r="E157" i="2"/>
  <c r="E149" i="2"/>
  <c r="E159" i="2"/>
  <c r="E177" i="2"/>
  <c r="E150" i="2"/>
  <c r="E160" i="2"/>
  <c r="E151" i="2"/>
  <c r="E153" i="2"/>
  <c r="E152" i="2"/>
  <c r="E171" i="2"/>
  <c r="E167" i="2"/>
  <c r="E163" i="2"/>
  <c r="E170" i="2"/>
  <c r="E165" i="2"/>
  <c r="E164" i="2"/>
  <c r="E166" i="2"/>
  <c r="E161" i="2"/>
  <c r="E175" i="2"/>
  <c r="E172" i="2"/>
  <c r="E158" i="2"/>
  <c r="E173" i="2"/>
  <c r="E156" i="2"/>
  <c r="E162" i="2"/>
  <c r="E168" i="2"/>
  <c r="G38" i="2"/>
  <c r="G39" i="2"/>
  <c r="G40" i="2"/>
  <c r="G41" i="2"/>
  <c r="G42" i="2"/>
  <c r="G43" i="2"/>
  <c r="G44" i="2"/>
  <c r="G45" i="2"/>
  <c r="G46" i="2"/>
  <c r="G47" i="2"/>
  <c r="G48" i="2"/>
  <c r="G49" i="2"/>
  <c r="G50" i="2"/>
  <c r="G51" i="2"/>
  <c r="G52" i="2"/>
  <c r="G53" i="2"/>
  <c r="F38" i="2"/>
  <c r="F39" i="2"/>
  <c r="F40" i="2"/>
  <c r="F41" i="2"/>
  <c r="F42" i="2"/>
  <c r="F43" i="2"/>
  <c r="F44" i="2"/>
  <c r="F45" i="2"/>
  <c r="F46" i="2"/>
  <c r="F47" i="2"/>
  <c r="F48" i="2"/>
  <c r="F49" i="2"/>
  <c r="F50" i="2"/>
  <c r="F51" i="2"/>
  <c r="F52" i="2"/>
  <c r="F53" i="2"/>
  <c r="G37" i="2"/>
  <c r="E131" i="2" s="1"/>
  <c r="F37" i="2"/>
  <c r="D131" i="2" s="1"/>
  <c r="E141" i="2" l="1"/>
  <c r="E144" i="2"/>
  <c r="E139" i="2"/>
  <c r="E134" i="2"/>
  <c r="E138" i="2"/>
  <c r="E137" i="2"/>
  <c r="E142" i="2"/>
  <c r="E140" i="2"/>
  <c r="E136" i="2"/>
  <c r="E135" i="2"/>
  <c r="E133" i="2"/>
  <c r="E147" i="2"/>
  <c r="E132" i="2"/>
  <c r="E146" i="2"/>
  <c r="E145" i="2"/>
  <c r="E143" i="2"/>
  <c r="D132" i="2"/>
  <c r="D147" i="2"/>
  <c r="D146" i="2"/>
  <c r="D143" i="2"/>
  <c r="D141" i="2"/>
  <c r="D140" i="2"/>
  <c r="D145" i="2"/>
  <c r="D144" i="2"/>
  <c r="D142" i="2"/>
  <c r="D134" i="2"/>
  <c r="D139" i="2"/>
  <c r="D138" i="2"/>
  <c r="D137" i="2"/>
  <c r="D133" i="2"/>
  <c r="G126" i="2"/>
  <c r="D136" i="2"/>
  <c r="D135" i="2"/>
  <c r="E206" i="2" l="1"/>
  <c r="C2" i="14" s="1"/>
  <c r="C7" i="14" s="1"/>
  <c r="D206" i="2"/>
  <c r="B2" i="14"/>
  <c r="B7" i="14" s="1"/>
</calcChain>
</file>

<file path=xl/sharedStrings.xml><?xml version="1.0" encoding="utf-8"?>
<sst xmlns="http://schemas.openxmlformats.org/spreadsheetml/2006/main" count="7240" uniqueCount="1692">
  <si>
    <t>Source Description</t>
  </si>
  <si>
    <t>TEU ID</t>
  </si>
  <si>
    <t>Controlled By</t>
  </si>
  <si>
    <t>Emission Point ID</t>
  </si>
  <si>
    <t>Notes</t>
  </si>
  <si>
    <t>Stack Ht. Abovegrade (ft.)</t>
  </si>
  <si>
    <t>Stack Diam (in.)</t>
  </si>
  <si>
    <t>Stack Temp (F)</t>
  </si>
  <si>
    <t>Flow out of stack vertical up and unobstructed? (Y/N)</t>
  </si>
  <si>
    <t>Refinery</t>
  </si>
  <si>
    <t>Sulfonation</t>
  </si>
  <si>
    <t>OPS</t>
  </si>
  <si>
    <t>Stack Flow Rate (ACFM)</t>
  </si>
  <si>
    <t>Regenerative Thermal Oxidizer (RTO)</t>
  </si>
  <si>
    <t>Tanks</t>
  </si>
  <si>
    <t>Mult.</t>
  </si>
  <si>
    <t>See Tanks tab for identification details</t>
  </si>
  <si>
    <t>See Tanks tab for vent details</t>
  </si>
  <si>
    <t>Fugitive Equipment Leaks</t>
  </si>
  <si>
    <t>Fugitive - None</t>
  </si>
  <si>
    <t>See "Heat Map" drawing for equipment distribution</t>
  </si>
  <si>
    <t>NG Boilers (CIA)</t>
  </si>
  <si>
    <t>Emissions (lb/day)</t>
  </si>
  <si>
    <t>Emissions (lb/year)</t>
  </si>
  <si>
    <t>CAS #</t>
  </si>
  <si>
    <t>Emission Factor</t>
  </si>
  <si>
    <t>Units</t>
  </si>
  <si>
    <t>lb/hr</t>
  </si>
  <si>
    <t>Emission Unit:</t>
  </si>
  <si>
    <t>Emission Point:</t>
  </si>
  <si>
    <t>Description:</t>
  </si>
  <si>
    <t>Max. Operating Parameters:</t>
  </si>
  <si>
    <t>Hours per Day</t>
  </si>
  <si>
    <t>Hours per Year</t>
  </si>
  <si>
    <t>hrs/day</t>
  </si>
  <si>
    <t>hrs/year</t>
  </si>
  <si>
    <t>CAS</t>
  </si>
  <si>
    <t>ChemicalName</t>
  </si>
  <si>
    <t>Lookup Name on CAO List Rtn CAS</t>
  </si>
  <si>
    <t>Lookup CAS on CAO List as Check</t>
  </si>
  <si>
    <t>75-07-0</t>
  </si>
  <si>
    <t>Acetaldehyde</t>
  </si>
  <si>
    <t>Acenaphthene</t>
  </si>
  <si>
    <t>60-35-5</t>
  </si>
  <si>
    <t>Acetamide</t>
  </si>
  <si>
    <t>Acenaphthylene</t>
  </si>
  <si>
    <t>67-64-1</t>
  </si>
  <si>
    <t>Acetone</t>
  </si>
  <si>
    <t>Anthracene</t>
  </si>
  <si>
    <t>75-05-8</t>
  </si>
  <si>
    <t>Acetonitrile</t>
  </si>
  <si>
    <t>Benz[a]anthracene</t>
  </si>
  <si>
    <t>98-86-2</t>
  </si>
  <si>
    <t>Acetophenone</t>
  </si>
  <si>
    <t>Benzo[a]pyrene</t>
  </si>
  <si>
    <t>107-02-8</t>
  </si>
  <si>
    <t>Acrolein</t>
  </si>
  <si>
    <t>Benzo[b]fluoranthene</t>
  </si>
  <si>
    <t>79-06-1</t>
  </si>
  <si>
    <t>Acrylamide</t>
  </si>
  <si>
    <t>Benzo[e]pyrene</t>
  </si>
  <si>
    <t>79-10-7</t>
  </si>
  <si>
    <t>Acrylic acid</t>
  </si>
  <si>
    <t>Benzo[g,h,i]perylene</t>
  </si>
  <si>
    <t>107-13-1</t>
  </si>
  <si>
    <t>Acrylonitrile</t>
  </si>
  <si>
    <t>Benzo[k]fluoranthene</t>
  </si>
  <si>
    <t>50-76-0</t>
  </si>
  <si>
    <t>Actinomycin D</t>
  </si>
  <si>
    <t>2-Chloronaphthalene</t>
  </si>
  <si>
    <t>91-58-7</t>
  </si>
  <si>
    <t>1596-84-5</t>
  </si>
  <si>
    <t>Alar</t>
  </si>
  <si>
    <t>Chrysene</t>
  </si>
  <si>
    <t>309-00-2</t>
  </si>
  <si>
    <t>Aldrin</t>
  </si>
  <si>
    <t>Dibenz[a,h]anthracene</t>
  </si>
  <si>
    <t>107-05-1</t>
  </si>
  <si>
    <t>Allyl chloride</t>
  </si>
  <si>
    <t>Fluoranthene</t>
  </si>
  <si>
    <t>7429-90-5</t>
  </si>
  <si>
    <t>Aluminum and compounds</t>
  </si>
  <si>
    <t>Fluorene</t>
  </si>
  <si>
    <t>1344-28-1</t>
  </si>
  <si>
    <t>Aluminum oxide (fibrous forms)</t>
  </si>
  <si>
    <t>Indeno[1,2,3-cd]pyrene</t>
  </si>
  <si>
    <t>97-56-3</t>
  </si>
  <si>
    <t>ortho-Aminoazotoluene</t>
  </si>
  <si>
    <t>2-Methyl naphthalene</t>
  </si>
  <si>
    <t>6109-97-3</t>
  </si>
  <si>
    <t>3-Amino-9-ethylcarbazole hydrochloride</t>
  </si>
  <si>
    <t>Perylene</t>
  </si>
  <si>
    <t>68006-83-7</t>
  </si>
  <si>
    <t>2-Amino-3-methyl-9H pyrido[2,3-b]indole</t>
  </si>
  <si>
    <t>Phenanthrene</t>
  </si>
  <si>
    <t>82-28-0</t>
  </si>
  <si>
    <t>1-Amino-2-methylanthraquinone</t>
  </si>
  <si>
    <t>Pyrene</t>
  </si>
  <si>
    <t>76180-96-6</t>
  </si>
  <si>
    <t>2-Amino-3-methylimidazo-[4,5-f]quinoline</t>
  </si>
  <si>
    <t>712-68-5</t>
  </si>
  <si>
    <t>2-Amino-5-(5-Nitro-2-Furyl)-1,3,4-Thiadiazol</t>
  </si>
  <si>
    <t>26148-68-5</t>
  </si>
  <si>
    <t>A-alpha-c(2-amino-9h-pyrido[2,3-b]indole)</t>
  </si>
  <si>
    <t>92-67-1</t>
  </si>
  <si>
    <t>4-Aminobiphenyl</t>
  </si>
  <si>
    <t>3-Methylcholanthrene</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</si>
  <si>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</si>
  <si>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</si>
  <si>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</si>
  <si>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</si>
  <si>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</si>
  <si>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</si>
  <si>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</si>
  <si>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</si>
  <si>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</si>
  <si>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</si>
  <si>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</si>
  <si>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</si>
  <si>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</si>
  <si>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</si>
  <si>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</si>
  <si>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</si>
  <si>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</si>
  <si>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</si>
  <si>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</si>
  <si>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</si>
  <si>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</si>
  <si>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</si>
  <si>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</si>
  <si>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</si>
  <si>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</si>
  <si>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</si>
  <si>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</si>
  <si>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</si>
  <si>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</si>
  <si>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</si>
  <si>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</si>
  <si>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</si>
  <si>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</si>
  <si>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</si>
  <si>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</si>
  <si>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</si>
  <si>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</si>
  <si>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</si>
  <si>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</si>
  <si>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</si>
  <si>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</si>
  <si>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</si>
  <si>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</si>
  <si>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</si>
  <si>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</si>
  <si>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</si>
  <si>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</si>
  <si>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</si>
  <si>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</si>
  <si>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</si>
  <si>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</si>
  <si>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</si>
  <si>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</si>
  <si>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</si>
  <si>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</si>
  <si>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</si>
  <si>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</si>
  <si>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</si>
  <si>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</si>
  <si>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</si>
  <si>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</si>
  <si>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</si>
  <si>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</si>
  <si>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</si>
  <si>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</si>
  <si>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</si>
  <si>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</si>
  <si>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</si>
  <si>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</si>
  <si>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</si>
  <si>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</si>
  <si>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</si>
  <si>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</si>
  <si>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</si>
  <si>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</si>
  <si>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</si>
  <si>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</si>
  <si>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</si>
  <si>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</si>
  <si>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</si>
  <si>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</si>
  <si>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</si>
  <si>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</si>
  <si>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</si>
  <si>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</si>
  <si>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</si>
  <si>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</si>
  <si>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</si>
  <si>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</si>
  <si>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</si>
  <si>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</si>
  <si>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</si>
  <si>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</si>
  <si>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</si>
  <si>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</si>
  <si>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</si>
  <si>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</si>
  <si>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</si>
  <si>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</si>
  <si>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</si>
  <si>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</si>
  <si>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</si>
  <si>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</si>
  <si>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</si>
  <si>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</si>
  <si>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</si>
  <si>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</si>
  <si>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</si>
  <si>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</si>
  <si>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</si>
  <si>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</si>
  <si>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</si>
  <si>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</si>
  <si>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</si>
  <si>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</si>
  <si>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</si>
  <si>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</si>
  <si>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</si>
  <si>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</si>
  <si>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</si>
  <si>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</si>
  <si>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</si>
  <si>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</si>
  <si>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</si>
  <si>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</si>
  <si>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</si>
  <si>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</si>
  <si>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</si>
  <si>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</si>
  <si>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</si>
  <si>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</si>
  <si>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</si>
  <si>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</si>
  <si>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</si>
  <si>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</si>
  <si>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</si>
  <si>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</si>
  <si>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</si>
  <si>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</si>
  <si>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</si>
  <si>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</si>
  <si>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</si>
  <si>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</si>
  <si>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</si>
  <si>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</si>
  <si>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</si>
  <si>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</si>
  <si>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</si>
  <si>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</si>
  <si>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</si>
  <si>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</si>
  <si>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</si>
  <si>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</si>
  <si>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</si>
  <si>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</si>
  <si>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</si>
  <si>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</si>
  <si>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</si>
  <si>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</si>
  <si>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</si>
  <si>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</si>
  <si>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</si>
  <si>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</si>
  <si>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</si>
  <si>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</si>
  <si>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</si>
  <si>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</si>
  <si>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</si>
  <si>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</si>
  <si>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</si>
  <si>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</si>
  <si>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</si>
  <si>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</si>
  <si>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</si>
  <si>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</si>
  <si>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</si>
  <si>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</si>
  <si>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</si>
  <si>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</si>
  <si>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</si>
  <si>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</si>
  <si>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</si>
  <si>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</si>
  <si>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</si>
  <si>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</si>
  <si>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</si>
  <si>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</si>
  <si>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</si>
  <si>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</si>
  <si>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</si>
  <si>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Chromium VI, chromate, and dichromate particulate</t>
  </si>
  <si>
    <t>1333-82-0</t>
  </si>
  <si>
    <t>Chromium trioxide</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</si>
  <si>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</si>
  <si>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</si>
  <si>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</si>
  <si>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</si>
  <si>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</si>
  <si>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</si>
  <si>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</si>
  <si>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</si>
  <si>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</si>
  <si>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</si>
  <si>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</si>
  <si>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</si>
  <si>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</si>
  <si>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</si>
  <si>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</si>
  <si>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m-Cresol</t>
  </si>
  <si>
    <t>95-48-7</t>
  </si>
  <si>
    <t>o-Cresol</t>
  </si>
  <si>
    <t>106-44-5</t>
  </si>
  <si>
    <t>p-Cresol</t>
  </si>
  <si>
    <t>4170-30-3</t>
  </si>
  <si>
    <t>Crotonaldehyde</t>
  </si>
  <si>
    <t>80-15-9</t>
  </si>
  <si>
    <t>Cumene hydroperoxide</t>
  </si>
  <si>
    <t>135-20-6</t>
  </si>
  <si>
    <t>Cupferron</t>
  </si>
  <si>
    <t>57-12-5</t>
  </si>
  <si>
    <t>Cyanide compounds</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</si>
  <si>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</si>
  <si>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</si>
  <si>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</si>
  <si>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</si>
  <si>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</si>
  <si>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</si>
  <si>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</si>
  <si>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</si>
  <si>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</si>
  <si>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</si>
  <si>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</si>
  <si>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</si>
  <si>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</si>
  <si>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</si>
  <si>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</si>
  <si>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</si>
  <si>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</si>
  <si>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</si>
  <si>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</si>
  <si>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</si>
  <si>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</si>
  <si>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</si>
  <si>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</si>
  <si>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</si>
  <si>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</si>
  <si>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</si>
  <si>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</si>
  <si>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</si>
  <si>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</si>
  <si>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</si>
  <si>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</si>
  <si>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</si>
  <si>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</si>
  <si>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</si>
  <si>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</si>
  <si>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</si>
  <si>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</si>
  <si>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</si>
  <si>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</si>
  <si>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</si>
  <si>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</si>
  <si>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</si>
  <si>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</si>
  <si>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</si>
  <si>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</si>
  <si>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</si>
  <si>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</si>
  <si>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</si>
  <si>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</si>
  <si>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</si>
  <si>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</si>
  <si>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</si>
  <si>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</si>
  <si>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</si>
  <si>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</si>
  <si>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</si>
  <si>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</si>
  <si>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</si>
  <si>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</si>
  <si>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</si>
  <si>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</si>
  <si>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</si>
  <si>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</si>
  <si>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</si>
  <si>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</si>
  <si>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</si>
  <si>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</si>
  <si>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</si>
  <si>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</si>
  <si>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</si>
  <si>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</si>
  <si>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</si>
  <si>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</si>
  <si>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</si>
  <si>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</si>
  <si>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</si>
  <si>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</si>
  <si>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</si>
  <si>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</si>
  <si>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</si>
  <si>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</si>
  <si>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</si>
  <si>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</si>
  <si>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</si>
  <si>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</si>
  <si>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</si>
  <si>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</si>
  <si>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</si>
  <si>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</si>
  <si>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</si>
  <si>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</si>
  <si>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</si>
  <si>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</si>
  <si>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</si>
  <si>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</si>
  <si>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</si>
  <si>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</si>
  <si>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</si>
  <si>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</si>
  <si>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</si>
  <si>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</si>
  <si>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</si>
  <si>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</si>
  <si>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</si>
  <si>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</si>
  <si>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</si>
  <si>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</si>
  <si>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</si>
  <si>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</si>
  <si>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</si>
  <si>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</si>
  <si>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</si>
  <si>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</si>
  <si>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</si>
  <si>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</si>
  <si>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</si>
  <si>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</si>
  <si>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</si>
  <si>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</si>
  <si>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</si>
  <si>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</si>
  <si>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</si>
  <si>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</si>
  <si>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</si>
  <si>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</si>
  <si>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</si>
  <si>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</si>
  <si>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</si>
  <si>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</si>
  <si>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</si>
  <si>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</si>
  <si>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</si>
  <si>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</si>
  <si>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</si>
  <si>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</si>
  <si>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</si>
  <si>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</si>
  <si>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</si>
  <si>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</si>
  <si>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</si>
  <si>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</si>
  <si>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</si>
  <si>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</si>
  <si>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</si>
  <si>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</si>
  <si>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</si>
  <si>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</si>
  <si>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</si>
  <si>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</si>
  <si>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</si>
  <si>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</si>
  <si>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</si>
  <si>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</si>
  <si>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</si>
  <si>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</si>
  <si>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</si>
  <si>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</si>
  <si>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</si>
  <si>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</si>
  <si>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</si>
  <si>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</si>
  <si>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</si>
  <si>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</si>
  <si>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</si>
  <si>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</si>
  <si>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</si>
  <si>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</si>
  <si>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</si>
  <si>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</si>
  <si>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</si>
  <si>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</si>
  <si>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</si>
  <si>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</si>
  <si>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</si>
  <si>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</si>
  <si>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</si>
  <si>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</si>
  <si>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</si>
  <si>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</si>
  <si>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</si>
  <si>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</si>
  <si>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</si>
  <si>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</si>
  <si>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</si>
  <si>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</si>
  <si>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</si>
  <si>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</si>
  <si>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</si>
  <si>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</si>
  <si>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</si>
  <si>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</si>
  <si>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</si>
  <si>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</si>
  <si>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</si>
  <si>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</si>
  <si>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</si>
  <si>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</si>
  <si>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</si>
  <si>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</si>
  <si>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</si>
  <si>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</si>
  <si>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</si>
  <si>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</si>
  <si>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</si>
  <si>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</si>
  <si>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</si>
  <si>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</si>
  <si>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</si>
  <si>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</si>
  <si>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</si>
  <si>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</si>
  <si>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</si>
  <si>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</si>
  <si>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</si>
  <si>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</si>
  <si>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</si>
  <si>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</si>
  <si>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</si>
  <si>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</si>
  <si>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</si>
  <si>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</si>
  <si>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</si>
  <si>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</si>
  <si>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</si>
  <si>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</si>
  <si>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</si>
  <si>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</si>
  <si>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</si>
  <si>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</si>
  <si>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</si>
  <si>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</si>
  <si>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</si>
  <si>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</si>
  <si>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</si>
  <si>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</si>
  <si>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</si>
  <si>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</si>
  <si>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</si>
  <si>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</si>
  <si>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</si>
  <si>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</si>
  <si>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</si>
  <si>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</si>
  <si>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</si>
  <si>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</si>
  <si>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</si>
  <si>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</si>
  <si>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</si>
  <si>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</si>
  <si>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</si>
  <si>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</si>
  <si>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</si>
  <si>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</si>
  <si>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</si>
  <si>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</si>
  <si>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</si>
  <si>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</si>
  <si>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</si>
  <si>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</si>
  <si>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</si>
  <si>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</si>
  <si>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</si>
  <si>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</si>
  <si>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</si>
  <si>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</si>
  <si>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</si>
  <si>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</si>
  <si>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</si>
  <si>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</si>
  <si>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</si>
  <si>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</si>
  <si>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</si>
  <si>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</si>
  <si>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</si>
  <si>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</si>
  <si>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</si>
  <si>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</si>
  <si>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</si>
  <si>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</si>
  <si>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</si>
  <si>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</si>
  <si>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</si>
  <si>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</si>
  <si>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</si>
  <si>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</si>
  <si>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</si>
  <si>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</si>
  <si>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</si>
  <si>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</si>
  <si>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</si>
  <si>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</si>
  <si>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</si>
  <si>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</si>
  <si>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</si>
  <si>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</si>
  <si>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</si>
  <si>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</si>
  <si>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Diethylmercury</t>
  </si>
  <si>
    <t>593-74-8</t>
  </si>
  <si>
    <t>Dimethylmercury</t>
  </si>
  <si>
    <t>22967-92-6</t>
  </si>
  <si>
    <t>Methylmercury</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</si>
  <si>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</si>
  <si>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</si>
  <si>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</si>
  <si>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</si>
  <si>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</si>
  <si>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</si>
  <si>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</si>
  <si>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</si>
  <si>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</si>
  <si>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</si>
  <si>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</si>
  <si>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</si>
  <si>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</si>
  <si>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</si>
  <si>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</si>
  <si>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</si>
  <si>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</si>
  <si>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</si>
  <si>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</si>
  <si>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</si>
  <si>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</si>
  <si>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</si>
  <si>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</si>
  <si>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</si>
  <si>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</si>
  <si>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</si>
  <si>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</si>
  <si>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</si>
  <si>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</si>
  <si>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</si>
  <si>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</si>
  <si>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</si>
  <si>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</si>
  <si>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</si>
  <si>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</si>
  <si>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</si>
  <si>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</si>
  <si>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</si>
  <si>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</si>
  <si>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1-Methylphenanthrene</t>
  </si>
  <si>
    <t>2381-21-7</t>
  </si>
  <si>
    <t>1-Methylpyrene</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</si>
  <si>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</si>
  <si>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</si>
  <si>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</si>
  <si>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</si>
  <si>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</si>
  <si>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</si>
  <si>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</si>
  <si>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</si>
  <si>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</si>
  <si>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</si>
  <si>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</si>
  <si>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</si>
  <si>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</si>
  <si>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</si>
  <si>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</si>
  <si>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</si>
  <si>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</si>
  <si>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</si>
  <si>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91-59-8</t>
  </si>
  <si>
    <t>2-Naphthylamine</t>
  </si>
  <si>
    <t>91-20-3</t>
  </si>
  <si>
    <t>Naphthalene</t>
  </si>
  <si>
    <t>7440-02-0</t>
  </si>
  <si>
    <t>Nickel and compounds</t>
  </si>
  <si>
    <t>Nickel compounds, insoluble</t>
  </si>
  <si>
    <t>1313-99-1</t>
  </si>
  <si>
    <t>Nickel oxide</t>
  </si>
  <si>
    <t>12035-72-2</t>
  </si>
  <si>
    <t>Nickel subsulfide</t>
  </si>
  <si>
    <t>11113-75-0</t>
  </si>
  <si>
    <t>Nickel sulfide</t>
  </si>
  <si>
    <t>Nickel compounds, soluble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</si>
  <si>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</si>
  <si>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</si>
  <si>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</si>
  <si>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</si>
  <si>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</si>
  <si>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</si>
  <si>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</si>
  <si>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</si>
  <si>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</si>
  <si>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</si>
  <si>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</si>
  <si>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</si>
  <si>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</si>
  <si>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</si>
  <si>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</si>
  <si>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</si>
  <si>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</si>
  <si>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</si>
  <si>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</si>
  <si>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</si>
  <si>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</si>
  <si>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</si>
  <si>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</si>
  <si>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</si>
  <si>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</si>
  <si>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</si>
  <si>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</si>
  <si>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</si>
  <si>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</si>
  <si>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</si>
  <si>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</si>
  <si>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</si>
  <si>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</si>
  <si>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</si>
  <si>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</si>
  <si>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</si>
  <si>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</si>
  <si>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</si>
  <si>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</si>
  <si>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</si>
  <si>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</si>
  <si>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</si>
  <si>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</si>
  <si>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</si>
  <si>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</si>
  <si>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</si>
  <si>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</si>
  <si>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</si>
  <si>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</si>
  <si>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</si>
  <si>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</si>
  <si>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</si>
  <si>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</si>
  <si>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</si>
  <si>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</si>
  <si>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</si>
  <si>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</si>
  <si>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</si>
  <si>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</si>
  <si>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</si>
  <si>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</si>
  <si>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</si>
  <si>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</si>
  <si>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</si>
  <si>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</si>
  <si>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</si>
  <si>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</si>
  <si>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</si>
  <si>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</si>
  <si>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</si>
  <si>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</si>
  <si>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</si>
  <si>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</si>
  <si>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</si>
  <si>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</si>
  <si>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</si>
  <si>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</si>
  <si>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</si>
  <si>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</si>
  <si>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trans-Nonachlor</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</si>
  <si>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</si>
  <si>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</si>
  <si>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</si>
  <si>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</si>
  <si>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</si>
  <si>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</si>
  <si>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</si>
  <si>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</si>
  <si>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</si>
  <si>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</si>
  <si>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</si>
  <si>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</si>
  <si>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</si>
  <si>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</si>
  <si>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Perfluorinated compounds (PFCs)</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</si>
  <si>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</si>
  <si>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</si>
  <si>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</si>
  <si>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</si>
  <si>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</si>
  <si>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</si>
  <si>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</si>
  <si>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</si>
  <si>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</si>
  <si>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</si>
  <si>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</si>
  <si>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</si>
  <si>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</si>
  <si>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</si>
  <si>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</si>
  <si>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</si>
  <si>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</si>
  <si>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</si>
  <si>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</si>
  <si>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</si>
  <si>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</si>
  <si>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</si>
  <si>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</si>
  <si>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</si>
  <si>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</si>
  <si>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2-Phenylphenol</t>
  </si>
  <si>
    <t>75-44-5</t>
  </si>
  <si>
    <t>Phosgene</t>
  </si>
  <si>
    <t>7803-51-2</t>
  </si>
  <si>
    <t>Phosphine</t>
  </si>
  <si>
    <t>7664-38-2</t>
  </si>
  <si>
    <t>Phosphoric acid</t>
  </si>
  <si>
    <t>7723-14-0</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</si>
  <si>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</si>
  <si>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</si>
  <si>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</si>
  <si>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</si>
  <si>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</si>
  <si>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</si>
  <si>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</si>
  <si>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</si>
  <si>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</si>
  <si>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</si>
  <si>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</si>
  <si>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</si>
  <si>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</si>
  <si>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</si>
  <si>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Polybrominated diphenyl ethers (PBDEs)</t>
  </si>
  <si>
    <t>5436-43-1</t>
  </si>
  <si>
    <t>PBDE-47 [2,2',4,4'-Tetrabromodiphenyl ether]</t>
  </si>
  <si>
    <t>60348-60-9</t>
  </si>
  <si>
    <t>PBDE-99 [2,2’,4,4’,5-Pentabromodiphenyl ether]</t>
  </si>
  <si>
    <t>189084-64-8</t>
  </si>
  <si>
    <t>PBDE-100 [2,2’,4,4’,6-Pentabromodiphenyl ether]</t>
  </si>
  <si>
    <t>17026-54-3</t>
  </si>
  <si>
    <t>PBDE-138 [2,2’,3,4,4’,5’-Hexabromodiphenyl ether]</t>
  </si>
  <si>
    <t>68631-49-2</t>
  </si>
  <si>
    <t>PBDE-153 [2,2',4,4',5,5'-hexabromodiphenyl ether]</t>
  </si>
  <si>
    <t>17026-58-4</t>
  </si>
  <si>
    <t>PBDE-154 [2,2’,4,4’,5,6’-Hexabromodiphenyl ether]</t>
  </si>
  <si>
    <t>68928-80-3</t>
  </si>
  <si>
    <t>PBDE-185 [2,2',3,4,4',5',6-Heptabromodiphenyl ether]</t>
  </si>
  <si>
    <t>1163-19-5</t>
  </si>
  <si>
    <t>PBDE-209 [Decabromodiphenyl ether]</t>
  </si>
  <si>
    <t>1336-36-3</t>
  </si>
  <si>
    <t>Polychlorinated biphenyls (PCBs)</t>
  </si>
  <si>
    <t>Polychlorinated biphenyls (PCBs) TEQ</t>
  </si>
  <si>
    <t>34883-43-7</t>
  </si>
  <si>
    <t>PCB-8 [2,4'-dichlorobiphenyl]</t>
  </si>
  <si>
    <t>37680-65-2</t>
  </si>
  <si>
    <t>PCB 18 [2,2',5-trichlorobiphenyl]</t>
  </si>
  <si>
    <t>7012-37-5</t>
  </si>
  <si>
    <t>PCB-28 [2,4,4'-trichlorobiphenyl]</t>
  </si>
  <si>
    <t>41464-39-5</t>
  </si>
  <si>
    <t>PCB-44 [2,2',3,5'-tetrachlorobiphenyl]</t>
  </si>
  <si>
    <t>35693-99-3</t>
  </si>
  <si>
    <t>PCB-52 [2,2',5,5'-tetrachlorobiphenyl]</t>
  </si>
  <si>
    <t>32598-10-0</t>
  </si>
  <si>
    <t>PCB-66 [2,3',4,4'-tetrachlorobiphenyl]</t>
  </si>
  <si>
    <t>32598-13-3</t>
  </si>
  <si>
    <t>PCB 77 [3,3',4,4'-tetrachlorobiphenyl]</t>
  </si>
  <si>
    <t>70362-50-4</t>
  </si>
  <si>
    <t>PCB 81 [3,4,4',5-tetrachlorobiphenyl]</t>
  </si>
  <si>
    <t>37680-73-2</t>
  </si>
  <si>
    <t>PCB-101 [2,2',4,5,5'-pentachlorobiphenyl]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</si>
  <si>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</si>
  <si>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</si>
  <si>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</si>
  <si>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</si>
  <si>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</si>
  <si>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</si>
  <si>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</si>
  <si>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</si>
  <si>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</si>
  <si>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</si>
  <si>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</si>
  <si>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</si>
  <si>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</si>
  <si>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PCB-138 [2,2',3,4,4',5'-hexachlorobiphenyl]</t>
  </si>
  <si>
    <t>35065-27-1</t>
  </si>
  <si>
    <t>PCB-153 [2,2',4,4',5,5'-hexachlorobiphenyl]</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</si>
  <si>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</si>
  <si>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</si>
  <si>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</si>
  <si>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</si>
  <si>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</si>
  <si>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</si>
  <si>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</si>
  <si>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</si>
  <si>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</si>
  <si>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</si>
  <si>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</si>
  <si>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PCB-180 [2,2',3,4,4',5,5'-heptachlorobiphenyl]</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</si>
  <si>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</si>
  <si>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</si>
  <si>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</si>
  <si>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</si>
  <si>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</si>
  <si>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</si>
  <si>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</si>
  <si>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</si>
  <si>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</si>
  <si>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</si>
  <si>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Polychlorinated dibenzo-p-dioxins (PCDDs) &amp; dibenzofurans (PCDFs) TEQ</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</si>
  <si>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</si>
  <si>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</si>
  <si>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</si>
  <si>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</si>
  <si>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</si>
  <si>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</si>
  <si>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</si>
  <si>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</si>
  <si>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</si>
  <si>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</si>
  <si>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</si>
  <si>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</si>
  <si>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</si>
  <si>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</si>
  <si>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</si>
  <si>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</si>
  <si>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</si>
  <si>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</si>
  <si>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</si>
  <si>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</si>
  <si>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</si>
  <si>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</si>
  <si>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</si>
  <si>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</si>
  <si>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</si>
  <si>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</si>
  <si>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</si>
  <si>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</si>
  <si>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</si>
  <si>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</si>
  <si>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</si>
  <si>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</si>
  <si>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</si>
  <si>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</si>
  <si>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Polycyclic aromatic hydrocarbons (PAHs)</t>
  </si>
  <si>
    <t>83-32-9</t>
  </si>
  <si>
    <t>208-96-8</t>
  </si>
  <si>
    <t>120-12-7</t>
  </si>
  <si>
    <t>191-26-4</t>
  </si>
  <si>
    <t>Anthanthrene</t>
  </si>
  <si>
    <t>56-55-3</t>
  </si>
  <si>
    <t>50-32-8</t>
  </si>
  <si>
    <t>205-99-2</t>
  </si>
  <si>
    <t>205-12-9</t>
  </si>
  <si>
    <t>Benzo[c]fluorene</t>
  </si>
  <si>
    <t>192-97-2</t>
  </si>
  <si>
    <t>191-24-2</t>
  </si>
  <si>
    <t>205-82-3</t>
  </si>
  <si>
    <t>Benzo[j]fluoranthene</t>
  </si>
  <si>
    <t>207-08-9</t>
  </si>
  <si>
    <t>86-74-8</t>
  </si>
  <si>
    <t>Carbazole</t>
  </si>
  <si>
    <t>218-01-9</t>
  </si>
  <si>
    <t>27208-37-3</t>
  </si>
  <si>
    <t>Cyclopenta[c,d]pyrene</t>
  </si>
  <si>
    <t>226-36-8</t>
  </si>
  <si>
    <t>Dibenz[a,h]acridine</t>
  </si>
  <si>
    <t>224-42-0</t>
  </si>
  <si>
    <t>Dibenz[a,j]acridine</t>
  </si>
  <si>
    <t>194-59-2</t>
  </si>
  <si>
    <t>7H-Dibenzo[c,g]carbazole</t>
  </si>
  <si>
    <t>53-70-3</t>
  </si>
  <si>
    <t>5385-75-1</t>
  </si>
  <si>
    <t>Dibenzo[a,e]fluoranthene</t>
  </si>
  <si>
    <t>192-65-4</t>
  </si>
  <si>
    <t>Dibenzo[a,e]pyrene</t>
  </si>
  <si>
    <t>189-64-0</t>
  </si>
  <si>
    <t>Dibenzo[a,h]pyrene</t>
  </si>
  <si>
    <t>189-55-9</t>
  </si>
  <si>
    <t>Dibenzo[a,i]pyrene</t>
  </si>
  <si>
    <t>191-30-0</t>
  </si>
  <si>
    <t>Dibenzo[a,l]pyrene</t>
  </si>
  <si>
    <t>206-44-0</t>
  </si>
  <si>
    <t>86-73-7</t>
  </si>
  <si>
    <t>193-39-5</t>
  </si>
  <si>
    <t>91-57-6</t>
  </si>
  <si>
    <t>198-55-0</t>
  </si>
  <si>
    <t>85-01-8</t>
  </si>
  <si>
    <t>129-00-0</t>
  </si>
  <si>
    <t>Polycyclic aromatic hydrocarbon derivatives [PAH-Derivatives]</t>
  </si>
  <si>
    <t>53-96-3</t>
  </si>
  <si>
    <t>2-Acetylaminofluorene</t>
  </si>
  <si>
    <t>117-79-3</t>
  </si>
  <si>
    <t>2-Aminoanthraquinone</t>
  </si>
  <si>
    <t>63-25-2</t>
  </si>
  <si>
    <t>Carbaryl</t>
  </si>
  <si>
    <t>57-97-6</t>
  </si>
  <si>
    <t>7,12-Dimethylbenz[a]anthracene</t>
  </si>
  <si>
    <t>42397-64-8</t>
  </si>
  <si>
    <t>1,6-Dinitropyrene</t>
  </si>
  <si>
    <t>42397-65-9</t>
  </si>
  <si>
    <t>1,8-Dinitropyrene</t>
  </si>
  <si>
    <t>56-49-5</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</si>
  <si>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</si>
  <si>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</si>
  <si>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</si>
  <si>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</si>
  <si>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</si>
  <si>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</si>
  <si>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</si>
  <si>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</si>
  <si>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</si>
  <si>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</si>
  <si>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</si>
  <si>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</si>
  <si>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</si>
  <si>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</si>
  <si>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</si>
  <si>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</si>
  <si>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</si>
  <si>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</si>
  <si>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</si>
  <si>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</si>
  <si>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</si>
  <si>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</si>
  <si>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</si>
  <si>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</si>
  <si>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</si>
  <si>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</si>
  <si>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</si>
  <si>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</si>
  <si>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</si>
  <si>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</si>
  <si>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</si>
  <si>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</si>
  <si>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</si>
  <si>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</si>
  <si>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</si>
  <si>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</si>
  <si>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</si>
  <si>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</si>
  <si>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</si>
  <si>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</si>
  <si>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</si>
  <si>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</si>
  <si>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</si>
  <si>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</si>
  <si>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</si>
  <si>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</si>
  <si>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</si>
  <si>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</si>
  <si>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</si>
  <si>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</si>
  <si>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Radionuclides</t>
  </si>
  <si>
    <t>Radon and its decay products</t>
  </si>
  <si>
    <t>Refractory Ceramic Fibers</t>
  </si>
  <si>
    <t>50-55-5</t>
  </si>
  <si>
    <t>Reserpine</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</si>
  <si>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</si>
  <si>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</si>
  <si>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</si>
  <si>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</si>
  <si>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</si>
  <si>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</si>
  <si>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</si>
  <si>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</si>
  <si>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</si>
  <si>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</si>
  <si>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</si>
  <si>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</si>
  <si>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</si>
  <si>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</si>
  <si>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</si>
  <si>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</si>
  <si>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</si>
  <si>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</si>
  <si>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</si>
  <si>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</si>
  <si>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</si>
  <si>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</si>
  <si>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</si>
  <si>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</si>
  <si>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</si>
  <si>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</si>
  <si>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</si>
  <si>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</si>
  <si>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</si>
  <si>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</si>
  <si>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</si>
  <si>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</si>
  <si>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</si>
  <si>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</si>
  <si>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</si>
  <si>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</si>
  <si>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</si>
  <si>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</si>
  <si>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</si>
  <si>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</si>
  <si>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</si>
  <si>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</si>
  <si>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</si>
  <si>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</si>
  <si>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</si>
  <si>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</si>
  <si>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</si>
  <si>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</si>
  <si>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</si>
  <si>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</si>
  <si>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</si>
  <si>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</si>
  <si>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</si>
  <si>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</si>
  <si>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</si>
  <si>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</si>
  <si>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</si>
  <si>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</si>
  <si>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</si>
  <si>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</si>
  <si>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</si>
  <si>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</si>
  <si>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</si>
  <si>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</si>
  <si>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</si>
  <si>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</si>
  <si>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</si>
  <si>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</si>
  <si>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</si>
  <si>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</si>
  <si>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Total Tetrachlorodibenzo-p-dioxin</t>
  </si>
  <si>
    <t>36088-22-9</t>
  </si>
  <si>
    <t>Total Pentachlorodibenzo-p-dioxin</t>
  </si>
  <si>
    <t>34465-46-8</t>
  </si>
  <si>
    <t>Total Hexachlorodibenzo-p-dioxin</t>
  </si>
  <si>
    <t>37871-00-4</t>
  </si>
  <si>
    <t>Total Heptachlorodibenzo-p-dioxin</t>
  </si>
  <si>
    <t>55722-27-5</t>
  </si>
  <si>
    <t>Total Tetrachlorodibenzofuran</t>
  </si>
  <si>
    <t>30402-15-4</t>
  </si>
  <si>
    <t>Total Pentachlorodibenzofuran</t>
  </si>
  <si>
    <t>55684-94-1</t>
  </si>
  <si>
    <t>Total Hexachlorodibenzofuran</t>
  </si>
  <si>
    <t>38998-75-3</t>
  </si>
  <si>
    <t>Total Heptachlorodibenzofuran</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</si>
  <si>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</si>
  <si>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</si>
  <si>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</si>
  <si>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</si>
  <si>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</si>
  <si>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</si>
  <si>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</si>
  <si>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</si>
  <si>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</si>
  <si>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</si>
  <si>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</si>
  <si>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</si>
  <si>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</si>
  <si>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</si>
  <si>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</si>
  <si>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</si>
  <si>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</si>
  <si>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</si>
  <si>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</si>
  <si>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</si>
  <si>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</si>
  <si>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</si>
  <si>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</si>
  <si>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</si>
  <si>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</si>
  <si>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</si>
  <si>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</si>
  <si>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</si>
  <si>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</si>
  <si>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Triorthocresyl phosphate</t>
  </si>
  <si>
    <t>115-86-6</t>
  </si>
  <si>
    <t>Triphenyl phosphate</t>
  </si>
  <si>
    <t>101-02-0</t>
  </si>
  <si>
    <t>Triphenyl phosphite</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</si>
  <si>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</si>
  <si>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</si>
  <si>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</si>
  <si>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</si>
  <si>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</si>
  <si>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</si>
  <si>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</si>
  <si>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</si>
  <si>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</si>
  <si>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</si>
  <si>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</si>
  <si>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</si>
  <si>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</si>
  <si>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</si>
  <si>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</si>
  <si>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</si>
  <si>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</si>
  <si>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</si>
  <si>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</si>
  <si>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</si>
  <si>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</si>
  <si>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</si>
  <si>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</si>
  <si>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</si>
  <si>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</si>
  <si>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</si>
  <si>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</si>
  <si>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</si>
  <si>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</si>
  <si>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</si>
  <si>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</si>
  <si>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</si>
  <si>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</si>
  <si>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</si>
  <si>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</si>
  <si>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m-Xylene</t>
  </si>
  <si>
    <t>95-47-6</t>
  </si>
  <si>
    <t>o-Xylene</t>
  </si>
  <si>
    <t>106-42-3</t>
  </si>
  <si>
    <t>p-Xylene</t>
  </si>
  <si>
    <t>7440-66-6</t>
  </si>
  <si>
    <t>Zinc and compounds</t>
  </si>
  <si>
    <t>1314-13-2</t>
  </si>
  <si>
    <t>Zinc oxide</t>
  </si>
  <si>
    <t>EF Reference</t>
  </si>
  <si>
    <t xml:space="preserve"> One ND</t>
  </si>
  <si>
    <t>Three ND</t>
  </si>
  <si>
    <t>One ND</t>
  </si>
  <si>
    <t>Ethylbenzene</t>
  </si>
  <si>
    <t>lb/Mgal</t>
  </si>
  <si>
    <t>PAHs (excluding Naphthalene)</t>
  </si>
  <si>
    <t>HTR-3 Daily Distillate Consumption</t>
  </si>
  <si>
    <t>gal/day</t>
  </si>
  <si>
    <t>gal/yr</t>
  </si>
  <si>
    <t>Chemical Name</t>
  </si>
  <si>
    <t>References</t>
  </si>
  <si>
    <t>Ref. 1: January 30-31, 2020 Source Test</t>
  </si>
  <si>
    <t>Ref. 1</t>
  </si>
  <si>
    <t>Ref. 2</t>
  </si>
  <si>
    <t>Ref. 3</t>
  </si>
  <si>
    <t>Ref. 4</t>
  </si>
  <si>
    <t>Ref. 2:  Emissions Estimation Protocol for Petroleum Refineries, Version 3,  Appendix D—Emission Factors for Combustion Sources, Table D-9a. Summary of Data for Emission Factor Development – Heaters Firing Fuel Oil</t>
  </si>
  <si>
    <t>Refinery Vac System Flow Rate</t>
  </si>
  <si>
    <t>Refinery Vac System Air Temp</t>
  </si>
  <si>
    <t>ACFM</t>
  </si>
  <si>
    <t>OPS Flow Rate</t>
  </si>
  <si>
    <t>F</t>
  </si>
  <si>
    <t>OPS Temp</t>
  </si>
  <si>
    <t>Air Density @ Temp</t>
  </si>
  <si>
    <t>lb/ft3</t>
  </si>
  <si>
    <t>OPS Air Flow Rate</t>
  </si>
  <si>
    <t>Total System "Refinery Gas" Air Flow Rate</t>
  </si>
  <si>
    <t>Hydrogen Sulfide</t>
  </si>
  <si>
    <t>lb/MMCF</t>
  </si>
  <si>
    <t>Ref. 3:  Emissions Estimation Protocol for Petroleum Refineries, Version 3,  Appendix D—Emission Factors for Combustion Sources, Table D-11a. Summary of Data for Emission Factor Development – Heaters Firing Refinery Fuel Gas</t>
  </si>
  <si>
    <t>Thermal Oxidizer Burner Rating</t>
  </si>
  <si>
    <t>MMBtu/hr</t>
  </si>
  <si>
    <t>Natural Gas HHV</t>
  </si>
  <si>
    <t>Btu/ft3</t>
  </si>
  <si>
    <t>TAC</t>
  </si>
  <si>
    <t>EF (lb/MMCf)</t>
  </si>
  <si>
    <t>Emissions from natural gas combustion in TO.</t>
  </si>
  <si>
    <t>Quantity</t>
  </si>
  <si>
    <t>Valves</t>
  </si>
  <si>
    <t>Flanges</t>
  </si>
  <si>
    <t>Total</t>
  </si>
  <si>
    <t>Emission Factor*           (kg/hr/source)</t>
  </si>
  <si>
    <t>% Leaking</t>
  </si>
  <si>
    <t>Front</t>
  </si>
  <si>
    <t>In Service (hours/yr)</t>
  </si>
  <si>
    <t>In Service (hours/day)</t>
  </si>
  <si>
    <t>VOC Emissions (lb/yr)</t>
  </si>
  <si>
    <t>VOC Emission (lb/day)</t>
  </si>
  <si>
    <t>Jail</t>
  </si>
  <si>
    <t>BO</t>
  </si>
  <si>
    <t>UO</t>
  </si>
  <si>
    <t>IT</t>
  </si>
  <si>
    <t>REF</t>
  </si>
  <si>
    <t>SULF</t>
  </si>
  <si>
    <t>LPS1</t>
  </si>
  <si>
    <t>LPS2</t>
  </si>
  <si>
    <t>Pumps</t>
  </si>
  <si>
    <t>Toxic Air Contaminant</t>
  </si>
  <si>
    <t>Emissions (lb/yr)</t>
  </si>
  <si>
    <t>CAO VOC Emission Rate (lb/day)</t>
  </si>
  <si>
    <t>JAIL1</t>
  </si>
  <si>
    <t>JAIL2</t>
  </si>
  <si>
    <t>JAIL3</t>
  </si>
  <si>
    <t>JAIL4</t>
  </si>
  <si>
    <t>JAIL7</t>
  </si>
  <si>
    <t>JAIL8</t>
  </si>
  <si>
    <t>JAIL9</t>
  </si>
  <si>
    <t>CT1</t>
  </si>
  <si>
    <t>CT2</t>
  </si>
  <si>
    <t>CT3</t>
  </si>
  <si>
    <t>CT4</t>
  </si>
  <si>
    <t>TANK12</t>
  </si>
  <si>
    <t>IT100-1</t>
  </si>
  <si>
    <t>IT100-2</t>
  </si>
  <si>
    <t>IT220-2</t>
  </si>
  <si>
    <t>TK10401</t>
  </si>
  <si>
    <t>TK10402</t>
  </si>
  <si>
    <t>TK10403</t>
  </si>
  <si>
    <t>TK10404</t>
  </si>
  <si>
    <t>UO1</t>
  </si>
  <si>
    <t>UO2</t>
  </si>
  <si>
    <t>UO3</t>
  </si>
  <si>
    <t>UO4</t>
  </si>
  <si>
    <t>UO5</t>
  </si>
  <si>
    <t>UO6</t>
  </si>
  <si>
    <t>AF1</t>
  </si>
  <si>
    <t>MDO1</t>
  </si>
  <si>
    <t>WLE1</t>
  </si>
  <si>
    <t>PF2</t>
  </si>
  <si>
    <t>TK30</t>
  </si>
  <si>
    <t>Annual TAC Emissions (lb/yr)</t>
  </si>
  <si>
    <t>Daily TAC Emissions (lb/day)</t>
  </si>
  <si>
    <t>Speciation Factor wt % of TAC*</t>
  </si>
  <si>
    <t>CAO VOC* Emission Rate (lb/yr)</t>
  </si>
  <si>
    <t>* See Tank Emissions Summary</t>
  </si>
  <si>
    <t>Product Loading VOC Emission Factor (EPA, AP-42, Section 5.2, July 2008)</t>
  </si>
  <si>
    <t>VOC EF=</t>
  </si>
  <si>
    <t>(12.46 x S x P x M)</t>
  </si>
  <si>
    <t>(AP-42 Section 5.2, Equation 1)</t>
  </si>
  <si>
    <t>T</t>
  </si>
  <si>
    <t>VOC Emission factor for loading (lb/1000 gal)</t>
  </si>
  <si>
    <t>S=</t>
  </si>
  <si>
    <t>P=</t>
  </si>
  <si>
    <t>true vapor pressure in psi at the loading temperature</t>
  </si>
  <si>
    <t>M=</t>
  </si>
  <si>
    <t>molecular weight of vapor</t>
  </si>
  <si>
    <t>T=</t>
  </si>
  <si>
    <t>temperature in Rankine</t>
  </si>
  <si>
    <t>Location/Facility</t>
  </si>
  <si>
    <t>S</t>
  </si>
  <si>
    <t>VOC EF (lb/kgal)</t>
  </si>
  <si>
    <t>VOC Emissions (lb/day)</t>
  </si>
  <si>
    <t>Throughput (gal/yr)</t>
  </si>
  <si>
    <t>Product/Material</t>
  </si>
  <si>
    <t>Base Oil</t>
  </si>
  <si>
    <t>VGO</t>
  </si>
  <si>
    <t>Totals</t>
  </si>
  <si>
    <t>RTO Stack Volumetric Flow Rate</t>
  </si>
  <si>
    <t>dscfm</t>
  </si>
  <si>
    <t>(Jan. 20 ST - metals run)</t>
  </si>
  <si>
    <t>340-245-8050 Table</t>
  </si>
  <si>
    <r>
      <rPr>
        <b/>
        <sz val="12"/>
        <rFont val="Times New Roman"/>
        <family val="1"/>
      </rPr>
      <t>Risk-Based Concentrations</t>
    </r>
  </si>
  <si>
    <r>
      <rPr>
        <b/>
        <sz val="16"/>
        <rFont val="Arial"/>
        <family val="2"/>
      </rPr>
      <t xml:space="preserve">OAR 340-245-8050 Table (11-2018)
</t>
    </r>
    <r>
      <rPr>
        <b/>
        <sz val="14"/>
        <rFont val="Arial"/>
        <family val="2"/>
      </rPr>
      <t>Risk-Based Concentrations</t>
    </r>
  </si>
  <si>
    <r>
      <rPr>
        <b/>
        <sz val="8"/>
        <color rgb="FFFFFFFF"/>
        <rFont val="Arial"/>
        <family val="2"/>
      </rPr>
      <t>Residential Chronic</t>
    </r>
  </si>
  <si>
    <r>
      <rPr>
        <b/>
        <sz val="8"/>
        <color rgb="FFFFFFFF"/>
        <rFont val="Arial"/>
        <family val="2"/>
      </rPr>
      <t>Non-Residential Chronic</t>
    </r>
  </si>
  <si>
    <r>
      <rPr>
        <b/>
        <sz val="8"/>
        <color rgb="FFFFFFFF"/>
        <rFont val="Arial"/>
        <family val="2"/>
      </rPr>
      <t>Acute</t>
    </r>
  </si>
  <si>
    <r>
      <rPr>
        <b/>
        <sz val="8"/>
        <color rgb="FFFFFFFF"/>
        <rFont val="Arial"/>
        <family val="2"/>
      </rPr>
      <t>Cancer RBC</t>
    </r>
  </si>
  <si>
    <r>
      <rPr>
        <b/>
        <sz val="8"/>
        <color rgb="FFFFFFFF"/>
        <rFont val="Arial"/>
        <family val="2"/>
      </rPr>
      <t>Non- cancer RBC</t>
    </r>
  </si>
  <si>
    <r>
      <rPr>
        <b/>
        <sz val="8"/>
        <color rgb="FFFFFFFF"/>
        <rFont val="Arial"/>
        <family val="2"/>
      </rPr>
      <t>Child Cancer RBC</t>
    </r>
  </si>
  <si>
    <r>
      <rPr>
        <b/>
        <sz val="8"/>
        <color rgb="FFFFFFFF"/>
        <rFont val="Arial"/>
        <family val="2"/>
      </rPr>
      <t>Child Non- cancer RBC</t>
    </r>
  </si>
  <si>
    <r>
      <rPr>
        <b/>
        <sz val="8"/>
        <color rgb="FFFFFFFF"/>
        <rFont val="Arial"/>
        <family val="2"/>
      </rPr>
      <t>Worker Cancer RBC</t>
    </r>
  </si>
  <si>
    <r>
      <rPr>
        <b/>
        <sz val="8"/>
        <color rgb="FFFFFFFF"/>
        <rFont val="Arial"/>
        <family val="2"/>
      </rPr>
      <t>Worker Non- cancer RBC</t>
    </r>
  </si>
  <si>
    <r>
      <rPr>
        <b/>
        <sz val="8"/>
        <color rgb="FFFFFFFF"/>
        <rFont val="Arial"/>
        <family val="2"/>
      </rPr>
      <t>CAS#</t>
    </r>
  </si>
  <si>
    <r>
      <rPr>
        <b/>
        <sz val="8"/>
        <color rgb="FFFFFFFF"/>
        <rFont val="Arial"/>
        <family val="2"/>
      </rPr>
      <t>Chemical</t>
    </r>
  </si>
  <si>
    <r>
      <rPr>
        <b/>
        <sz val="8"/>
        <color rgb="FFFFFFFF"/>
        <rFont val="Arial"/>
        <family val="2"/>
      </rPr>
      <t>Notes</t>
    </r>
  </si>
  <si>
    <r>
      <rPr>
        <b/>
        <sz val="8"/>
        <color rgb="FFFFFFFF"/>
        <rFont val="Arial"/>
        <family val="2"/>
      </rPr>
      <t>(µg/m</t>
    </r>
    <r>
      <rPr>
        <b/>
        <vertAlign val="superscript"/>
        <sz val="5"/>
        <color rgb="FFFFFFFF"/>
        <rFont val="Arial"/>
        <family val="2"/>
      </rPr>
      <t>3</t>
    </r>
    <r>
      <rPr>
        <b/>
        <sz val="8"/>
        <color rgb="FFFFFFFF"/>
        <rFont val="Arial"/>
        <family val="2"/>
      </rPr>
      <t>)</t>
    </r>
  </si>
  <si>
    <t>g</t>
  </si>
  <si>
    <t>l</t>
  </si>
  <si>
    <t>i</t>
  </si>
  <si>
    <t>c</t>
  </si>
  <si>
    <t>c, l</t>
  </si>
  <si>
    <t>j</t>
  </si>
  <si>
    <t>Chromium VI, chromate and dichromate particulate</t>
  </si>
  <si>
    <t>c, d</t>
  </si>
  <si>
    <t>Chromium VI, chromic acid aerosol mist</t>
  </si>
  <si>
    <t>COKE_OVEN</t>
  </si>
  <si>
    <t>Cyanide, Hydrogen</t>
  </si>
  <si>
    <t>e</t>
  </si>
  <si>
    <t>DPM</t>
  </si>
  <si>
    <t>f</t>
  </si>
  <si>
    <t>NI_S</t>
  </si>
  <si>
    <t>Oleum</t>
  </si>
  <si>
    <t>PBDE</t>
  </si>
  <si>
    <t>h</t>
  </si>
  <si>
    <t>PCB_TEQ</t>
  </si>
  <si>
    <t>PCDD_TEQ</t>
  </si>
  <si>
    <t>2,3,4,6,7,8-Hexachlorodibenzofuran  (HxCDF)</t>
  </si>
  <si>
    <t>PAH</t>
  </si>
  <si>
    <t>c, g</t>
  </si>
  <si>
    <t>RCF</t>
  </si>
  <si>
    <t>Sulfur Mustard</t>
  </si>
  <si>
    <t>g, k</t>
  </si>
  <si>
    <t>Sulfonation/OPS Carbon Backup</t>
  </si>
  <si>
    <t>RTO1</t>
  </si>
  <si>
    <t>TLOAD1</t>
  </si>
  <si>
    <t>To Carbon</t>
  </si>
  <si>
    <t>TLOAD</t>
  </si>
  <si>
    <t>Analyte</t>
  </si>
  <si>
    <t>Light Ends</t>
  </si>
  <si>
    <t>Wastewater</t>
  </si>
  <si>
    <t>Used Motor Oil</t>
  </si>
  <si>
    <t>Flux</t>
  </si>
  <si>
    <t>Wt. %</t>
  </si>
  <si>
    <t>Benzo(a)anthracene</t>
  </si>
  <si>
    <t>Benzo(a)pyrene</t>
  </si>
  <si>
    <t>Benzo(g,h,i)perylene</t>
  </si>
  <si>
    <t>Benzo(k)fluoranthene</t>
  </si>
  <si>
    <t>Benzo(b)fluoranthene</t>
  </si>
  <si>
    <t>Dibenzo (a,h) anthracene</t>
  </si>
  <si>
    <t>Indeno(1,2,3-cd)pyrene</t>
  </si>
  <si>
    <t>Cresols, Total</t>
  </si>
  <si>
    <t>m,p-Xylene</t>
  </si>
  <si>
    <t>MIBK</t>
  </si>
  <si>
    <t>ND</t>
  </si>
  <si>
    <t>PPM by Weight</t>
  </si>
  <si>
    <t>1,1´-Biphenyl</t>
  </si>
  <si>
    <t>7,12-Dimethylbenz(a)anthracene</t>
  </si>
  <si>
    <t>Benzo(e)pyrene</t>
  </si>
  <si>
    <t>Note: The analytical report identified the analyte "m7p-cresol" as being detected in the wastewater sample at 13 mg/l.  This analyte was renamed above to "Cresols (mixture), including m-cresol, o-cresol, p-cresol" to align with CAO nomenclature.</t>
  </si>
  <si>
    <t>Analytical report name of isopropylbenzene changed to Isopropylbenzene (Cumene)</t>
  </si>
  <si>
    <t>Area Specific Component Equipment Leak VOC Emissions</t>
  </si>
  <si>
    <t>Sulfonation Flow Rate</t>
  </si>
  <si>
    <t>MW</t>
  </si>
  <si>
    <t>Carbon Disulfide</t>
  </si>
  <si>
    <t>Carbonyl Sulfide</t>
  </si>
  <si>
    <t>Refinery vent carbon adsorption backup system</t>
  </si>
  <si>
    <t>Max. Operating Parameters and Constants:</t>
  </si>
  <si>
    <t>Stnd MV at Temp</t>
  </si>
  <si>
    <t>K</t>
  </si>
  <si>
    <t>L/Mol</t>
  </si>
  <si>
    <t>Carbon System DRE</t>
  </si>
  <si>
    <t>Duration of carbon venting</t>
  </si>
  <si>
    <t>(assume 1x per week)</t>
  </si>
  <si>
    <t>Outlet lb/hr</t>
  </si>
  <si>
    <t>lb/day</t>
  </si>
  <si>
    <t>lb/yr</t>
  </si>
  <si>
    <t>Carbon Backup System Emissions</t>
  </si>
  <si>
    <t>hr/day</t>
  </si>
  <si>
    <t>Ref. 2a</t>
  </si>
  <si>
    <t>Ref. 2a:  SCAQMD Reporting Procedures for AB2588 Facilities Reporting their Quadrennial Air Toxic Emission Inventory in the Annual Emission Reporting Program, Appendix B-1, Table B-2.</t>
  </si>
  <si>
    <t>Ref. 4:  SCAQMD Reporting Procedures for AB2588 Facilities Reporting their Quadrennial Air Toxic Emission Inventory in the Annual Emission Reporting Program, Appendix B-1, Table B-1.</t>
  </si>
  <si>
    <t>P*</t>
  </si>
  <si>
    <t>M**</t>
  </si>
  <si>
    <t>**Source: AP-42 Table 7.1-2 (as Distallate Fuel Oil No. 2)</t>
  </si>
  <si>
    <t>Backup Activated Carbon Vessel</t>
  </si>
  <si>
    <t>Sulfonation Temp</t>
  </si>
  <si>
    <t>ppmv*</t>
  </si>
  <si>
    <t>Inlet       lb/hr</t>
  </si>
  <si>
    <t>Source</t>
  </si>
  <si>
    <t>Refinery/Sulf/OPS to RTO</t>
  </si>
  <si>
    <t>Refinery to CA Backup</t>
  </si>
  <si>
    <t>Fug. Equipment Leaks</t>
  </si>
  <si>
    <t>Truck/Rail Loading</t>
  </si>
  <si>
    <t>Site Total TACs</t>
  </si>
  <si>
    <t>Calculation Table</t>
  </si>
  <si>
    <t>Emissions Summary</t>
  </si>
  <si>
    <t>Truck Loading Area</t>
  </si>
  <si>
    <t>c89</t>
  </si>
  <si>
    <t>c351</t>
  </si>
  <si>
    <t>c148</t>
  </si>
  <si>
    <t>c150</t>
  </si>
  <si>
    <t>c200</t>
  </si>
  <si>
    <t>c227</t>
  </si>
  <si>
    <t>c239</t>
  </si>
  <si>
    <t>c352</t>
  </si>
  <si>
    <t>c349</t>
  </si>
  <si>
    <t>c350</t>
  </si>
  <si>
    <t>c365</t>
  </si>
  <si>
    <t>c368</t>
  </si>
  <si>
    <t>c489</t>
  </si>
  <si>
    <t>c518</t>
  </si>
  <si>
    <t>c447</t>
  </si>
  <si>
    <t>c645</t>
  </si>
  <si>
    <t>c646</t>
  </si>
  <si>
    <t>c401</t>
  </si>
  <si>
    <t>c432</t>
  </si>
  <si>
    <t>c569</t>
  </si>
  <si>
    <t>c571</t>
  </si>
  <si>
    <t>c572</t>
  </si>
  <si>
    <t>c353</t>
  </si>
  <si>
    <t>c354</t>
  </si>
  <si>
    <t>c358</t>
  </si>
  <si>
    <t>RBCs by Exposure Scenario [OAR 340-245-8040 Table 4]</t>
  </si>
  <si>
    <t>CAS#</t>
  </si>
  <si>
    <t>Chemical</t>
  </si>
  <si>
    <t>RBCs</t>
  </si>
  <si>
    <t>Non-cancer Classification for Hazard Index</t>
  </si>
  <si>
    <t>Residential</t>
  </si>
  <si>
    <t>Non-Residential</t>
  </si>
  <si>
    <t xml:space="preserve">Acute </t>
  </si>
  <si>
    <t>Cancer</t>
  </si>
  <si>
    <t>Noncancer</t>
  </si>
  <si>
    <t>Child Cancer</t>
  </si>
  <si>
    <t>Child Noncancer</t>
  </si>
  <si>
    <t>Worker Cancer</t>
  </si>
  <si>
    <t>Worker Noncancer</t>
  </si>
  <si>
    <r>
      <t>(µg/m</t>
    </r>
    <r>
      <rPr>
        <b/>
        <vertAlign val="superscript"/>
        <sz val="11"/>
        <color theme="1"/>
        <rFont val="Arial"/>
        <family val="2"/>
      </rPr>
      <t>3</t>
    </r>
    <r>
      <rPr>
        <b/>
        <sz val="11"/>
        <color theme="1"/>
        <rFont val="Arial"/>
        <family val="2"/>
      </rPr>
      <t>)</t>
    </r>
  </si>
  <si>
    <t>HI3</t>
  </si>
  <si>
    <t>--</t>
  </si>
  <si>
    <t>HI5</t>
  </si>
  <si>
    <t>Bis(2-chloroethyl) ether (BCEE)</t>
  </si>
  <si>
    <t>RCARBON</t>
  </si>
  <si>
    <t>Tank Vents</t>
  </si>
  <si>
    <t>Conservation vents  on tanks</t>
  </si>
  <si>
    <t>Carbon</t>
  </si>
  <si>
    <t>5 Tank Vents to Carbon</t>
  </si>
  <si>
    <t>TCARBON</t>
  </si>
  <si>
    <t>Truck Loading</t>
  </si>
  <si>
    <t>LDARREF</t>
  </si>
  <si>
    <t>LDARLPSSULF</t>
  </si>
  <si>
    <t>C148</t>
  </si>
  <si>
    <t>C200</t>
  </si>
  <si>
    <t>C239</t>
  </si>
  <si>
    <t>C365</t>
  </si>
  <si>
    <t>C368</t>
  </si>
  <si>
    <t>C447</t>
  </si>
  <si>
    <t>C645</t>
  </si>
  <si>
    <t>C646</t>
  </si>
  <si>
    <t>C401</t>
  </si>
  <si>
    <t>C572</t>
  </si>
  <si>
    <t>Emission Factor Set</t>
  </si>
  <si>
    <t>Attachment B - Emission Calculations</t>
  </si>
  <si>
    <t>Table B-1: Emissions from the RTO</t>
  </si>
  <si>
    <t>Set 1</t>
  </si>
  <si>
    <t>Set 2</t>
  </si>
  <si>
    <t>Set 3</t>
  </si>
  <si>
    <t>Set 4</t>
  </si>
  <si>
    <t>Table B-2a: VOC Emissions from Fugitive Equipment Leaks</t>
  </si>
  <si>
    <t>Table B-3: Summary of Compostional Analysis</t>
  </si>
  <si>
    <t>Table B-2b: Area Specific Component Equipment Leak TAC Emissions</t>
  </si>
  <si>
    <t>Distillate (Light Ends)</t>
  </si>
  <si>
    <t>RFO (UMO)</t>
  </si>
  <si>
    <t>Table B-4: VOC and TAC Emission from Tanks</t>
  </si>
  <si>
    <t>Table B-5: VOC and TAC Emission from Truck Loading</t>
  </si>
  <si>
    <t>Table B-6: TAC Emissions from Refinery Back-Up System</t>
  </si>
  <si>
    <t>*Source: Vapor Pressure Testing, See Attachment E</t>
  </si>
  <si>
    <t>Flux***</t>
  </si>
  <si>
    <t>vp=mm Hg</t>
  </si>
  <si>
    <t>1 mm Hg=0.01934 psi</t>
  </si>
  <si>
    <t>T=350 oF = 810 oR</t>
  </si>
  <si>
    <t>Flux vp</t>
  </si>
  <si>
    <t>ln(vp)=18.2891-12725.60/T</t>
  </si>
  <si>
    <t>Ref: David Trumbore, Owens Corning, Winter 1999, Environmental Progress Journal, Table 2</t>
  </si>
  <si>
    <t>vp=13.2 mm Hg = 0.25 psi</t>
  </si>
  <si>
    <t>(conservative estimate of max. loading temp., actual temp typically 250F)</t>
  </si>
  <si>
    <t>Service Component</t>
  </si>
  <si>
    <t>Toxics Emission Unit ID:</t>
  </si>
  <si>
    <t>TO-01</t>
  </si>
  <si>
    <t>Regenerative Thermal Oxidizer (RTO) controlling Refinery, Oil Polishing System (OPS) and Sulfonation</t>
  </si>
  <si>
    <t>Tank ID</t>
  </si>
  <si>
    <t>TANKS</t>
  </si>
  <si>
    <t>TANKS_CONTROLLED</t>
  </si>
  <si>
    <t>Tank Truck Loading</t>
  </si>
  <si>
    <t>saturation factor (1 for submerged loading)</t>
  </si>
  <si>
    <t>Totals for TEU ID: FUG-1</t>
  </si>
  <si>
    <t>FUG-1</t>
  </si>
  <si>
    <t>Area/Emission Points</t>
  </si>
  <si>
    <t>Area/Emission Point</t>
  </si>
  <si>
    <t>Front, Jail, BO, UO, IT, REF, SULF, LPS1, LPS2, LDARREF, LDARLPSSULF</t>
  </si>
  <si>
    <t>Totals for TEU ID: TANKS</t>
  </si>
  <si>
    <t>Totals for TEU ID: TANKS_CONTROLLED, Emission Point TCARBON</t>
  </si>
  <si>
    <t>Maximum Annual Throughput</t>
  </si>
  <si>
    <t>Maximum Daily Throughput</t>
  </si>
  <si>
    <t>*Analytical Report by Test America for a similar PESCO Refinery (see Attachment G)</t>
  </si>
  <si>
    <t>Ref. 1b</t>
  </si>
  <si>
    <t>Set 1b</t>
  </si>
  <si>
    <t>SO1</t>
  </si>
  <si>
    <t>SO2</t>
  </si>
  <si>
    <t>Sulfur Trioxide</t>
  </si>
  <si>
    <t xml:space="preserve"> - 6/28/22 - Updated carbon disulfide estimate in tabl B6 per DEQ comment #5</t>
  </si>
  <si>
    <t>Updated RTO source test emissions based on DEQ approval letter.</t>
  </si>
  <si>
    <t>Ref. 1b: January 26-27, 2022 Source Test (Naphthalene result multiplied by a factor of 10 due to instrument saturation reported by lab)</t>
  </si>
  <si>
    <t>Added sulfur trioxide calc</t>
  </si>
  <si>
    <t>Inputs</t>
  </si>
  <si>
    <t>Table B-1a: Emissions from the RTO - Supplemental Sulfur Trioxide Calculation</t>
  </si>
  <si>
    <t>Sulfur Dioxide Emission Rate</t>
  </si>
  <si>
    <t>Sulfur Emission Rate</t>
  </si>
  <si>
    <t>Total Sulfur Present if 5% Oxidized to SO3</t>
  </si>
  <si>
    <t>(5% assumption from AP-42, Section 1.3.3.2)</t>
  </si>
  <si>
    <t>(Jan. 30-31, 2020 Source Test, OPS bauxite regen process not likely occurring concurrent with testing)</t>
  </si>
  <si>
    <t>Sulfur Contribution from Bauxite Regen Process</t>
  </si>
  <si>
    <t>(Estimated maximum by process vendor)</t>
  </si>
  <si>
    <t>Total Sulfur Available to Form Sulfur Trioxide</t>
  </si>
  <si>
    <t>5% Oxidized to SO3</t>
  </si>
  <si>
    <t>lb/hr - S</t>
  </si>
  <si>
    <t>lb/hr - SO3</t>
  </si>
  <si>
    <t>Emissions (lb/gal)</t>
  </si>
  <si>
    <t>7446-11-9</t>
  </si>
  <si>
    <t>Based on Maximum Emitting Product (flux) and Throughputs</t>
  </si>
  <si>
    <t>Based on Maximum Emitting Product (flux) and Throughputs (for CAO ATEI)</t>
  </si>
  <si>
    <t>00091-57-6</t>
  </si>
  <si>
    <t>00091-20-3</t>
  </si>
  <si>
    <t>00108-95-2</t>
  </si>
  <si>
    <t>00095-48-7</t>
  </si>
  <si>
    <t>00071-43-2</t>
  </si>
  <si>
    <t>00100-41-4</t>
  </si>
  <si>
    <t>00098-82-8</t>
  </si>
  <si>
    <t>00108-88-3</t>
  </si>
  <si>
    <t>00110-54-3</t>
  </si>
  <si>
    <t>00108-38-3</t>
  </si>
  <si>
    <t>07783-06-4</t>
  </si>
  <si>
    <t>Pva</t>
  </si>
  <si>
    <t>IT220-1</t>
  </si>
  <si>
    <t>January</t>
  </si>
  <si>
    <t>February</t>
  </si>
  <si>
    <t>March</t>
  </si>
  <si>
    <t>April</t>
  </si>
  <si>
    <t>May</t>
  </si>
  <si>
    <t>June</t>
  </si>
  <si>
    <t>July</t>
  </si>
  <si>
    <t>August</t>
  </si>
  <si>
    <t>September</t>
  </si>
  <si>
    <t>October</t>
  </si>
  <si>
    <t>November</t>
  </si>
  <si>
    <t>December</t>
  </si>
  <si>
    <t>Solution Composition</t>
  </si>
  <si>
    <t>Component</t>
  </si>
  <si>
    <t>Weight % in Liquid Phase</t>
  </si>
  <si>
    <t>MW 
(lb/lb-mole)</t>
  </si>
  <si>
    <t>No. Moles</t>
  </si>
  <si>
    <t>Mole %
in Liquid Phase</t>
  </si>
  <si>
    <r>
      <t xml:space="preserve">Liquid Mole Fraction (Xi) </t>
    </r>
    <r>
      <rPr>
        <b/>
        <vertAlign val="superscript"/>
        <sz val="11"/>
        <rFont val="Calibri"/>
        <family val="2"/>
      </rPr>
      <t>(1)</t>
    </r>
  </si>
  <si>
    <r>
      <t xml:space="preserve">Vapor Partial Pressure (Pi) (kPa) </t>
    </r>
    <r>
      <rPr>
        <b/>
        <vertAlign val="superscript"/>
        <sz val="11"/>
        <rFont val="Calibri"/>
        <family val="2"/>
      </rPr>
      <t>(2)</t>
    </r>
  </si>
  <si>
    <r>
      <t xml:space="preserve">Vapor Mole Fraction (Yi) </t>
    </r>
    <r>
      <rPr>
        <b/>
        <vertAlign val="superscript"/>
        <sz val="11"/>
        <rFont val="Calibri"/>
        <family val="2"/>
      </rPr>
      <t>(3)</t>
    </r>
  </si>
  <si>
    <t>Pounds in Vapor Phase (lb)</t>
  </si>
  <si>
    <t>Weight % in Vapor Phase</t>
  </si>
  <si>
    <t>Oil (Fuel oil No. 2 basis)</t>
  </si>
  <si>
    <t>Oil (JP-4 basis)</t>
  </si>
  <si>
    <t>assume xylene is m-xylene, lowest boiling point</t>
  </si>
  <si>
    <t>psi</t>
  </si>
  <si>
    <t>assume cresols are o-cresol, lowest boiling point</t>
  </si>
  <si>
    <t>Solution Conditions</t>
  </si>
  <si>
    <t>R</t>
  </si>
  <si>
    <t>Solution Temperature</t>
  </si>
  <si>
    <t>ºC</t>
  </si>
  <si>
    <t>C</t>
  </si>
  <si>
    <t>Atmospheric Pressure</t>
  </si>
  <si>
    <t>kPa</t>
  </si>
  <si>
    <t>Mv</t>
  </si>
  <si>
    <t>Pure Vapor Pressure Calculation</t>
  </si>
  <si>
    <r>
      <t xml:space="preserve">Antoine's Coefficients </t>
    </r>
    <r>
      <rPr>
        <b/>
        <vertAlign val="superscript"/>
        <sz val="11"/>
        <rFont val="Calibri"/>
        <family val="2"/>
      </rPr>
      <t>(1)</t>
    </r>
  </si>
  <si>
    <t xml:space="preserve">A </t>
  </si>
  <si>
    <t>B</t>
  </si>
  <si>
    <t>(1)  Antoine's Coefficients for EG, PH and ET are from AP-42, Section 7.1, Organic Liquid Storage Tanks, June 2020, Table 7.1-3; Antoine's equation is 
log Piº = A - B/(T+C), where T is in ºC and Piº is in mmHg. Antoine's equation is ln Piº = A + B/(T+C), where T is in K and Piº is in kPa.</t>
  </si>
  <si>
    <t>10^(A-(B/(C+T+273.15)))*100</t>
  </si>
  <si>
    <t>K, bar</t>
  </si>
  <si>
    <t>(10^(A-(B/(T+C))))*0.13332239</t>
  </si>
  <si>
    <t>C, mmHg</t>
  </si>
  <si>
    <t>EXP(A+(B/(T+273.15+C)))</t>
  </si>
  <si>
    <t>K, kPa</t>
  </si>
  <si>
    <t>(exp(A-(B/(T))))*101.325/14.696</t>
  </si>
  <si>
    <t>R, psia</t>
  </si>
  <si>
    <t>Annual</t>
  </si>
  <si>
    <t>Max of any month</t>
  </si>
  <si>
    <t>95 F Max</t>
  </si>
  <si>
    <t>Tanks Controlled</t>
  </si>
  <si>
    <t>Tanks Uncontrolled</t>
  </si>
  <si>
    <t>Short-term</t>
  </si>
  <si>
    <t>All Other Tanks</t>
  </si>
  <si>
    <t>Distillate Tanks</t>
  </si>
  <si>
    <t>JAIL11</t>
  </si>
  <si>
    <t>CT5</t>
  </si>
  <si>
    <t>CT6</t>
  </si>
  <si>
    <t>Tank Vapor Speciation using AP-42 Methodology</t>
  </si>
  <si>
    <t>Max of 95 F</t>
  </si>
  <si>
    <t>Light Ends / Distillate</t>
  </si>
  <si>
    <t>Composite of Non-distillate</t>
  </si>
  <si>
    <t>Distillate Vapor Speciation Calculation</t>
  </si>
  <si>
    <t>Ecolube Recovery</t>
  </si>
  <si>
    <t>Non-Distillate Vapor Speciation Calculation</t>
  </si>
  <si>
    <t>UOTANKS_CONTROLLED</t>
  </si>
  <si>
    <t>Totals for TEU ID: UOTANKS_CONTROLLED, Emission Point UCARBON</t>
  </si>
  <si>
    <t>Vapor Molecular Weight</t>
  </si>
  <si>
    <t>UO Tanks Controlled</t>
  </si>
  <si>
    <t xml:space="preserve">Worse-case Liquid Composition </t>
  </si>
  <si>
    <t>TK10501</t>
  </si>
  <si>
    <t>TK10502</t>
  </si>
  <si>
    <t>Removed, previous re-addition was incorrect</t>
  </si>
  <si>
    <t>00067-56-1</t>
  </si>
  <si>
    <t>Water</t>
  </si>
  <si>
    <t>Pure Vapor Pressure (Piº)</t>
  </si>
  <si>
    <t>mmHg</t>
  </si>
  <si>
    <t>00107-21-1</t>
  </si>
  <si>
    <t>00111-46-6</t>
  </si>
  <si>
    <t>Ethyelene glycol antoine constants from https://webbook.nist.gov/cgi/cbook.cgi?ID=C107211&amp;Mask=4&amp;Type=ANTOINE&amp;Plot=on</t>
  </si>
  <si>
    <t>Diethylene glycol antoine constants from https://www.matweb.com/search/datasheet.aspx?matguid=4f3bef5f67984f4abc5529c0e93278bf&amp;n=1&amp;ckck=1</t>
  </si>
  <si>
    <t>WWF1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</si>
</sst>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_(* \(#,##0.00\);_(* &quot;-&quot;??_);_(@_)"/>
    <numFmt numFmtId="164" formatCode="0.000"/>
    <numFmt numFmtId="165" formatCode="0.00000"/>
    <numFmt numFmtId="166" formatCode="#,##0.0"/>
    <numFmt numFmtId="167" formatCode="#,##0.00000"/>
    <numFmt numFmtId="168" formatCode="0.0000"/>
    <numFmt numFmtId="169" formatCode="0.00000E+00"/>
    <numFmt numFmtId="170" formatCode="0.0"/>
    <numFmt numFmtId="171" formatCode="0.000000"/>
    <numFmt numFmtId="172" formatCode="0.0E+00"/>
    <numFmt numFmtId="173" formatCode="yyyy\-mm\-d;@"/>
    <numFmt numFmtId="174" formatCode="yy\-mm\-d;@"/>
    <numFmt numFmtId="175" formatCode="0.0000%"/>
    <numFmt numFmtId="176" formatCode="#,##0.0000"/>
    <numFmt numFmtId="177" formatCode="[$-409]mmmm\ d\,\ yyyy;@"/>
    <numFmt numFmtId="178" formatCode="0.00E+00;0.00E+00;0.0"/>
    <numFmt numFmtId="179" formatCode="0.00_)"/>
    <numFmt numFmtId="180" formatCode="0.0%"/>
    <numFmt numFmtId="181" formatCode="0.000%"/>
    <numFmt numFmtId="182" formatCode="0.000000%"/>
    <numFmt numFmtId="183" formatCode="0.0000000"/>
    <numFmt numFmtId="184" formatCode="#,##0.000"/>
    <numFmt numFmtId="185" formatCode="0.00000%"/>
    <numFmt numFmtId="186" formatCode="0.0000000%"/>
  </numFmts>
  <fonts count="5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
      <name val="Calibri"/>
      <family val="2"/>
      <scheme val="minor"/>
    </font>
    <font>
      <sz val="12"/>
      <name val="Calibri"/>
      <family val="2"/>
      <scheme val="minor"/>
    </font>
    <font>
      <sz val="8"/>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sz val="10"/>
      <name val="Arial"/>
      <family val="2"/>
    </font>
    <font>
      <b/>
      <sz val="12"/>
      <name val="Arial"/>
      <family val="2"/>
    </font>
    <font>
      <b/>
      <sz val="10"/>
      <name val="Arial"/>
      <family val="2"/>
    </font>
    <font>
      <b/>
      <sz val="11"/>
      <name val="Arial"/>
      <family val="2"/>
    </font>
    <font>
      <sz val="11"/>
      <name val="Arial"/>
      <family val="2"/>
    </font>
    <font>
      <sz val="11"/>
      <color theme="1"/>
      <name val="Calibri"/>
      <family val="2"/>
      <scheme val="minor"/>
    </font>
    <font>
      <b/>
      <sz val="11"/>
      <color rgb="FF0000FF"/>
      <name val="Calibri"/>
      <family val="2"/>
      <scheme val="minor"/>
    </font>
    <font>
      <sz val="9"/>
      <color rgb="FF000000"/>
      <name val="Arial"/>
      <family val="2"/>
    </font>
    <font>
      <sz val="10"/>
      <color rgb="FF000000"/>
      <name val="Times New Roman"/>
      <family val="1"/>
    </font>
    <font>
      <b/>
      <sz val="12"/>
      <name val="Times New Roman"/>
      <family val="1"/>
    </font>
    <font>
      <b/>
      <sz val="16"/>
      <name val="Arial"/>
      <family val="2"/>
    </font>
    <font>
      <b/>
      <sz val="14"/>
      <name val="Arial"/>
      <family val="2"/>
    </font>
    <font>
      <b/>
      <sz val="8"/>
      <name val="Arial"/>
      <family val="2"/>
    </font>
    <font>
      <b/>
      <sz val="8"/>
      <color rgb="FFFFFFFF"/>
      <name val="Arial"/>
      <family val="2"/>
    </font>
    <font>
      <b/>
      <vertAlign val="superscript"/>
      <sz val="5"/>
      <color rgb="FFFFFFFF"/>
      <name val="Arial"/>
      <family val="2"/>
    </font>
    <font>
      <sz val="9"/>
      <name val="Times New Roman"/>
      <family val="1"/>
    </font>
    <font>
      <sz val="9"/>
      <color theme="1"/>
      <name val="Calibri"/>
      <family val="2"/>
      <scheme val="minor"/>
    </font>
    <font>
      <sz val="9"/>
      <color rgb="FF000000"/>
      <name val="Times New Roman"/>
      <family val="2"/>
    </font>
    <font>
      <sz val="9"/>
      <color rgb="FF000000"/>
      <name val="Times New Roman"/>
      <family val="1"/>
    </font>
    <font>
      <b/>
      <sz val="10"/>
      <color rgb="FF000000"/>
      <name val="Times New Roman"/>
      <family val="1"/>
    </font>
    <font>
      <sz val="9"/>
      <color theme="1"/>
      <name val="Times New Roman"/>
      <family val="1"/>
    </font>
    <font>
      <sz val="12"/>
      <color rgb="FF000000"/>
      <name val="Calibri"/>
      <family val="2"/>
      <scheme val="minor"/>
    </font>
    <font>
      <b/>
      <u/>
      <sz val="14"/>
      <color theme="1"/>
      <name val="Calibri"/>
      <family val="2"/>
      <scheme val="minor"/>
    </font>
    <font>
      <b/>
      <u/>
      <sz val="14"/>
      <color rgb="FF000000"/>
      <name val="Calibri"/>
      <family val="2"/>
      <scheme val="minor"/>
    </font>
    <font>
      <b/>
      <sz val="15"/>
      <color theme="1"/>
      <name val="Arial"/>
      <family val="2"/>
    </font>
    <font>
      <b/>
      <sz val="11"/>
      <color theme="1"/>
      <name val="Arial"/>
      <family val="2"/>
    </font>
    <font>
      <sz val="11"/>
      <color theme="1"/>
      <name val="Arial"/>
      <family val="2"/>
    </font>
    <font>
      <b/>
      <vertAlign val="superscript"/>
      <sz val="11"/>
      <color theme="1"/>
      <name val="Arial"/>
      <family val="2"/>
    </font>
    <font>
      <sz val="10"/>
      <color indexed="8"/>
      <name val="Arial"/>
      <family val="2"/>
    </font>
    <font>
      <sz val="11"/>
      <color indexed="8"/>
      <name val="Calibri"/>
      <family val="2"/>
    </font>
    <font>
      <b/>
      <sz val="14"/>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10"/>
      <name val="Courier"/>
      <family val="3"/>
    </font>
    <font>
      <sz val="10"/>
      <name val="Times New Roman"/>
      <family val="1"/>
    </font>
    <font>
      <sz val="11"/>
      <name val="Calibri"/>
      <family val="2"/>
    </font>
    <font>
      <b/>
      <sz val="11"/>
      <name val="Calibri"/>
      <family val="2"/>
    </font>
    <font>
      <sz val="11"/>
      <color theme="1"/>
      <name val="Calibri"/>
      <family val="2"/>
    </font>
    <font>
      <b/>
      <vertAlign val="superscript"/>
      <sz val="11"/>
      <name val="Calibri"/>
      <family val="2"/>
    </font>
    <font>
      <u/>
      <sz val="11"/>
      <name val="Calibri"/>
      <family val="2"/>
    </font>
    <font>
      <sz val="11"/>
      <color rgb="FF000000"/>
      <name val="Calibri"/>
      <family val="2"/>
    </font>
    <font>
      <b/>
      <sz val="11"/>
      <name val="Calibri (Body)"/>
    </font>
    <font>
      <sz val="11"/>
      <color theme="1"/>
      <name val="Calibri (Body)"/>
    </font>
    <font>
      <sz val="11"/>
      <name val="Calibri (Body)"/>
    </font>
    <font>
      <b/>
      <sz val="12"/>
      <color theme="1"/>
      <name val="Calibri"/>
      <family val="2"/>
    </font>
    <font>
      <strike/>
      <sz val="12"/>
      <color theme="1"/>
      <name val="Calibri"/>
      <family val="2"/>
      <scheme val="minor"/>
    </font>
  </fonts>
  <fills count="17">
    <fill>
      <patternFill patternType="none"/>
    </fill>
    <fill>
      <patternFill patternType="gray125"/>
    </fill>
    <fill>
      <patternFill patternType="solid">
        <fgColor rgb="FFA8D08D"/>
      </patternFill>
    </fill>
    <fill>
      <patternFill patternType="solid">
        <fgColor rgb="FF538135"/>
      </patternFill>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
      <patternFill patternType="solid">
        <fgColor indexed="22"/>
        <bgColor indexed="64"/>
      </patternFill>
    </fill>
    <fill>
      <patternFill patternType="solid">
        <fgColor rgb="FF00B0F0"/>
        <bgColor rgb="FF000000"/>
      </patternFill>
    </fill>
    <fill>
      <patternFill patternType="solid">
        <fgColor theme="8"/>
        <bgColor indexed="64"/>
      </patternFill>
    </fill>
    <fill>
      <patternFill patternType="solid">
        <fgColor rgb="FF92D050"/>
        <bgColor indexed="64"/>
      </patternFill>
    </fill>
    <fill>
      <patternFill patternType="solid">
        <fgColor rgb="FFFFC000"/>
        <bgColor indexed="64"/>
      </patternFill>
    </fill>
  </fills>
  <borders count="37">
    <border>
      <left/>
      <right/>
      <top/>
      <bottom/>
      <diagonal/>
    </border>
    <border>
      <left/>
      <right/>
      <top style="thick">
        <color auto="1"/>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ck">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right/>
      <top/>
      <bottom style="thick">
        <color auto="1"/>
      </bottom>
      <diagonal/>
    </border>
    <border>
      <left/>
      <right/>
      <top style="thick">
        <color auto="1"/>
      </top>
      <bottom style="thick">
        <color auto="1"/>
      </bottom>
      <diagonal/>
    </border>
    <border>
      <left style="thin">
        <color auto="1"/>
      </left>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18">
    <xf numFmtId="0" fontId="0" fillId="0" borderId="0"/>
    <xf numFmtId="9" fontId="8" fillId="0" borderId="0" applyFont="0" applyFill="0" applyBorder="0" applyAlignment="0" applyProtection="0"/>
    <xf numFmtId="0" fontId="10" fillId="0" borderId="0"/>
    <xf numFmtId="0" fontId="8" fillId="0" borderId="0"/>
    <xf numFmtId="0" fontId="15" fillId="0" borderId="0"/>
    <xf numFmtId="9" fontId="15" fillId="0" borderId="0" applyFont="0" applyFill="0" applyBorder="0" applyAlignment="0" applyProtection="0"/>
    <xf numFmtId="0" fontId="18"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8" fillId="0" borderId="0"/>
    <xf numFmtId="177" fontId="45" fillId="0" borderId="0"/>
    <xf numFmtId="179" fontId="45" fillId="0" borderId="0"/>
    <xf numFmtId="0" fontId="46" fillId="0" borderId="0">
      <alignment vertical="center"/>
    </xf>
    <xf numFmtId="0" fontId="1" fillId="0" borderId="0"/>
    <xf numFmtId="0" fontId="46" fillId="0" borderId="0">
      <alignment vertical="center"/>
    </xf>
    <xf numFmtId="0" fontId="10" fillId="0" borderId="0"/>
    <xf numFmtId="0" fontId="1" fillId="0" borderId="0"/>
  </cellStyleXfs>
  <cellXfs count="426">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4" fillId="0" borderId="0" xfId="0" applyFont="1" applyAlignment="1">
      <alignment horizontal="left"/>
    </xf>
    <xf numFmtId="11" fontId="0" fillId="0" borderId="0" xfId="0" applyNumberFormat="1"/>
    <xf numFmtId="0" fontId="0" fillId="0" borderId="0" xfId="0" applyAlignment="1">
      <alignment horizontal="center" vertical="center"/>
    </xf>
    <xf numFmtId="0" fontId="0" fillId="0" borderId="1" xfId="0" applyBorder="1"/>
    <xf numFmtId="0" fontId="0" fillId="0" borderId="1" xfId="0" applyBorder="1" applyAlignment="1">
      <alignment horizontal="center"/>
    </xf>
    <xf numFmtId="3" fontId="0" fillId="0" borderId="0" xfId="0" applyNumberFormat="1"/>
    <xf numFmtId="2" fontId="0" fillId="0" borderId="0" xfId="0" applyNumberFormat="1"/>
    <xf numFmtId="166" fontId="0" fillId="0" borderId="0" xfId="0" applyNumberFormat="1"/>
    <xf numFmtId="167" fontId="0" fillId="0" borderId="0" xfId="0" applyNumberFormat="1"/>
    <xf numFmtId="0" fontId="11" fillId="0" borderId="0" xfId="2" applyFont="1"/>
    <xf numFmtId="0" fontId="10" fillId="0" borderId="0" xfId="2"/>
    <xf numFmtId="0" fontId="10" fillId="0" borderId="0" xfId="2" applyAlignment="1">
      <alignment horizontal="center"/>
    </xf>
    <xf numFmtId="0" fontId="14" fillId="0" borderId="0" xfId="2" applyFont="1"/>
    <xf numFmtId="0" fontId="13" fillId="0" borderId="0" xfId="2" applyFont="1" applyAlignment="1">
      <alignment horizontal="center"/>
    </xf>
    <xf numFmtId="0" fontId="14" fillId="0" borderId="0" xfId="2" applyFont="1" applyAlignment="1">
      <alignment horizontal="center"/>
    </xf>
    <xf numFmtId="11" fontId="14" fillId="0" borderId="0" xfId="2" applyNumberFormat="1" applyFont="1" applyAlignment="1">
      <alignment horizontal="center"/>
    </xf>
    <xf numFmtId="2" fontId="14" fillId="0" borderId="0" xfId="2" applyNumberFormat="1" applyFont="1" applyAlignment="1">
      <alignment horizontal="center"/>
    </xf>
    <xf numFmtId="164" fontId="10" fillId="0" borderId="0" xfId="2" applyNumberFormat="1" applyAlignment="1">
      <alignment horizontal="center"/>
    </xf>
    <xf numFmtId="0" fontId="13" fillId="0" borderId="0" xfId="2" applyFont="1" applyAlignment="1">
      <alignment horizontal="center" vertical="center" wrapText="1"/>
    </xf>
    <xf numFmtId="0" fontId="12" fillId="0" borderId="0" xfId="2" applyFont="1" applyAlignment="1">
      <alignment horizontal="center" vertical="center" wrapText="1"/>
    </xf>
    <xf numFmtId="165" fontId="14" fillId="0" borderId="0" xfId="2" applyNumberFormat="1" applyFont="1" applyAlignment="1">
      <alignment horizontal="center"/>
    </xf>
    <xf numFmtId="9" fontId="14" fillId="0" borderId="0" xfId="1" applyFont="1" applyBorder="1" applyAlignment="1">
      <alignment horizontal="center"/>
    </xf>
    <xf numFmtId="169" fontId="10" fillId="0" borderId="0" xfId="2" applyNumberFormat="1"/>
    <xf numFmtId="2" fontId="12" fillId="0" borderId="0" xfId="2" applyNumberFormat="1" applyFont="1" applyAlignment="1">
      <alignment horizontal="center"/>
    </xf>
    <xf numFmtId="2" fontId="13" fillId="0" borderId="0" xfId="2" applyNumberFormat="1" applyFont="1" applyAlignment="1">
      <alignment horizontal="center"/>
    </xf>
    <xf numFmtId="170" fontId="0" fillId="0" borderId="0" xfId="0" applyNumberFormat="1"/>
    <xf numFmtId="0" fontId="10" fillId="0" borderId="0" xfId="0" applyFont="1" applyAlignment="1">
      <alignment horizontal="center" vertical="center" wrapText="1"/>
    </xf>
    <xf numFmtId="0" fontId="0" fillId="0" borderId="9" xfId="0" applyBorder="1" applyAlignment="1">
      <alignment horizontal="center" vertical="center" wrapText="1"/>
    </xf>
    <xf numFmtId="0" fontId="8" fillId="0" borderId="0" xfId="3"/>
    <xf numFmtId="0" fontId="16" fillId="0" borderId="0" xfId="4" applyFont="1" applyAlignment="1">
      <alignment vertical="center"/>
    </xf>
    <xf numFmtId="0" fontId="10" fillId="0" borderId="0" xfId="2" applyAlignment="1">
      <alignment horizontal="right"/>
    </xf>
    <xf numFmtId="0" fontId="15" fillId="0" borderId="0" xfId="4"/>
    <xf numFmtId="0" fontId="9" fillId="0" borderId="0" xfId="3" applyFont="1"/>
    <xf numFmtId="0" fontId="9" fillId="0" borderId="0" xfId="3" applyFont="1" applyAlignment="1">
      <alignment horizontal="center"/>
    </xf>
    <xf numFmtId="0" fontId="9" fillId="0" borderId="5" xfId="3" applyFont="1" applyBorder="1"/>
    <xf numFmtId="0" fontId="7" fillId="0" borderId="0" xfId="3" applyFont="1"/>
    <xf numFmtId="0" fontId="7" fillId="0" borderId="0" xfId="3" applyFont="1" applyAlignment="1">
      <alignment horizontal="center"/>
    </xf>
    <xf numFmtId="0" fontId="8" fillId="0" borderId="0" xfId="3" applyAlignment="1">
      <alignment horizontal="center" vertical="center" wrapText="1"/>
    </xf>
    <xf numFmtId="4" fontId="8" fillId="0" borderId="0" xfId="3" applyNumberFormat="1"/>
    <xf numFmtId="164" fontId="8" fillId="0" borderId="0" xfId="3" applyNumberFormat="1"/>
    <xf numFmtId="2" fontId="8" fillId="0" borderId="0" xfId="3" applyNumberFormat="1"/>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0" fillId="0" borderId="7" xfId="2" applyBorder="1"/>
    <xf numFmtId="0" fontId="10" fillId="0" borderId="7" xfId="2" applyBorder="1" applyAlignment="1">
      <alignment wrapText="1"/>
    </xf>
    <xf numFmtId="0" fontId="10" fillId="0" borderId="4" xfId="2" applyBorder="1"/>
    <xf numFmtId="0" fontId="10" fillId="0" borderId="5" xfId="2" applyBorder="1"/>
    <xf numFmtId="0" fontId="15" fillId="0" borderId="0" xfId="4" quotePrefix="1"/>
    <xf numFmtId="2" fontId="9" fillId="0" borderId="0" xfId="3" applyNumberFormat="1" applyFont="1"/>
    <xf numFmtId="0" fontId="12" fillId="0" borderId="0" xfId="2" applyFont="1" applyAlignment="1">
      <alignment horizontal="center"/>
    </xf>
    <xf numFmtId="0" fontId="19" fillId="0" borderId="0" xfId="6" applyFont="1" applyAlignment="1">
      <alignment horizontal="left" vertical="top"/>
    </xf>
    <xf numFmtId="0" fontId="18" fillId="0" borderId="0" xfId="6" applyAlignment="1">
      <alignment horizontal="left" vertical="top"/>
    </xf>
    <xf numFmtId="0" fontId="18" fillId="0" borderId="0" xfId="6" applyAlignment="1">
      <alignment horizontal="left" vertical="top" wrapText="1"/>
    </xf>
    <xf numFmtId="0" fontId="18" fillId="3" borderId="16" xfId="6" applyFill="1" applyBorder="1" applyAlignment="1">
      <alignment horizontal="left" vertical="top" wrapText="1"/>
    </xf>
    <xf numFmtId="0" fontId="22" fillId="3" borderId="16" xfId="6" applyFont="1" applyFill="1" applyBorder="1" applyAlignment="1">
      <alignment horizontal="center" vertical="top" wrapText="1"/>
    </xf>
    <xf numFmtId="0" fontId="22" fillId="3" borderId="16" xfId="6" applyFont="1" applyFill="1" applyBorder="1" applyAlignment="1">
      <alignment horizontal="left" vertical="top" wrapText="1" indent="1"/>
    </xf>
    <xf numFmtId="0" fontId="22" fillId="3" borderId="16" xfId="6" applyFont="1" applyFill="1" applyBorder="1" applyAlignment="1">
      <alignment horizontal="left" vertical="top" wrapText="1" indent="2"/>
    </xf>
    <xf numFmtId="0" fontId="18" fillId="3" borderId="16" xfId="6" applyFill="1" applyBorder="1" applyAlignment="1">
      <alignment horizontal="left" vertical="top" wrapText="1" indent="1"/>
    </xf>
    <xf numFmtId="0" fontId="18" fillId="3" borderId="16" xfId="6" applyFill="1" applyBorder="1" applyAlignment="1">
      <alignment horizontal="center" vertical="top" wrapText="1"/>
    </xf>
    <xf numFmtId="0" fontId="18" fillId="3" borderId="16" xfId="6" applyFill="1" applyBorder="1" applyAlignment="1">
      <alignment horizontal="right" vertical="top" wrapText="1" indent="1"/>
    </xf>
    <xf numFmtId="0" fontId="25" fillId="0" borderId="16" xfId="6" applyFont="1" applyBorder="1" applyAlignment="1">
      <alignment horizontal="center" vertical="top" wrapText="1"/>
    </xf>
    <xf numFmtId="0" fontId="25" fillId="0" borderId="16" xfId="6" applyFont="1" applyBorder="1" applyAlignment="1">
      <alignment horizontal="left" vertical="top" wrapText="1"/>
    </xf>
    <xf numFmtId="0" fontId="26" fillId="0" borderId="16" xfId="6" applyFont="1" applyBorder="1" applyAlignment="1">
      <alignment horizontal="center" vertical="top" wrapText="1"/>
    </xf>
    <xf numFmtId="2" fontId="27" fillId="0" borderId="16" xfId="6" applyNumberFormat="1" applyFont="1" applyBorder="1" applyAlignment="1">
      <alignment horizontal="center" vertical="top" wrapText="1"/>
    </xf>
    <xf numFmtId="170" fontId="27" fillId="0" borderId="16" xfId="6" applyNumberFormat="1" applyFont="1" applyBorder="1" applyAlignment="1">
      <alignment horizontal="center" vertical="top" wrapText="1"/>
    </xf>
    <xf numFmtId="1" fontId="27" fillId="0" borderId="16" xfId="6" applyNumberFormat="1" applyFont="1" applyBorder="1" applyAlignment="1">
      <alignment horizontal="center" vertical="top" wrapText="1"/>
    </xf>
    <xf numFmtId="0" fontId="26" fillId="0" borderId="0" xfId="6" applyFont="1" applyAlignment="1">
      <alignment horizontal="center" vertical="top"/>
    </xf>
    <xf numFmtId="164" fontId="27" fillId="0" borderId="16" xfId="6" applyNumberFormat="1" applyFont="1" applyBorder="1" applyAlignment="1">
      <alignment horizontal="center" vertical="top" wrapText="1"/>
    </xf>
    <xf numFmtId="3" fontId="27" fillId="0" borderId="16" xfId="6" applyNumberFormat="1" applyFont="1" applyBorder="1" applyAlignment="1">
      <alignment horizontal="center" vertical="top" wrapText="1"/>
    </xf>
    <xf numFmtId="0" fontId="28" fillId="0" borderId="0" xfId="6" applyFont="1" applyAlignment="1">
      <alignment horizontal="center" vertical="top"/>
    </xf>
    <xf numFmtId="168" fontId="27" fillId="0" borderId="16" xfId="6" applyNumberFormat="1" applyFont="1" applyBorder="1" applyAlignment="1">
      <alignment horizontal="center" vertical="top" wrapText="1"/>
    </xf>
    <xf numFmtId="0" fontId="29" fillId="0" borderId="0" xfId="6" applyFont="1" applyAlignment="1">
      <alignment horizontal="left" vertical="top"/>
    </xf>
    <xf numFmtId="165" fontId="27" fillId="0" borderId="16" xfId="6" applyNumberFormat="1" applyFont="1" applyBorder="1" applyAlignment="1">
      <alignment horizontal="center" vertical="top" wrapText="1"/>
    </xf>
    <xf numFmtId="0" fontId="25" fillId="4" borderId="16" xfId="6" applyFont="1" applyFill="1" applyBorder="1" applyAlignment="1">
      <alignment horizontal="center" vertical="top" wrapText="1"/>
    </xf>
    <xf numFmtId="0" fontId="25" fillId="4" borderId="16" xfId="6" applyFont="1" applyFill="1" applyBorder="1" applyAlignment="1">
      <alignment horizontal="left" vertical="top" wrapText="1"/>
    </xf>
    <xf numFmtId="0" fontId="26" fillId="4" borderId="16" xfId="6" applyFont="1" applyFill="1" applyBorder="1" applyAlignment="1">
      <alignment horizontal="center" vertical="top" wrapText="1"/>
    </xf>
    <xf numFmtId="2" fontId="27" fillId="4" borderId="16" xfId="6" applyNumberFormat="1" applyFont="1" applyFill="1" applyBorder="1" applyAlignment="1">
      <alignment horizontal="center" vertical="top" wrapText="1"/>
    </xf>
    <xf numFmtId="171" fontId="27" fillId="0" borderId="16" xfId="6" applyNumberFormat="1" applyFont="1" applyBorder="1" applyAlignment="1">
      <alignment horizontal="center" vertical="top" wrapText="1"/>
    </xf>
    <xf numFmtId="0" fontId="25" fillId="0" borderId="16" xfId="6" applyFont="1" applyBorder="1" applyAlignment="1">
      <alignment horizontal="left" vertical="center" wrapText="1"/>
    </xf>
    <xf numFmtId="172" fontId="27" fillId="0" borderId="16" xfId="6" applyNumberFormat="1" applyFont="1" applyBorder="1" applyAlignment="1">
      <alignment horizontal="center" vertical="top" wrapText="1"/>
    </xf>
    <xf numFmtId="11" fontId="27" fillId="0" borderId="16" xfId="6" applyNumberFormat="1" applyFont="1" applyBorder="1" applyAlignment="1">
      <alignment horizontal="center" vertical="top" wrapText="1"/>
    </xf>
    <xf numFmtId="0" fontId="26" fillId="0" borderId="16" xfId="6" applyFont="1" applyBorder="1" applyAlignment="1">
      <alignment horizontal="left" vertical="top" wrapText="1"/>
    </xf>
    <xf numFmtId="1" fontId="27" fillId="4" borderId="16" xfId="6" applyNumberFormat="1" applyFont="1" applyFill="1" applyBorder="1" applyAlignment="1">
      <alignment horizontal="center" vertical="top" wrapText="1"/>
    </xf>
    <xf numFmtId="3" fontId="27" fillId="4" borderId="16" xfId="6" applyNumberFormat="1" applyFont="1" applyFill="1" applyBorder="1" applyAlignment="1">
      <alignment horizontal="center" vertical="top" wrapText="1"/>
    </xf>
    <xf numFmtId="164" fontId="27" fillId="4" borderId="16" xfId="6" applyNumberFormat="1" applyFont="1" applyFill="1" applyBorder="1" applyAlignment="1">
      <alignment horizontal="center" vertical="top" wrapText="1"/>
    </xf>
    <xf numFmtId="0" fontId="27" fillId="0" borderId="16" xfId="6" applyFont="1" applyBorder="1" applyAlignment="1">
      <alignment horizontal="center" vertical="top" wrapText="1"/>
    </xf>
    <xf numFmtId="0" fontId="27" fillId="0" borderId="16" xfId="6" quotePrefix="1" applyFont="1" applyBorder="1" applyAlignment="1">
      <alignment horizontal="center" vertical="top" wrapText="1"/>
    </xf>
    <xf numFmtId="2" fontId="26" fillId="0" borderId="16" xfId="6" applyNumberFormat="1" applyFont="1" applyBorder="1" applyAlignment="1">
      <alignment horizontal="center" vertical="top" wrapText="1"/>
    </xf>
    <xf numFmtId="11" fontId="26" fillId="0" borderId="16" xfId="6" applyNumberFormat="1" applyFont="1" applyBorder="1" applyAlignment="1">
      <alignment horizontal="center" vertical="top" wrapText="1"/>
    </xf>
    <xf numFmtId="168" fontId="26" fillId="0" borderId="16" xfId="6" applyNumberFormat="1" applyFont="1" applyBorder="1" applyAlignment="1">
      <alignment horizontal="center" vertical="top" wrapText="1"/>
    </xf>
    <xf numFmtId="173" fontId="27" fillId="0" borderId="16" xfId="6" quotePrefix="1" applyNumberFormat="1" applyFont="1" applyBorder="1" applyAlignment="1">
      <alignment horizontal="center" vertical="top" wrapText="1"/>
    </xf>
    <xf numFmtId="1" fontId="26" fillId="0" borderId="16" xfId="6" applyNumberFormat="1" applyFont="1" applyBorder="1" applyAlignment="1">
      <alignment horizontal="center" vertical="top" wrapText="1"/>
    </xf>
    <xf numFmtId="0" fontId="28" fillId="0" borderId="0" xfId="6" quotePrefix="1" applyFont="1" applyAlignment="1">
      <alignment horizontal="center" vertical="top"/>
    </xf>
    <xf numFmtId="4" fontId="27" fillId="0" borderId="16" xfId="6" applyNumberFormat="1" applyFont="1" applyBorder="1" applyAlignment="1">
      <alignment horizontal="center" vertical="top" wrapText="1"/>
    </xf>
    <xf numFmtId="4" fontId="26" fillId="0" borderId="16" xfId="6" applyNumberFormat="1" applyFont="1" applyBorder="1" applyAlignment="1">
      <alignment horizontal="center" vertical="top" wrapText="1"/>
    </xf>
    <xf numFmtId="174" fontId="27" fillId="0" borderId="16" xfId="6" quotePrefix="1" applyNumberFormat="1" applyFont="1" applyBorder="1" applyAlignment="1">
      <alignment horizontal="center" vertical="top" wrapText="1"/>
    </xf>
    <xf numFmtId="166" fontId="27" fillId="0" borderId="16" xfId="6" applyNumberFormat="1" applyFont="1" applyBorder="1" applyAlignment="1">
      <alignment horizontal="center" vertical="top" wrapText="1"/>
    </xf>
    <xf numFmtId="0" fontId="25" fillId="0" borderId="17" xfId="6" applyFont="1" applyBorder="1" applyAlignment="1">
      <alignment horizontal="center" vertical="top" wrapText="1"/>
    </xf>
    <xf numFmtId="0" fontId="25" fillId="0" borderId="17" xfId="6" applyFont="1" applyBorder="1" applyAlignment="1">
      <alignment horizontal="left" vertical="top" wrapText="1"/>
    </xf>
    <xf numFmtId="0" fontId="26" fillId="0" borderId="17" xfId="6" applyFont="1" applyBorder="1" applyAlignment="1">
      <alignment horizontal="center" vertical="top" wrapText="1"/>
    </xf>
    <xf numFmtId="1" fontId="27" fillId="0" borderId="17" xfId="6" applyNumberFormat="1" applyFont="1" applyBorder="1" applyAlignment="1">
      <alignment horizontal="center" vertical="top" wrapText="1"/>
    </xf>
    <xf numFmtId="0" fontId="30" fillId="0" borderId="18" xfId="6" applyFont="1" applyBorder="1" applyAlignment="1">
      <alignment horizontal="center" vertical="center"/>
    </xf>
    <xf numFmtId="0" fontId="26" fillId="0" borderId="18" xfId="6" applyFont="1" applyBorder="1" applyAlignment="1">
      <alignment horizontal="left" vertical="top" wrapText="1"/>
    </xf>
    <xf numFmtId="0" fontId="26" fillId="0" borderId="18" xfId="6" applyFont="1" applyBorder="1" applyAlignment="1">
      <alignment horizontal="center" vertical="top" wrapText="1"/>
    </xf>
    <xf numFmtId="1" fontId="27" fillId="0" borderId="18" xfId="6" applyNumberFormat="1" applyFont="1" applyBorder="1" applyAlignment="1">
      <alignment horizontal="center" vertical="top" wrapText="1"/>
    </xf>
    <xf numFmtId="3" fontId="27" fillId="0" borderId="18" xfId="6" applyNumberFormat="1" applyFont="1" applyBorder="1" applyAlignment="1">
      <alignment horizontal="center" vertical="top" wrapText="1"/>
    </xf>
    <xf numFmtId="0" fontId="26" fillId="0" borderId="18" xfId="6" applyFont="1" applyBorder="1" applyAlignment="1">
      <alignment horizontal="left"/>
    </xf>
    <xf numFmtId="0" fontId="26" fillId="0" borderId="18" xfId="6" applyFont="1" applyBorder="1" applyAlignment="1">
      <alignment horizontal="center"/>
    </xf>
    <xf numFmtId="0" fontId="26" fillId="0" borderId="0" xfId="6" applyFont="1" applyAlignment="1">
      <alignment horizontal="center"/>
    </xf>
    <xf numFmtId="0" fontId="0" fillId="0" borderId="9" xfId="0" applyBorder="1" applyAlignment="1">
      <alignment horizontal="center"/>
    </xf>
    <xf numFmtId="2" fontId="10" fillId="0" borderId="0" xfId="2" applyNumberFormat="1" applyAlignment="1">
      <alignment horizontal="center"/>
    </xf>
    <xf numFmtId="0" fontId="9" fillId="0" borderId="0" xfId="0" applyFont="1" applyAlignment="1">
      <alignment horizontal="center" vertical="center" wrapText="1"/>
    </xf>
    <xf numFmtId="1" fontId="0" fillId="0" borderId="0" xfId="0" applyNumberFormat="1" applyAlignment="1">
      <alignment horizontal="center"/>
    </xf>
    <xf numFmtId="0" fontId="26" fillId="0" borderId="0" xfId="7" applyFont="1" applyAlignment="1">
      <alignment horizontal="center" vertical="top"/>
    </xf>
    <xf numFmtId="175" fontId="0" fillId="0" borderId="0" xfId="1" applyNumberFormat="1" applyFont="1"/>
    <xf numFmtId="0" fontId="0" fillId="0" borderId="0" xfId="0" applyAlignment="1">
      <alignment wrapText="1"/>
    </xf>
    <xf numFmtId="0" fontId="9" fillId="0" borderId="0" xfId="0" applyFont="1"/>
    <xf numFmtId="0" fontId="7" fillId="0" borderId="0" xfId="0" applyFont="1" applyAlignment="1">
      <alignment horizontal="center" vertical="center" wrapText="1"/>
    </xf>
    <xf numFmtId="0" fontId="31" fillId="0" borderId="0" xfId="0" applyFont="1"/>
    <xf numFmtId="2" fontId="14" fillId="0" borderId="0" xfId="2" applyNumberFormat="1" applyFont="1"/>
    <xf numFmtId="0" fontId="3" fillId="0" borderId="0" xfId="7"/>
    <xf numFmtId="2" fontId="3" fillId="0" borderId="0" xfId="7" applyNumberFormat="1"/>
    <xf numFmtId="164" fontId="3" fillId="0" borderId="0" xfId="7" applyNumberFormat="1"/>
    <xf numFmtId="168" fontId="3" fillId="0" borderId="0" xfId="7" applyNumberFormat="1"/>
    <xf numFmtId="170" fontId="3" fillId="0" borderId="0" xfId="7" applyNumberFormat="1"/>
    <xf numFmtId="165" fontId="3" fillId="0" borderId="0" xfId="7" applyNumberFormat="1"/>
    <xf numFmtId="9" fontId="3" fillId="0" borderId="0" xfId="1" applyFont="1"/>
    <xf numFmtId="0" fontId="3" fillId="0" borderId="0" xfId="7" applyAlignment="1">
      <alignment horizontal="center" vertical="center" wrapText="1"/>
    </xf>
    <xf numFmtId="2" fontId="10" fillId="0" borderId="0" xfId="2" applyNumberFormat="1"/>
    <xf numFmtId="175" fontId="17" fillId="0" borderId="0" xfId="1" applyNumberFormat="1" applyFont="1" applyAlignment="1">
      <alignment horizontal="center" wrapText="1"/>
    </xf>
    <xf numFmtId="175" fontId="17" fillId="0" borderId="5" xfId="1" applyNumberFormat="1" applyFont="1" applyBorder="1" applyAlignment="1">
      <alignment horizontal="center" wrapText="1"/>
    </xf>
    <xf numFmtId="0" fontId="9" fillId="0" borderId="0" xfId="0" applyFont="1" applyAlignment="1">
      <alignment horizontal="right"/>
    </xf>
    <xf numFmtId="2" fontId="9" fillId="0" borderId="0" xfId="0" applyNumberFormat="1" applyFont="1"/>
    <xf numFmtId="170" fontId="9" fillId="0" borderId="0" xfId="0" applyNumberFormat="1" applyFont="1"/>
    <xf numFmtId="0" fontId="9" fillId="0" borderId="0" xfId="0" applyFont="1" applyAlignment="1">
      <alignment horizontal="center"/>
    </xf>
    <xf numFmtId="0" fontId="32" fillId="0" borderId="0" xfId="0" applyFont="1" applyAlignment="1">
      <alignment horizontal="left"/>
    </xf>
    <xf numFmtId="0" fontId="33" fillId="0" borderId="0" xfId="0" applyFont="1" applyAlignment="1">
      <alignment horizontal="left"/>
    </xf>
    <xf numFmtId="0" fontId="3" fillId="5" borderId="0" xfId="7" applyFill="1"/>
    <xf numFmtId="0" fontId="34" fillId="5" borderId="0" xfId="7" applyFont="1" applyFill="1" applyAlignment="1">
      <alignment horizontal="center"/>
    </xf>
    <xf numFmtId="0" fontId="35" fillId="6" borderId="18" xfId="7" applyFont="1" applyFill="1" applyBorder="1" applyAlignment="1">
      <alignment horizontal="center" wrapText="1"/>
    </xf>
    <xf numFmtId="176" fontId="35" fillId="6" borderId="18" xfId="7" applyNumberFormat="1" applyFont="1" applyFill="1" applyBorder="1" applyAlignment="1">
      <alignment horizontal="center"/>
    </xf>
    <xf numFmtId="3" fontId="35" fillId="6" borderId="18" xfId="7" applyNumberFormat="1" applyFont="1" applyFill="1" applyBorder="1" applyAlignment="1">
      <alignment horizontal="center"/>
    </xf>
    <xf numFmtId="0" fontId="3" fillId="0" borderId="18" xfId="7" applyBorder="1"/>
    <xf numFmtId="0" fontId="3" fillId="0" borderId="18" xfId="7" applyBorder="1" applyAlignment="1">
      <alignment wrapText="1"/>
    </xf>
    <xf numFmtId="0" fontId="3" fillId="7" borderId="18" xfId="7" applyFill="1" applyBorder="1" applyAlignment="1">
      <alignment horizontal="center"/>
    </xf>
    <xf numFmtId="0" fontId="3" fillId="4" borderId="18" xfId="7" applyFill="1" applyBorder="1" applyAlignment="1">
      <alignment horizontal="center"/>
    </xf>
    <xf numFmtId="0" fontId="3" fillId="8" borderId="18" xfId="7" applyFill="1" applyBorder="1" applyAlignment="1">
      <alignment horizontal="center"/>
    </xf>
    <xf numFmtId="0" fontId="3" fillId="5" borderId="18" xfId="7" applyFill="1" applyBorder="1" applyAlignment="1">
      <alignment horizontal="center"/>
    </xf>
    <xf numFmtId="49" fontId="39" fillId="0" borderId="18" xfId="10" applyNumberFormat="1" applyFont="1" applyBorder="1" applyAlignment="1">
      <alignment wrapText="1"/>
    </xf>
    <xf numFmtId="0" fontId="3" fillId="5" borderId="0" xfId="7" applyFill="1" applyAlignment="1">
      <alignment horizontal="center"/>
    </xf>
    <xf numFmtId="0" fontId="2" fillId="0" borderId="18" xfId="7" applyFont="1" applyBorder="1"/>
    <xf numFmtId="0" fontId="40" fillId="0" borderId="0" xfId="0" applyFont="1"/>
    <xf numFmtId="0" fontId="0" fillId="0" borderId="20" xfId="0" applyBorder="1"/>
    <xf numFmtId="0" fontId="0" fillId="0" borderId="20" xfId="0" applyBorder="1" applyAlignment="1">
      <alignment horizontal="center"/>
    </xf>
    <xf numFmtId="0" fontId="42" fillId="0" borderId="22" xfId="0" applyFont="1" applyBorder="1" applyAlignment="1">
      <alignment horizontal="center"/>
    </xf>
    <xf numFmtId="0" fontId="43" fillId="0" borderId="2" xfId="0" applyFont="1" applyBorder="1" applyAlignment="1">
      <alignment horizontal="left"/>
    </xf>
    <xf numFmtId="0" fontId="43" fillId="0" borderId="2" xfId="0" applyFont="1" applyBorder="1"/>
    <xf numFmtId="0" fontId="0" fillId="0" borderId="2" xfId="0" applyBorder="1"/>
    <xf numFmtId="0" fontId="43" fillId="0" borderId="2" xfId="0" applyFont="1" applyBorder="1" applyAlignment="1">
      <alignment horizontal="center"/>
    </xf>
    <xf numFmtId="0" fontId="43" fillId="0" borderId="3" xfId="0" applyFont="1" applyBorder="1"/>
    <xf numFmtId="0" fontId="43" fillId="0" borderId="7" xfId="0" applyFont="1" applyBorder="1"/>
    <xf numFmtId="0" fontId="43" fillId="0" borderId="0" xfId="0" applyFont="1"/>
    <xf numFmtId="0" fontId="43" fillId="0" borderId="8" xfId="0" applyFont="1" applyBorder="1"/>
    <xf numFmtId="0" fontId="43" fillId="0" borderId="4" xfId="0" applyFont="1" applyBorder="1"/>
    <xf numFmtId="0" fontId="44" fillId="0" borderId="5" xfId="0" applyFont="1" applyBorder="1"/>
    <xf numFmtId="0" fontId="43" fillId="0" borderId="5" xfId="0" applyFont="1" applyBorder="1"/>
    <xf numFmtId="0" fontId="43" fillId="0" borderId="6" xfId="0" applyFont="1" applyBorder="1"/>
    <xf numFmtId="11" fontId="0" fillId="0" borderId="0" xfId="0" applyNumberFormat="1" applyAlignment="1">
      <alignment horizontal="right"/>
    </xf>
    <xf numFmtId="11" fontId="0" fillId="0" borderId="9" xfId="0" applyNumberFormat="1" applyBorder="1" applyAlignment="1">
      <alignment horizontal="right"/>
    </xf>
    <xf numFmtId="0" fontId="9" fillId="0" borderId="0" xfId="0" applyFont="1" applyAlignment="1">
      <alignment horizontal="center" vertical="center"/>
    </xf>
    <xf numFmtId="11" fontId="10" fillId="0" borderId="2" xfId="2" applyNumberFormat="1" applyBorder="1" applyAlignment="1">
      <alignment horizontal="center"/>
    </xf>
    <xf numFmtId="11" fontId="10" fillId="0" borderId="0" xfId="2" applyNumberFormat="1" applyAlignment="1">
      <alignment horizontal="center"/>
    </xf>
    <xf numFmtId="11" fontId="10" fillId="0" borderId="5" xfId="2" applyNumberFormat="1" applyBorder="1" applyAlignment="1">
      <alignment horizontal="center"/>
    </xf>
    <xf numFmtId="3" fontId="8" fillId="0" borderId="0" xfId="3" applyNumberFormat="1"/>
    <xf numFmtId="11" fontId="3" fillId="0" borderId="0" xfId="7" applyNumberFormat="1"/>
    <xf numFmtId="0" fontId="0" fillId="0" borderId="5" xfId="0" applyBorder="1"/>
    <xf numFmtId="0" fontId="0" fillId="0" borderId="23" xfId="0" applyBorder="1"/>
    <xf numFmtId="0" fontId="0" fillId="0" borderId="23" xfId="0" applyBorder="1" applyAlignment="1">
      <alignment horizontal="center"/>
    </xf>
    <xf numFmtId="11" fontId="0" fillId="0" borderId="0" xfId="0" applyNumberFormat="1" applyAlignment="1">
      <alignment horizontal="center"/>
    </xf>
    <xf numFmtId="168" fontId="9" fillId="0" borderId="0" xfId="0" applyNumberFormat="1" applyFont="1"/>
    <xf numFmtId="178" fontId="0" fillId="0" borderId="0" xfId="0" applyNumberFormat="1" applyAlignment="1">
      <alignment horizontal="center"/>
    </xf>
    <xf numFmtId="178" fontId="0" fillId="0" borderId="23" xfId="0" applyNumberFormat="1" applyBorder="1" applyAlignment="1">
      <alignment horizontal="center"/>
    </xf>
    <xf numFmtId="178" fontId="5" fillId="0" borderId="0" xfId="0" applyNumberFormat="1" applyFont="1" applyAlignment="1">
      <alignment horizontal="center"/>
    </xf>
    <xf numFmtId="178" fontId="0" fillId="0" borderId="1" xfId="0" applyNumberFormat="1" applyBorder="1" applyAlignment="1">
      <alignment horizontal="center"/>
    </xf>
    <xf numFmtId="178" fontId="0" fillId="0" borderId="20" xfId="0" applyNumberFormat="1" applyBorder="1" applyAlignment="1">
      <alignment horizontal="center"/>
    </xf>
    <xf numFmtId="164" fontId="9" fillId="0" borderId="0" xfId="0" applyNumberFormat="1" applyFont="1" applyAlignment="1">
      <alignment horizontal="center"/>
    </xf>
    <xf numFmtId="168" fontId="9" fillId="0" borderId="0" xfId="0" applyNumberFormat="1" applyFont="1" applyAlignment="1">
      <alignment horizontal="center"/>
    </xf>
    <xf numFmtId="0" fontId="1" fillId="0" borderId="0" xfId="7" applyFont="1"/>
    <xf numFmtId="14" fontId="0" fillId="0" borderId="0" xfId="0" applyNumberFormat="1"/>
    <xf numFmtId="4" fontId="0" fillId="0" borderId="0" xfId="0" applyNumberFormat="1" applyAlignment="1">
      <alignment horizontal="center"/>
    </xf>
    <xf numFmtId="0" fontId="0" fillId="0" borderId="0" xfId="0" quotePrefix="1"/>
    <xf numFmtId="0" fontId="1" fillId="0" borderId="0" xfId="4" applyFont="1"/>
    <xf numFmtId="170" fontId="15" fillId="0" borderId="0" xfId="4" applyNumberFormat="1"/>
    <xf numFmtId="11" fontId="10" fillId="0" borderId="0" xfId="2" applyNumberFormat="1"/>
    <xf numFmtId="49" fontId="10" fillId="0" borderId="2" xfId="2" applyNumberFormat="1" applyBorder="1" applyAlignment="1">
      <alignment horizontal="center"/>
    </xf>
    <xf numFmtId="49" fontId="10" fillId="0" borderId="3" xfId="2" applyNumberFormat="1" applyBorder="1" applyAlignment="1">
      <alignment horizontal="center"/>
    </xf>
    <xf numFmtId="49" fontId="10" fillId="0" borderId="0" xfId="2" applyNumberFormat="1" applyAlignment="1">
      <alignment horizontal="center"/>
    </xf>
    <xf numFmtId="49" fontId="10" fillId="0" borderId="8" xfId="2" applyNumberFormat="1" applyBorder="1" applyAlignment="1">
      <alignment horizontal="center"/>
    </xf>
    <xf numFmtId="49" fontId="10" fillId="0" borderId="5" xfId="2" applyNumberFormat="1" applyBorder="1" applyAlignment="1">
      <alignment horizontal="center"/>
    </xf>
    <xf numFmtId="49" fontId="10" fillId="0" borderId="6" xfId="2" applyNumberFormat="1" applyBorder="1" applyAlignment="1">
      <alignment horizontal="center"/>
    </xf>
    <xf numFmtId="0" fontId="10" fillId="0" borderId="2" xfId="2" applyBorder="1" applyAlignment="1">
      <alignment horizontal="center"/>
    </xf>
    <xf numFmtId="0" fontId="10" fillId="0" borderId="3" xfId="2" applyBorder="1" applyAlignment="1">
      <alignment horizontal="center"/>
    </xf>
    <xf numFmtId="0" fontId="10" fillId="0" borderId="8" xfId="2" applyBorder="1" applyAlignment="1">
      <alignment horizontal="center"/>
    </xf>
    <xf numFmtId="0" fontId="10" fillId="0" borderId="5" xfId="2" applyBorder="1" applyAlignment="1">
      <alignment horizontal="center"/>
    </xf>
    <xf numFmtId="0" fontId="10" fillId="0" borderId="6" xfId="2" applyBorder="1" applyAlignment="1">
      <alignment horizontal="center"/>
    </xf>
    <xf numFmtId="2" fontId="0" fillId="9" borderId="0" xfId="0" applyNumberFormat="1" applyFill="1"/>
    <xf numFmtId="0" fontId="10" fillId="10" borderId="0" xfId="0" applyFont="1" applyFill="1" applyAlignment="1">
      <alignment horizontal="center" vertical="center" wrapText="1"/>
    </xf>
    <xf numFmtId="2" fontId="0" fillId="11" borderId="0" xfId="0" applyNumberFormat="1" applyFill="1"/>
    <xf numFmtId="0" fontId="9" fillId="0" borderId="0" xfId="0" applyFont="1" applyAlignment="1">
      <alignment horizontal="center" wrapText="1"/>
    </xf>
    <xf numFmtId="182" fontId="0" fillId="0" borderId="0" xfId="1" applyNumberFormat="1" applyFont="1" applyAlignment="1">
      <alignment horizontal="center"/>
    </xf>
    <xf numFmtId="182" fontId="0" fillId="0" borderId="0" xfId="0" applyNumberFormat="1"/>
    <xf numFmtId="0" fontId="0" fillId="0" borderId="27" xfId="0" applyBorder="1" applyAlignment="1">
      <alignment horizontal="center"/>
    </xf>
    <xf numFmtId="0" fontId="0" fillId="0" borderId="28" xfId="0" applyBorder="1" applyAlignment="1">
      <alignment horizont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47" fillId="0" borderId="0" xfId="13" applyFont="1">
      <alignment vertical="center"/>
    </xf>
    <xf numFmtId="0" fontId="48" fillId="0" borderId="0" xfId="13" applyFont="1">
      <alignment vertical="center"/>
    </xf>
    <xf numFmtId="2" fontId="47" fillId="0" borderId="22" xfId="13" applyNumberFormat="1" applyFont="1" applyBorder="1">
      <alignment vertical="center"/>
    </xf>
    <xf numFmtId="0" fontId="48" fillId="12" borderId="18" xfId="13" applyFont="1" applyFill="1" applyBorder="1" applyAlignment="1">
      <alignment horizontal="center" vertical="center"/>
    </xf>
    <xf numFmtId="0" fontId="48" fillId="12" borderId="18" xfId="13" applyFont="1" applyFill="1" applyBorder="1" applyAlignment="1">
      <alignment horizontal="center" vertical="center" wrapText="1"/>
    </xf>
    <xf numFmtId="0" fontId="47" fillId="0" borderId="18" xfId="13" applyFont="1" applyBorder="1" applyAlignment="1">
      <alignment horizontal="left" vertical="center" indent="1"/>
    </xf>
    <xf numFmtId="175" fontId="47" fillId="0" borderId="18" xfId="13" applyNumberFormat="1" applyFont="1" applyBorder="1">
      <alignment vertical="center"/>
    </xf>
    <xf numFmtId="2" fontId="47" fillId="0" borderId="18" xfId="13" applyNumberFormat="1" applyFont="1" applyBorder="1">
      <alignment vertical="center"/>
    </xf>
    <xf numFmtId="183" fontId="47" fillId="0" borderId="18" xfId="13" applyNumberFormat="1" applyFont="1" applyBorder="1">
      <alignment vertical="center"/>
    </xf>
    <xf numFmtId="10" fontId="47" fillId="0" borderId="18" xfId="13" applyNumberFormat="1" applyFont="1" applyBorder="1">
      <alignment vertical="center"/>
    </xf>
    <xf numFmtId="11" fontId="47" fillId="0" borderId="18" xfId="13" applyNumberFormat="1" applyFont="1" applyBorder="1" applyAlignment="1">
      <alignment horizontal="right" vertical="center"/>
    </xf>
    <xf numFmtId="184" fontId="47" fillId="0" borderId="18" xfId="13" applyNumberFormat="1" applyFont="1" applyBorder="1" applyAlignment="1">
      <alignment horizontal="right" vertical="center"/>
    </xf>
    <xf numFmtId="181" fontId="47" fillId="0" borderId="18" xfId="13" applyNumberFormat="1" applyFont="1" applyBorder="1">
      <alignment vertical="center"/>
    </xf>
    <xf numFmtId="11" fontId="47" fillId="0" borderId="18" xfId="13" applyNumberFormat="1" applyFont="1" applyBorder="1">
      <alignment vertical="center"/>
    </xf>
    <xf numFmtId="168" fontId="47" fillId="0" borderId="18" xfId="13" applyNumberFormat="1" applyFont="1" applyBorder="1">
      <alignment vertical="center"/>
    </xf>
    <xf numFmtId="165" fontId="47" fillId="0" borderId="18" xfId="13" applyNumberFormat="1" applyFont="1" applyBorder="1">
      <alignment vertical="center"/>
    </xf>
    <xf numFmtId="0" fontId="48" fillId="0" borderId="18" xfId="13" applyFont="1" applyBorder="1" applyAlignment="1">
      <alignment horizontal="left" vertical="center" indent="1"/>
    </xf>
    <xf numFmtId="180" fontId="48" fillId="0" borderId="18" xfId="13" applyNumberFormat="1" applyFont="1" applyBorder="1">
      <alignment vertical="center"/>
    </xf>
    <xf numFmtId="2" fontId="48" fillId="0" borderId="18" xfId="13" applyNumberFormat="1" applyFont="1" applyBorder="1">
      <alignment vertical="center"/>
    </xf>
    <xf numFmtId="183" fontId="48" fillId="0" borderId="18" xfId="13" applyNumberFormat="1" applyFont="1" applyBorder="1">
      <alignment vertical="center"/>
    </xf>
    <xf numFmtId="9" fontId="48" fillId="0" borderId="18" xfId="13" applyNumberFormat="1" applyFont="1" applyBorder="1">
      <alignment vertical="center"/>
    </xf>
    <xf numFmtId="11" fontId="48" fillId="0" borderId="18" xfId="13" applyNumberFormat="1" applyFont="1" applyBorder="1" applyAlignment="1">
      <alignment horizontal="right" vertical="center"/>
    </xf>
    <xf numFmtId="4" fontId="48" fillId="0" borderId="18" xfId="13" applyNumberFormat="1" applyFont="1" applyBorder="1" applyAlignment="1">
      <alignment horizontal="right" vertical="center"/>
    </xf>
    <xf numFmtId="0" fontId="51" fillId="0" borderId="0" xfId="13" applyFont="1">
      <alignment vertical="center"/>
    </xf>
    <xf numFmtId="164" fontId="47" fillId="0" borderId="10" xfId="13" applyNumberFormat="1" applyFont="1" applyBorder="1">
      <alignment vertical="center"/>
    </xf>
    <xf numFmtId="0" fontId="47" fillId="0" borderId="12" xfId="13" applyFont="1" applyBorder="1">
      <alignment vertical="center"/>
    </xf>
    <xf numFmtId="0" fontId="47" fillId="0" borderId="5" xfId="13" applyFont="1" applyBorder="1">
      <alignment vertical="center"/>
    </xf>
    <xf numFmtId="0" fontId="47" fillId="0" borderId="6" xfId="13" applyFont="1" applyBorder="1">
      <alignment vertical="center"/>
    </xf>
    <xf numFmtId="0" fontId="47" fillId="0" borderId="0" xfId="13" applyFont="1" applyAlignment="1">
      <alignment horizontal="center" vertical="center"/>
    </xf>
    <xf numFmtId="4" fontId="47" fillId="0" borderId="18" xfId="15" applyNumberFormat="1" applyFont="1" applyBorder="1">
      <alignment vertical="center"/>
    </xf>
    <xf numFmtId="4" fontId="47" fillId="0" borderId="18" xfId="13" applyNumberFormat="1" applyFont="1" applyBorder="1">
      <alignment vertical="center"/>
    </xf>
    <xf numFmtId="0" fontId="51" fillId="0" borderId="2" xfId="13" applyFont="1" applyBorder="1">
      <alignment vertical="center"/>
    </xf>
    <xf numFmtId="0" fontId="47" fillId="0" borderId="2" xfId="13" applyFont="1" applyBorder="1">
      <alignment vertical="center"/>
    </xf>
    <xf numFmtId="0" fontId="49" fillId="0" borderId="0" xfId="17" quotePrefix="1" applyFont="1" applyAlignment="1">
      <alignment horizontal="center"/>
    </xf>
    <xf numFmtId="0" fontId="49" fillId="0" borderId="0" xfId="17" applyFont="1" applyAlignment="1">
      <alignment horizontal="center"/>
    </xf>
    <xf numFmtId="2" fontId="47" fillId="0" borderId="0" xfId="13" applyNumberFormat="1" applyFont="1" applyAlignment="1">
      <alignment vertical="center" wrapText="1"/>
    </xf>
    <xf numFmtId="0" fontId="47" fillId="15" borderId="0" xfId="13" applyFont="1" applyFill="1" applyAlignment="1">
      <alignment horizontal="center" vertical="center"/>
    </xf>
    <xf numFmtId="4" fontId="47" fillId="15" borderId="18" xfId="15" applyNumberFormat="1" applyFont="1" applyFill="1" applyBorder="1">
      <alignment vertical="center"/>
    </xf>
    <xf numFmtId="4" fontId="47" fillId="15" borderId="18" xfId="13" applyNumberFormat="1" applyFont="1" applyFill="1" applyBorder="1">
      <alignment vertical="center"/>
    </xf>
    <xf numFmtId="165" fontId="47" fillId="15" borderId="18" xfId="13" applyNumberFormat="1" applyFont="1" applyFill="1" applyBorder="1">
      <alignment vertical="center"/>
    </xf>
    <xf numFmtId="168" fontId="0" fillId="0" borderId="0" xfId="0" applyNumberFormat="1"/>
    <xf numFmtId="10" fontId="0" fillId="0" borderId="0" xfId="1" applyNumberFormat="1" applyFont="1"/>
    <xf numFmtId="181" fontId="0" fillId="0" borderId="0" xfId="1" applyNumberFormat="1" applyFont="1"/>
    <xf numFmtId="185" fontId="0" fillId="0" borderId="0" xfId="1" applyNumberFormat="1" applyFont="1"/>
    <xf numFmtId="182" fontId="0" fillId="0" borderId="0" xfId="1" applyNumberFormat="1" applyFont="1"/>
    <xf numFmtId="186" fontId="0" fillId="0" borderId="0" xfId="1" applyNumberFormat="1" applyFont="1"/>
    <xf numFmtId="185" fontId="0" fillId="0" borderId="0" xfId="1" applyNumberFormat="1" applyFont="1" applyAlignment="1">
      <alignment horizontal="center"/>
    </xf>
    <xf numFmtId="175" fontId="0" fillId="0" borderId="0" xfId="1" applyNumberFormat="1" applyFont="1" applyAlignment="1">
      <alignment horizontal="center"/>
    </xf>
    <xf numFmtId="181" fontId="0" fillId="0" borderId="0" xfId="1" applyNumberFormat="1" applyFont="1" applyAlignment="1">
      <alignment horizontal="center"/>
    </xf>
    <xf numFmtId="10" fontId="0" fillId="0" borderId="0" xfId="1" applyNumberFormat="1" applyFont="1" applyAlignment="1">
      <alignment horizontal="center"/>
    </xf>
    <xf numFmtId="9" fontId="47" fillId="0" borderId="18" xfId="13" applyNumberFormat="1" applyFont="1" applyBorder="1">
      <alignment vertical="center"/>
    </xf>
    <xf numFmtId="0" fontId="49" fillId="14" borderId="11" xfId="0" applyFont="1" applyFill="1" applyBorder="1" applyAlignment="1">
      <alignment horizontal="center"/>
    </xf>
    <xf numFmtId="0" fontId="49" fillId="0" borderId="2" xfId="0" applyFont="1" applyBorder="1"/>
    <xf numFmtId="0" fontId="49" fillId="0" borderId="3" xfId="0" applyFont="1" applyBorder="1"/>
    <xf numFmtId="2" fontId="49" fillId="0" borderId="22" xfId="0" applyNumberFormat="1" applyFont="1" applyBorder="1"/>
    <xf numFmtId="0" fontId="49" fillId="0" borderId="18" xfId="0" applyFont="1" applyBorder="1"/>
    <xf numFmtId="0" fontId="49" fillId="0" borderId="0" xfId="0" applyFont="1"/>
    <xf numFmtId="2" fontId="52" fillId="13" borderId="18" xfId="0" applyNumberFormat="1" applyFont="1" applyFill="1" applyBorder="1" applyAlignment="1">
      <alignment horizontal="center" vertical="center"/>
    </xf>
    <xf numFmtId="2" fontId="52" fillId="13" borderId="12" xfId="0" applyNumberFormat="1" applyFont="1" applyFill="1" applyBorder="1" applyAlignment="1">
      <alignment horizontal="center" vertical="center"/>
    </xf>
    <xf numFmtId="0" fontId="49" fillId="15" borderId="18" xfId="0" applyFont="1" applyFill="1" applyBorder="1" applyAlignment="1">
      <alignment horizontal="center"/>
    </xf>
    <xf numFmtId="0" fontId="49" fillId="15" borderId="0" xfId="0" applyFont="1" applyFill="1"/>
    <xf numFmtId="180" fontId="47" fillId="0" borderId="18" xfId="13" applyNumberFormat="1" applyFont="1" applyBorder="1">
      <alignment vertical="center"/>
    </xf>
    <xf numFmtId="0" fontId="53" fillId="14" borderId="18" xfId="13" applyFont="1" applyFill="1" applyBorder="1" applyAlignment="1">
      <alignment horizontal="center" vertical="center" wrapText="1"/>
    </xf>
    <xf numFmtId="181" fontId="54" fillId="0" borderId="18" xfId="0" applyNumberFormat="1" applyFont="1" applyBorder="1"/>
    <xf numFmtId="180" fontId="53" fillId="0" borderId="18" xfId="13" applyNumberFormat="1" applyFont="1" applyBorder="1">
      <alignment vertical="center"/>
    </xf>
    <xf numFmtId="0" fontId="54" fillId="14" borderId="11" xfId="0" applyFont="1" applyFill="1" applyBorder="1" applyAlignment="1">
      <alignment horizontal="center"/>
    </xf>
    <xf numFmtId="0" fontId="54" fillId="0" borderId="18" xfId="0" applyFont="1" applyBorder="1"/>
    <xf numFmtId="0" fontId="55" fillId="0" borderId="5" xfId="13" applyFont="1" applyBorder="1">
      <alignment vertical="center"/>
    </xf>
    <xf numFmtId="0" fontId="54" fillId="0" borderId="0" xfId="0" applyFont="1"/>
    <xf numFmtId="9" fontId="0" fillId="0" borderId="0" xfId="1" applyFont="1" applyAlignment="1">
      <alignment horizontal="center"/>
    </xf>
    <xf numFmtId="11" fontId="0" fillId="0" borderId="5" xfId="0" applyNumberFormat="1" applyBorder="1" applyAlignment="1">
      <alignment horizontal="center"/>
    </xf>
    <xf numFmtId="1" fontId="0" fillId="0" borderId="33" xfId="0" applyNumberFormat="1" applyBorder="1" applyAlignment="1">
      <alignment horizontal="center"/>
    </xf>
    <xf numFmtId="1" fontId="0" fillId="0" borderId="11" xfId="0" applyNumberFormat="1" applyBorder="1" applyAlignment="1">
      <alignment horizontal="center"/>
    </xf>
    <xf numFmtId="168" fontId="0" fillId="0" borderId="11" xfId="0" applyNumberFormat="1" applyBorder="1" applyAlignment="1">
      <alignment horizontal="center"/>
    </xf>
    <xf numFmtId="1" fontId="0" fillId="0" borderId="34" xfId="0" applyNumberFormat="1" applyBorder="1" applyAlignment="1">
      <alignment horizontal="center"/>
    </xf>
    <xf numFmtId="11" fontId="0" fillId="0" borderId="27" xfId="0" applyNumberFormat="1" applyBorder="1" applyAlignment="1">
      <alignment horizontal="center"/>
    </xf>
    <xf numFmtId="11" fontId="0" fillId="0" borderId="31" xfId="0" applyNumberFormat="1" applyBorder="1" applyAlignment="1">
      <alignment horizontal="center"/>
    </xf>
    <xf numFmtId="165" fontId="0" fillId="0" borderId="29" xfId="0" applyNumberFormat="1" applyBorder="1" applyAlignment="1">
      <alignment horizontal="center"/>
    </xf>
    <xf numFmtId="168" fontId="0" fillId="0" borderId="23" xfId="0" applyNumberFormat="1" applyBorder="1" applyAlignment="1">
      <alignment horizontal="center"/>
    </xf>
    <xf numFmtId="164" fontId="0" fillId="0" borderId="23" xfId="0" applyNumberFormat="1" applyBorder="1" applyAlignment="1">
      <alignment horizontal="center"/>
    </xf>
    <xf numFmtId="2" fontId="0" fillId="0" borderId="23" xfId="0" applyNumberFormat="1" applyBorder="1" applyAlignment="1">
      <alignment horizontal="center"/>
    </xf>
    <xf numFmtId="1" fontId="0" fillId="0" borderId="23" xfId="0" applyNumberFormat="1" applyBorder="1" applyAlignment="1">
      <alignment horizontal="center"/>
    </xf>
    <xf numFmtId="165" fontId="0" fillId="0" borderId="11" xfId="0" applyNumberFormat="1" applyBorder="1" applyAlignment="1">
      <alignment horizontal="center"/>
    </xf>
    <xf numFmtId="164" fontId="0" fillId="0" borderId="11" xfId="0" applyNumberFormat="1" applyBorder="1" applyAlignment="1">
      <alignment horizontal="center"/>
    </xf>
    <xf numFmtId="2" fontId="0" fillId="0" borderId="11" xfId="0" applyNumberFormat="1" applyBorder="1" applyAlignment="1">
      <alignment horizontal="center"/>
    </xf>
    <xf numFmtId="165" fontId="0" fillId="0" borderId="23" xfId="0" applyNumberFormat="1" applyBorder="1" applyAlignment="1">
      <alignment horizontal="center"/>
    </xf>
    <xf numFmtId="164" fontId="0" fillId="0" borderId="0" xfId="0" applyNumberFormat="1"/>
    <xf numFmtId="165" fontId="0" fillId="0" borderId="0" xfId="0" applyNumberFormat="1"/>
    <xf numFmtId="1" fontId="0" fillId="0" borderId="0" xfId="0" applyNumberFormat="1"/>
    <xf numFmtId="1" fontId="0" fillId="0" borderId="27" xfId="0" applyNumberFormat="1" applyBorder="1" applyAlignment="1">
      <alignment horizontal="center"/>
    </xf>
    <xf numFmtId="1" fontId="0" fillId="0" borderId="31" xfId="0" applyNumberFormat="1" applyBorder="1" applyAlignment="1">
      <alignment horizontal="center"/>
    </xf>
    <xf numFmtId="1" fontId="0" fillId="0" borderId="5" xfId="0" applyNumberFormat="1" applyBorder="1" applyAlignment="1">
      <alignment horizontal="center"/>
    </xf>
    <xf numFmtId="1" fontId="0" fillId="0" borderId="28" xfId="0" applyNumberFormat="1" applyBorder="1" applyAlignment="1">
      <alignment horizontal="center"/>
    </xf>
    <xf numFmtId="1" fontId="0" fillId="0" borderId="32" xfId="0" applyNumberFormat="1" applyBorder="1" applyAlignment="1">
      <alignment horizontal="center"/>
    </xf>
    <xf numFmtId="0" fontId="0" fillId="11" borderId="0" xfId="0" applyFill="1" applyAlignment="1">
      <alignment horizontal="center" vertical="center" wrapText="1"/>
    </xf>
    <xf numFmtId="0" fontId="0" fillId="11" borderId="0" xfId="0" applyFill="1" applyAlignment="1">
      <alignment horizontal="center"/>
    </xf>
    <xf numFmtId="175" fontId="0" fillId="11" borderId="0" xfId="1" applyNumberFormat="1" applyFont="1" applyFill="1" applyAlignment="1">
      <alignment horizontal="center"/>
    </xf>
    <xf numFmtId="0" fontId="56" fillId="0" borderId="0" xfId="0" applyFont="1"/>
    <xf numFmtId="165" fontId="0" fillId="0" borderId="33" xfId="0" applyNumberFormat="1" applyBorder="1" applyAlignment="1">
      <alignment horizontal="center"/>
    </xf>
    <xf numFmtId="0" fontId="48" fillId="0" borderId="0" xfId="13" applyFont="1" applyAlignment="1">
      <alignment horizontal="center" vertical="center"/>
    </xf>
    <xf numFmtId="4" fontId="47" fillId="0" borderId="0" xfId="15" applyNumberFormat="1" applyFont="1">
      <alignment vertical="center"/>
    </xf>
    <xf numFmtId="4" fontId="47" fillId="0" borderId="0" xfId="13" applyNumberFormat="1" applyFont="1">
      <alignment vertical="center"/>
    </xf>
    <xf numFmtId="165" fontId="47" fillId="0" borderId="0" xfId="13" applyNumberFormat="1" applyFont="1">
      <alignment vertical="center"/>
    </xf>
    <xf numFmtId="176" fontId="47" fillId="0" borderId="0" xfId="13" applyNumberFormat="1" applyFont="1">
      <alignment vertical="center"/>
    </xf>
    <xf numFmtId="0" fontId="48" fillId="0" borderId="5" xfId="13" applyFont="1" applyBorder="1">
      <alignment vertical="center"/>
    </xf>
    <xf numFmtId="0" fontId="49" fillId="0" borderId="5" xfId="0" applyFont="1" applyBorder="1"/>
    <xf numFmtId="0" fontId="47" fillId="0" borderId="11" xfId="13" applyFont="1" applyBorder="1">
      <alignment vertical="center"/>
    </xf>
    <xf numFmtId="2" fontId="47" fillId="0" borderId="18" xfId="13" applyNumberFormat="1" applyFont="1" applyBorder="1" applyAlignment="1">
      <alignment horizontal="center" vertical="center"/>
    </xf>
    <xf numFmtId="2" fontId="47" fillId="15" borderId="18" xfId="13" applyNumberFormat="1" applyFont="1" applyFill="1" applyBorder="1" applyAlignment="1">
      <alignment horizontal="center" vertical="center"/>
    </xf>
    <xf numFmtId="164" fontId="47" fillId="0" borderId="18" xfId="13" applyNumberFormat="1" applyFont="1" applyBorder="1" applyAlignment="1">
      <alignment horizontal="center" vertical="center"/>
    </xf>
    <xf numFmtId="164" fontId="47" fillId="15" borderId="18" xfId="13" applyNumberFormat="1" applyFont="1" applyFill="1" applyBorder="1" applyAlignment="1">
      <alignment horizontal="center" vertical="center"/>
    </xf>
    <xf numFmtId="4" fontId="47" fillId="0" borderId="18" xfId="13" applyNumberFormat="1" applyFont="1" applyBorder="1" applyAlignment="1">
      <alignment horizontal="center" vertical="center"/>
    </xf>
    <xf numFmtId="4" fontId="49" fillId="0" borderId="18" xfId="0" applyNumberFormat="1" applyFont="1" applyBorder="1" applyAlignment="1">
      <alignment horizontal="center"/>
    </xf>
    <xf numFmtId="4" fontId="49" fillId="15" borderId="18" xfId="0" applyNumberFormat="1" applyFont="1" applyFill="1" applyBorder="1" applyAlignment="1">
      <alignment horizontal="center"/>
    </xf>
    <xf numFmtId="183" fontId="0" fillId="0" borderId="0" xfId="0" applyNumberFormat="1"/>
    <xf numFmtId="0" fontId="0" fillId="16" borderId="0" xfId="0" applyFill="1"/>
    <xf numFmtId="170" fontId="0" fillId="16" borderId="0" xfId="0" applyNumberFormat="1" applyFill="1"/>
    <xf numFmtId="2" fontId="0" fillId="16" borderId="0" xfId="0" applyNumberFormat="1" applyFill="1"/>
    <xf numFmtId="0" fontId="57" fillId="16" borderId="0" xfId="0" applyFont="1" applyFill="1"/>
    <xf numFmtId="0" fontId="49" fillId="14" borderId="11" xfId="17" applyFont="1" applyFill="1" applyBorder="1" applyAlignment="1">
      <alignment horizontal="center"/>
    </xf>
    <xf numFmtId="0" fontId="1" fillId="0" borderId="0" xfId="17"/>
    <xf numFmtId="0" fontId="49" fillId="0" borderId="2" xfId="17" applyFont="1" applyBorder="1"/>
    <xf numFmtId="0" fontId="49" fillId="0" borderId="3" xfId="17" applyFont="1" applyBorder="1"/>
    <xf numFmtId="2" fontId="49" fillId="0" borderId="22" xfId="17" applyNumberFormat="1" applyFont="1" applyBorder="1"/>
    <xf numFmtId="0" fontId="49" fillId="0" borderId="18" xfId="17" applyFont="1" applyBorder="1"/>
    <xf numFmtId="0" fontId="48" fillId="14" borderId="18" xfId="13" applyFont="1" applyFill="1" applyBorder="1" applyAlignment="1">
      <alignment horizontal="center" vertical="center" wrapText="1"/>
    </xf>
    <xf numFmtId="181" fontId="1" fillId="0" borderId="18" xfId="17" applyNumberFormat="1" applyBorder="1"/>
    <xf numFmtId="1" fontId="47" fillId="0" borderId="18" xfId="13" applyNumberFormat="1" applyFont="1" applyBorder="1">
      <alignment vertical="center"/>
    </xf>
    <xf numFmtId="0" fontId="49" fillId="0" borderId="0" xfId="17" applyFont="1"/>
    <xf numFmtId="168" fontId="47" fillId="0" borderId="10" xfId="13" applyNumberFormat="1" applyFont="1" applyBorder="1">
      <alignment vertical="center"/>
    </xf>
    <xf numFmtId="2" fontId="52" fillId="13" borderId="18" xfId="17" applyNumberFormat="1" applyFont="1" applyFill="1" applyBorder="1" applyAlignment="1">
      <alignment horizontal="center" vertical="center"/>
    </xf>
    <xf numFmtId="2" fontId="52" fillId="13" borderId="12" xfId="17" applyNumberFormat="1" applyFont="1" applyFill="1" applyBorder="1" applyAlignment="1">
      <alignment horizontal="center" vertical="center"/>
    </xf>
    <xf numFmtId="0" fontId="49" fillId="15" borderId="18" xfId="17" applyFont="1" applyFill="1" applyBorder="1" applyAlignment="1">
      <alignment horizontal="center"/>
    </xf>
    <xf numFmtId="0" fontId="47" fillId="0" borderId="18" xfId="13" applyFont="1" applyBorder="1">
      <alignment vertical="center"/>
    </xf>
    <xf numFmtId="2" fontId="47" fillId="0" borderId="0" xfId="13" applyNumberFormat="1" applyFont="1" applyAlignment="1">
      <alignment horizontal="center" vertical="center"/>
    </xf>
    <xf numFmtId="164" fontId="47" fillId="0" borderId="0" xfId="13" applyNumberFormat="1" applyFont="1" applyAlignment="1">
      <alignment horizontal="center" vertical="center"/>
    </xf>
    <xf numFmtId="4" fontId="47" fillId="0" borderId="0" xfId="13" applyNumberFormat="1" applyFont="1" applyAlignment="1">
      <alignment horizontal="center" vertical="center"/>
    </xf>
    <xf numFmtId="4" fontId="49" fillId="0" borderId="0" xfId="17" applyNumberFormat="1" applyFont="1" applyAlignment="1">
      <alignment horizontal="center"/>
    </xf>
    <xf numFmtId="176" fontId="47" fillId="0" borderId="18" xfId="13" applyNumberFormat="1" applyFont="1" applyBorder="1">
      <alignment vertical="center"/>
    </xf>
    <xf numFmtId="168" fontId="47" fillId="0" borderId="0" xfId="13" applyNumberFormat="1" applyFont="1" applyAlignment="1">
      <alignment horizontal="center" vertical="center"/>
    </xf>
    <xf numFmtId="184" fontId="47" fillId="0" borderId="18" xfId="15" applyNumberFormat="1" applyFont="1" applyBorder="1">
      <alignment vertical="center"/>
    </xf>
    <xf numFmtId="11" fontId="47" fillId="0" borderId="18" xfId="15" applyNumberFormat="1" applyFont="1" applyBorder="1">
      <alignment vertical="center"/>
    </xf>
    <xf numFmtId="0" fontId="0" fillId="9" borderId="0" xfId="0" applyFill="1"/>
    <xf numFmtId="170" fontId="0" fillId="9" borderId="0" xfId="0" applyNumberFormat="1" applyFill="1"/>
    <xf numFmtId="170" fontId="0" fillId="0" borderId="5" xfId="0" applyNumberFormat="1" applyBorder="1" applyAlignment="1">
      <alignment horizontal="center"/>
    </xf>
    <xf numFmtId="170" fontId="0" fillId="0" borderId="34" xfId="0" applyNumberFormat="1" applyBorder="1" applyAlignment="1">
      <alignment horizontal="center"/>
    </xf>
    <xf numFmtId="1" fontId="0" fillId="0" borderId="30" xfId="0" applyNumberFormat="1" applyBorder="1" applyAlignment="1">
      <alignment horizontal="center"/>
    </xf>
    <xf numFmtId="0" fontId="0" fillId="0" borderId="0" xfId="0" applyAlignment="1">
      <alignment horizontal="center" vertical="center" wrapText="1"/>
    </xf>
    <xf numFmtId="0" fontId="0" fillId="0" borderId="0" xfId="0" applyAlignment="1">
      <alignment horizont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41" fillId="0" borderId="0" xfId="0" applyFont="1" applyAlignment="1">
      <alignment horizontal="center" vertical="center" textRotation="90"/>
    </xf>
    <xf numFmtId="0" fontId="41" fillId="0" borderId="20" xfId="0" applyFont="1" applyBorder="1" applyAlignment="1">
      <alignment horizontal="center" vertical="center" textRotation="90"/>
    </xf>
    <xf numFmtId="0" fontId="41" fillId="0" borderId="1" xfId="0" applyFont="1" applyBorder="1" applyAlignment="1">
      <alignment horizontal="center" vertical="center" textRotation="90"/>
    </xf>
    <xf numFmtId="0" fontId="41" fillId="0" borderId="21" xfId="0" applyFont="1" applyBorder="1" applyAlignment="1">
      <alignment horizontal="center" vertical="center" textRotation="90"/>
    </xf>
    <xf numFmtId="0" fontId="0" fillId="0" borderId="19" xfId="0" applyBorder="1" applyAlignment="1">
      <alignment horizontal="center"/>
    </xf>
    <xf numFmtId="0" fontId="0" fillId="0" borderId="9" xfId="0" applyBorder="1" applyAlignment="1">
      <alignment horizontal="center"/>
    </xf>
    <xf numFmtId="2" fontId="14" fillId="0" borderId="0" xfId="2" applyNumberFormat="1" applyFont="1" applyAlignment="1">
      <alignment horizontal="right"/>
    </xf>
    <xf numFmtId="0" fontId="9" fillId="0" borderId="5" xfId="0" applyFont="1" applyBorder="1" applyAlignment="1">
      <alignment horizontal="center"/>
    </xf>
    <xf numFmtId="0" fontId="9" fillId="0" borderId="0" xfId="0" applyFont="1" applyAlignment="1">
      <alignment horizontal="center"/>
    </xf>
    <xf numFmtId="0" fontId="47" fillId="0" borderId="0" xfId="15" applyFont="1" applyAlignment="1">
      <alignment vertical="center" wrapText="1"/>
    </xf>
    <xf numFmtId="0" fontId="47" fillId="0" borderId="0" xfId="16" applyFont="1" applyAlignment="1">
      <alignment vertical="center" wrapText="1"/>
    </xf>
    <xf numFmtId="0" fontId="47" fillId="0" borderId="0" xfId="16" applyFont="1" applyAlignment="1">
      <alignment vertical="center"/>
    </xf>
    <xf numFmtId="0" fontId="49" fillId="0" borderId="10" xfId="0" applyFont="1" applyBorder="1" applyAlignment="1">
      <alignment horizontal="center"/>
    </xf>
    <xf numFmtId="0" fontId="49" fillId="0" borderId="11" xfId="0" applyFont="1" applyBorder="1" applyAlignment="1">
      <alignment horizontal="center"/>
    </xf>
    <xf numFmtId="0" fontId="49" fillId="0" borderId="12" xfId="0" applyFont="1" applyBorder="1" applyAlignment="1">
      <alignment horizontal="center"/>
    </xf>
    <xf numFmtId="0" fontId="49" fillId="15" borderId="10" xfId="0" applyFont="1" applyFill="1" applyBorder="1" applyAlignment="1">
      <alignment horizontal="center"/>
    </xf>
    <xf numFmtId="0" fontId="49" fillId="15" borderId="11" xfId="0" applyFont="1" applyFill="1" applyBorder="1" applyAlignment="1">
      <alignment horizontal="center"/>
    </xf>
    <xf numFmtId="0" fontId="49" fillId="15" borderId="12" xfId="0" applyFont="1" applyFill="1" applyBorder="1" applyAlignment="1">
      <alignment horizontal="center"/>
    </xf>
    <xf numFmtId="0" fontId="48" fillId="12" borderId="35" xfId="13" applyFont="1" applyFill="1" applyBorder="1" applyAlignment="1">
      <alignment horizontal="center" vertical="center"/>
    </xf>
    <xf numFmtId="0" fontId="48" fillId="12" borderId="36" xfId="13" applyFont="1" applyFill="1" applyBorder="1" applyAlignment="1">
      <alignment horizontal="center" vertical="center"/>
    </xf>
    <xf numFmtId="0" fontId="48" fillId="12" borderId="10" xfId="13" applyFont="1" applyFill="1" applyBorder="1" applyAlignment="1">
      <alignment horizontal="center" vertical="center"/>
    </xf>
    <xf numFmtId="0" fontId="48" fillId="12" borderId="11" xfId="13" applyFont="1" applyFill="1" applyBorder="1" applyAlignment="1">
      <alignment horizontal="center" vertical="center"/>
    </xf>
    <xf numFmtId="0" fontId="48" fillId="12" borderId="12" xfId="13" applyFont="1" applyFill="1" applyBorder="1" applyAlignment="1">
      <alignment horizontal="center" vertical="center"/>
    </xf>
    <xf numFmtId="0" fontId="49" fillId="15" borderId="10" xfId="17" applyFont="1" applyFill="1" applyBorder="1" applyAlignment="1">
      <alignment horizontal="center"/>
    </xf>
    <xf numFmtId="0" fontId="49" fillId="15" borderId="11" xfId="17" applyFont="1" applyFill="1" applyBorder="1" applyAlignment="1">
      <alignment horizontal="center"/>
    </xf>
    <xf numFmtId="0" fontId="49" fillId="15" borderId="12" xfId="17" applyFont="1" applyFill="1" applyBorder="1" applyAlignment="1">
      <alignment horizontal="center"/>
    </xf>
    <xf numFmtId="0" fontId="49" fillId="0" borderId="10" xfId="17" applyFont="1" applyBorder="1" applyAlignment="1">
      <alignment horizontal="center"/>
    </xf>
    <xf numFmtId="0" fontId="49" fillId="0" borderId="11" xfId="17" applyFont="1" applyBorder="1" applyAlignment="1">
      <alignment horizontal="center"/>
    </xf>
    <xf numFmtId="0" fontId="49" fillId="0" borderId="12" xfId="17" applyFont="1" applyBorder="1" applyAlignment="1">
      <alignment horizontal="center"/>
    </xf>
    <xf numFmtId="0" fontId="0" fillId="0" borderId="0" xfId="0" applyAlignment="1">
      <alignment horizontal="righ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center" vertical="center"/>
    </xf>
    <xf numFmtId="0" fontId="7" fillId="0" borderId="0" xfId="3" applyFont="1" applyAlignment="1">
      <alignment horizontal="center" vertical="center" wrapText="1"/>
    </xf>
    <xf numFmtId="0" fontId="1" fillId="0" borderId="5" xfId="4" applyFont="1" applyBorder="1" applyAlignment="1">
      <alignment horizontal="center" vertical="center" wrapText="1"/>
    </xf>
    <xf numFmtId="0" fontId="15" fillId="0" borderId="5" xfId="4" applyBorder="1" applyAlignment="1">
      <alignment horizontal="center" vertical="center"/>
    </xf>
    <xf numFmtId="0" fontId="3" fillId="0" borderId="0" xfId="7" applyAlignment="1">
      <alignment horizontal="center" wrapText="1"/>
    </xf>
    <xf numFmtId="0" fontId="34" fillId="5" borderId="0" xfId="7" applyFont="1" applyFill="1" applyAlignment="1">
      <alignment horizontal="center"/>
    </xf>
    <xf numFmtId="0" fontId="35" fillId="6" borderId="18" xfId="7" applyFont="1" applyFill="1" applyBorder="1" applyAlignment="1">
      <alignment horizontal="center"/>
    </xf>
    <xf numFmtId="0" fontId="35" fillId="6" borderId="18" xfId="7" applyFont="1" applyFill="1" applyBorder="1" applyAlignment="1">
      <alignment horizontal="center" wrapText="1"/>
    </xf>
    <xf numFmtId="0" fontId="3" fillId="0" borderId="18" xfId="7" applyBorder="1" applyAlignment="1">
      <alignment horizontal="center"/>
    </xf>
    <xf numFmtId="0" fontId="36" fillId="0" borderId="18" xfId="7" applyFont="1" applyBorder="1" applyAlignment="1">
      <alignment horizontal="center"/>
    </xf>
    <xf numFmtId="0" fontId="12" fillId="2" borderId="13" xfId="6" applyFont="1" applyFill="1" applyBorder="1" applyAlignment="1">
      <alignment horizontal="center" vertical="top" wrapText="1"/>
    </xf>
    <xf numFmtId="0" fontId="18" fillId="2" borderId="14" xfId="6" applyFill="1" applyBorder="1" applyAlignment="1">
      <alignment horizontal="center" vertical="top" wrapText="1"/>
    </xf>
    <xf numFmtId="0" fontId="18" fillId="2" borderId="15" xfId="6" applyFill="1" applyBorder="1" applyAlignment="1">
      <alignment horizontal="center" vertical="top" wrapText="1"/>
    </xf>
    <xf numFmtId="0" fontId="22" fillId="3" borderId="13" xfId="6" applyFont="1" applyFill="1" applyBorder="1" applyAlignment="1">
      <alignment horizontal="left" vertical="top" wrapText="1" indent="1"/>
    </xf>
    <xf numFmtId="0" fontId="22" fillId="3" borderId="15" xfId="6" applyFont="1" applyFill="1" applyBorder="1" applyAlignment="1">
      <alignment horizontal="left" vertical="top" wrapText="1" indent="1"/>
    </xf>
    <xf numFmtId="0" fontId="22" fillId="3" borderId="13" xfId="6" applyFont="1" applyFill="1" applyBorder="1" applyAlignment="1">
      <alignment horizontal="left" vertical="top" wrapText="1" indent="5"/>
    </xf>
    <xf numFmtId="0" fontId="22" fillId="3" borderId="14" xfId="6" applyFont="1" applyFill="1" applyBorder="1" applyAlignment="1">
      <alignment horizontal="left" vertical="top" wrapText="1" indent="5"/>
    </xf>
    <xf numFmtId="0" fontId="22" fillId="3" borderId="15" xfId="6" applyFont="1" applyFill="1" applyBorder="1" applyAlignment="1">
      <alignment horizontal="left" vertical="top" wrapText="1" indent="5"/>
    </xf>
  </cellXfs>
  <cellStyles count="18">
    <cellStyle name="Comma 2" xfId="9" xr:uid="{2488CC36-A42D-6A45-9260-8B9645483876}"/>
    <cellStyle name="Normal" xfId="0" builtinId="0"/>
    <cellStyle name="Normal 2" xfId="4" xr:uid="{69B3B7DE-5788-9444-958B-94749ADBC43E}"/>
    <cellStyle name="Normal 2 11 3" xfId="13" xr:uid="{37441F79-AEC7-2D4C-A873-4C7ED1426BA5}"/>
    <cellStyle name="Normal 299 2 2" xfId="17" xr:uid="{8C0723EE-EC67-8949-9639-4331B305FA26}"/>
    <cellStyle name="Normal 3" xfId="2" xr:uid="{1EDD5DED-88E5-9141-8BD8-ED4F39947E35}"/>
    <cellStyle name="Normal 4" xfId="6" xr:uid="{43C278BE-FBDC-1146-B9E5-C7B3B91B34CF}"/>
    <cellStyle name="Normal 4 3" xfId="12" xr:uid="{C47FCD6B-987B-43BA-980B-755D93B5E78C}"/>
    <cellStyle name="Normal 5" xfId="3" xr:uid="{E875816B-0BD9-9B4A-B2B6-1BCBD9E38794}"/>
    <cellStyle name="Normal 6" xfId="7" xr:uid="{AE6F1721-69B4-43E9-A66F-2E4339739148}"/>
    <cellStyle name="Normal 7" xfId="11" xr:uid="{B2506B89-D108-4BF8-8F6A-F504249A1C68}"/>
    <cellStyle name="Normal 8" xfId="14" xr:uid="{E3516D24-B093-B546-A021-1C7AEDF56006}"/>
    <cellStyle name="Normal_Hexion Diboll Renewal-Amend Final 04-06-07" xfId="15" xr:uid="{CCCBE090-C05D-2F46-9D22-7C8F0BE74C81}"/>
    <cellStyle name="Normal_Sheet1" xfId="10" xr:uid="{1F01BB90-56A4-E14F-99B8-7B327139809E}"/>
    <cellStyle name="Normal_VLE PF Case 1 2" xfId="16" xr:uid="{78F53B10-62B3-EB4F-B960-AB1F1DDAFB62}"/>
    <cellStyle name="Percent" xfId="1" builtinId="5"/>
    <cellStyle name="Percent 2" xfId="5" xr:uid="{EC8FA27F-4DD4-D544-A297-97BC021457C9}"/>
    <cellStyle name="Percent 3" xfId="8" xr:uid="{FA8171C1-AAA6-F54B-B2D7-E0EE9D4C93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118533</xdr:colOff>
      <xdr:row>43</xdr:row>
      <xdr:rowOff>50800</xdr:rowOff>
    </xdr:from>
    <xdr:to>
      <xdr:col>8</xdr:col>
      <xdr:colOff>372533</xdr:colOff>
      <xdr:row>55</xdr:row>
      <xdr:rowOff>152400</xdr:rowOff>
    </xdr:to>
    <xdr:sp macro="" textlink="">
      <xdr:nvSpPr>
        <xdr:cNvPr id="2" name="TextBox 1">
          <a:extLst>
            <a:ext uri="{FF2B5EF4-FFF2-40B4-BE49-F238E27FC236}">
              <a16:creationId xmlns:a16="http://schemas.microsoft.com/office/drawing/2014/main" id="{224642CF-4631-A54D-B644-85531E900AA0}"/>
            </a:ext>
          </a:extLst>
        </xdr:cNvPr>
        <xdr:cNvSpPr txBox="1"/>
      </xdr:nvSpPr>
      <xdr:spPr>
        <a:xfrm>
          <a:off x="118533" y="7772400"/>
          <a:ext cx="9245600" cy="223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Notes &amp; References:</a:t>
          </a:r>
        </a:p>
        <a:p>
          <a:endParaRPr lang="en-US" sz="1100"/>
        </a:p>
        <a:p>
          <a:r>
            <a:rPr lang="en-US" sz="1100"/>
            <a:t>The "LDAR"</a:t>
          </a:r>
          <a:r>
            <a:rPr lang="en-US" sz="1100" baseline="0"/>
            <a:t> grouping consists of the vapor service components that are subject to ECL's Leak Detection and Repair program.  The emission factors for these components are from "Emissions Estimation Protocol for Petroleum Refineries, Version 3,  Table 2-2 Equipment Leak Rate for Petroleum and SOCMI Equipment Components" for "Default Zero Emission Rate".</a:t>
          </a:r>
        </a:p>
        <a:p>
          <a:endParaRPr lang="en-US" sz="1100" baseline="0"/>
        </a:p>
        <a:p>
          <a:r>
            <a:rPr lang="en-US" sz="1100" baseline="0"/>
            <a:t>All other components are in liquid service and emission factors are from "Emissions Estimation Protocol for Petroleum Refineries, Version 3,  Table 2-6 Refinery and SOCMI Average Componenet Emission Factors."</a:t>
          </a:r>
        </a:p>
        <a:p>
          <a:endParaRPr lang="en-US" sz="1100" baseline="0"/>
        </a:p>
        <a:p>
          <a:r>
            <a:rPr lang="en-US" sz="1100" baseline="0"/>
            <a:t>The LPS (also referred to as OPS or the Oil Polishing System) is only "in service" 50% of the time.  During a system regeneration the equipment components are in vaccum service without any potential for leaks.  The adjustment has been made for estimating annual emissions but as a conservative measure the calculations assume the equipment could be "in service" for a full 24 hour period.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336256</xdr:colOff>
      <xdr:row>50</xdr:row>
      <xdr:rowOff>1</xdr:rowOff>
    </xdr:from>
    <xdr:to>
      <xdr:col>13</xdr:col>
      <xdr:colOff>107463</xdr:colOff>
      <xdr:row>64</xdr:row>
      <xdr:rowOff>116887</xdr:rowOff>
    </xdr:to>
    <xdr:pic>
      <xdr:nvPicPr>
        <xdr:cNvPr id="4" name="Picture 3">
          <a:extLst>
            <a:ext uri="{FF2B5EF4-FFF2-40B4-BE49-F238E27FC236}">
              <a16:creationId xmlns:a16="http://schemas.microsoft.com/office/drawing/2014/main" id="{9B4DCD0D-579D-2C44-A771-E5859511AD16}"/>
            </a:ext>
          </a:extLst>
        </xdr:cNvPr>
        <xdr:cNvPicPr>
          <a:picLocks noChangeAspect="1"/>
        </xdr:cNvPicPr>
      </xdr:nvPicPr>
      <xdr:blipFill>
        <a:blip xmlns:r="http://schemas.openxmlformats.org/officeDocument/2006/relationships" r:embed="rId1"/>
        <a:stretch>
          <a:fillRect/>
        </a:stretch>
      </xdr:blipFill>
      <xdr:spPr>
        <a:xfrm>
          <a:off x="7067256" y="11009924"/>
          <a:ext cx="6218899" cy="2989040"/>
        </a:xfrm>
        <a:prstGeom prst="rect">
          <a:avLst/>
        </a:prstGeom>
      </xdr:spPr>
    </xdr:pic>
    <xdr:clientData/>
  </xdr:twoCellAnchor>
  <xdr:twoCellAnchor editAs="oneCell">
    <xdr:from>
      <xdr:col>0</xdr:col>
      <xdr:colOff>889000</xdr:colOff>
      <xdr:row>49</xdr:row>
      <xdr:rowOff>146539</xdr:rowOff>
    </xdr:from>
    <xdr:to>
      <xdr:col>5</xdr:col>
      <xdr:colOff>185615</xdr:colOff>
      <xdr:row>64</xdr:row>
      <xdr:rowOff>109555</xdr:rowOff>
    </xdr:to>
    <xdr:pic>
      <xdr:nvPicPr>
        <xdr:cNvPr id="5" name="Picture 4">
          <a:extLst>
            <a:ext uri="{FF2B5EF4-FFF2-40B4-BE49-F238E27FC236}">
              <a16:creationId xmlns:a16="http://schemas.microsoft.com/office/drawing/2014/main" id="{C440E071-C4F8-F047-88E4-02CC35B90CB2}"/>
            </a:ext>
          </a:extLst>
        </xdr:cNvPr>
        <xdr:cNvPicPr>
          <a:picLocks noChangeAspect="1"/>
        </xdr:cNvPicPr>
      </xdr:nvPicPr>
      <xdr:blipFill>
        <a:blip xmlns:r="http://schemas.openxmlformats.org/officeDocument/2006/relationships" r:embed="rId2"/>
        <a:stretch>
          <a:fillRect/>
        </a:stretch>
      </xdr:blipFill>
      <xdr:spPr>
        <a:xfrm>
          <a:off x="889000" y="10951308"/>
          <a:ext cx="6027615" cy="3040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316717</xdr:colOff>
      <xdr:row>50</xdr:row>
      <xdr:rowOff>19539</xdr:rowOff>
    </xdr:from>
    <xdr:to>
      <xdr:col>13</xdr:col>
      <xdr:colOff>87924</xdr:colOff>
      <xdr:row>64</xdr:row>
      <xdr:rowOff>136425</xdr:rowOff>
    </xdr:to>
    <xdr:pic>
      <xdr:nvPicPr>
        <xdr:cNvPr id="6" name="Picture 5">
          <a:extLst>
            <a:ext uri="{FF2B5EF4-FFF2-40B4-BE49-F238E27FC236}">
              <a16:creationId xmlns:a16="http://schemas.microsoft.com/office/drawing/2014/main" id="{967353C6-DDB0-C749-858B-982110A2752A}"/>
            </a:ext>
          </a:extLst>
        </xdr:cNvPr>
        <xdr:cNvPicPr>
          <a:picLocks noChangeAspect="1"/>
        </xdr:cNvPicPr>
      </xdr:nvPicPr>
      <xdr:blipFill>
        <a:blip xmlns:r="http://schemas.openxmlformats.org/officeDocument/2006/relationships" r:embed="rId1"/>
        <a:stretch>
          <a:fillRect/>
        </a:stretch>
      </xdr:blipFill>
      <xdr:spPr>
        <a:xfrm>
          <a:off x="7047717" y="11029462"/>
          <a:ext cx="6218899" cy="2989040"/>
        </a:xfrm>
        <a:prstGeom prst="rect">
          <a:avLst/>
        </a:prstGeom>
      </xdr:spPr>
    </xdr:pic>
    <xdr:clientData/>
  </xdr:twoCellAnchor>
  <xdr:twoCellAnchor editAs="oneCell">
    <xdr:from>
      <xdr:col>0</xdr:col>
      <xdr:colOff>869461</xdr:colOff>
      <xdr:row>49</xdr:row>
      <xdr:rowOff>166077</xdr:rowOff>
    </xdr:from>
    <xdr:to>
      <xdr:col>5</xdr:col>
      <xdr:colOff>166076</xdr:colOff>
      <xdr:row>64</xdr:row>
      <xdr:rowOff>129093</xdr:rowOff>
    </xdr:to>
    <xdr:pic>
      <xdr:nvPicPr>
        <xdr:cNvPr id="7" name="Picture 6">
          <a:extLst>
            <a:ext uri="{FF2B5EF4-FFF2-40B4-BE49-F238E27FC236}">
              <a16:creationId xmlns:a16="http://schemas.microsoft.com/office/drawing/2014/main" id="{75B7BD6B-F63A-1844-99EE-3D606BFDE412}"/>
            </a:ext>
          </a:extLst>
        </xdr:cNvPr>
        <xdr:cNvPicPr>
          <a:picLocks noChangeAspect="1"/>
        </xdr:cNvPicPr>
      </xdr:nvPicPr>
      <xdr:blipFill>
        <a:blip xmlns:r="http://schemas.openxmlformats.org/officeDocument/2006/relationships" r:embed="rId2"/>
        <a:stretch>
          <a:fillRect/>
        </a:stretch>
      </xdr:blipFill>
      <xdr:spPr>
        <a:xfrm>
          <a:off x="869461" y="10970846"/>
          <a:ext cx="6027615" cy="3040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385101</xdr:colOff>
      <xdr:row>48</xdr:row>
      <xdr:rowOff>127000</xdr:rowOff>
    </xdr:from>
    <xdr:to>
      <xdr:col>17</xdr:col>
      <xdr:colOff>484554</xdr:colOff>
      <xdr:row>68</xdr:row>
      <xdr:rowOff>131005</xdr:rowOff>
    </xdr:to>
    <xdr:pic>
      <xdr:nvPicPr>
        <xdr:cNvPr id="2" name="Picture 1">
          <a:extLst>
            <a:ext uri="{FF2B5EF4-FFF2-40B4-BE49-F238E27FC236}">
              <a16:creationId xmlns:a16="http://schemas.microsoft.com/office/drawing/2014/main" id="{EE6BD31D-5B28-464C-B21B-D23C8F1D8730}"/>
            </a:ext>
          </a:extLst>
        </xdr:cNvPr>
        <xdr:cNvPicPr>
          <a:picLocks noChangeAspect="1"/>
        </xdr:cNvPicPr>
      </xdr:nvPicPr>
      <xdr:blipFill>
        <a:blip xmlns:r="http://schemas.openxmlformats.org/officeDocument/2006/relationships" r:embed="rId1"/>
        <a:stretch>
          <a:fillRect/>
        </a:stretch>
      </xdr:blipFill>
      <xdr:spPr>
        <a:xfrm>
          <a:off x="8817901" y="10693400"/>
          <a:ext cx="7973453" cy="3814005"/>
        </a:xfrm>
        <a:prstGeom prst="rect">
          <a:avLst/>
        </a:prstGeom>
      </xdr:spPr>
    </xdr:pic>
    <xdr:clientData/>
  </xdr:twoCellAnchor>
  <xdr:twoCellAnchor editAs="oneCell">
    <xdr:from>
      <xdr:col>0</xdr:col>
      <xdr:colOff>889000</xdr:colOff>
      <xdr:row>48</xdr:row>
      <xdr:rowOff>146539</xdr:rowOff>
    </xdr:from>
    <xdr:to>
      <xdr:col>7</xdr:col>
      <xdr:colOff>230554</xdr:colOff>
      <xdr:row>69</xdr:row>
      <xdr:rowOff>29308</xdr:rowOff>
    </xdr:to>
    <xdr:pic>
      <xdr:nvPicPr>
        <xdr:cNvPr id="3" name="Picture 2">
          <a:extLst>
            <a:ext uri="{FF2B5EF4-FFF2-40B4-BE49-F238E27FC236}">
              <a16:creationId xmlns:a16="http://schemas.microsoft.com/office/drawing/2014/main" id="{133D964E-0FC8-6845-9B7B-C76CDC8AA970}"/>
            </a:ext>
          </a:extLst>
        </xdr:cNvPr>
        <xdr:cNvPicPr>
          <a:picLocks noChangeAspect="1"/>
        </xdr:cNvPicPr>
      </xdr:nvPicPr>
      <xdr:blipFill>
        <a:blip xmlns:r="http://schemas.openxmlformats.org/officeDocument/2006/relationships" r:embed="rId2"/>
        <a:stretch>
          <a:fillRect/>
        </a:stretch>
      </xdr:blipFill>
      <xdr:spPr>
        <a:xfrm>
          <a:off x="889000" y="10712939"/>
          <a:ext cx="7774354" cy="38832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385101</xdr:colOff>
      <xdr:row>48</xdr:row>
      <xdr:rowOff>127000</xdr:rowOff>
    </xdr:from>
    <xdr:to>
      <xdr:col>17</xdr:col>
      <xdr:colOff>484554</xdr:colOff>
      <xdr:row>68</xdr:row>
      <xdr:rowOff>131005</xdr:rowOff>
    </xdr:to>
    <xdr:pic>
      <xdr:nvPicPr>
        <xdr:cNvPr id="2" name="Picture 1">
          <a:extLst>
            <a:ext uri="{FF2B5EF4-FFF2-40B4-BE49-F238E27FC236}">
              <a16:creationId xmlns:a16="http://schemas.microsoft.com/office/drawing/2014/main" id="{D7D2C23E-B27B-0F44-90C2-8277CAED7792}"/>
            </a:ext>
          </a:extLst>
        </xdr:cNvPr>
        <xdr:cNvPicPr>
          <a:picLocks noChangeAspect="1"/>
        </xdr:cNvPicPr>
      </xdr:nvPicPr>
      <xdr:blipFill>
        <a:blip xmlns:r="http://schemas.openxmlformats.org/officeDocument/2006/relationships" r:embed="rId1"/>
        <a:stretch>
          <a:fillRect/>
        </a:stretch>
      </xdr:blipFill>
      <xdr:spPr>
        <a:xfrm>
          <a:off x="8817901" y="10693400"/>
          <a:ext cx="7973453" cy="3814005"/>
        </a:xfrm>
        <a:prstGeom prst="rect">
          <a:avLst/>
        </a:prstGeom>
      </xdr:spPr>
    </xdr:pic>
    <xdr:clientData/>
  </xdr:twoCellAnchor>
  <xdr:twoCellAnchor editAs="oneCell">
    <xdr:from>
      <xdr:col>0</xdr:col>
      <xdr:colOff>889000</xdr:colOff>
      <xdr:row>48</xdr:row>
      <xdr:rowOff>146539</xdr:rowOff>
    </xdr:from>
    <xdr:to>
      <xdr:col>7</xdr:col>
      <xdr:colOff>230554</xdr:colOff>
      <xdr:row>69</xdr:row>
      <xdr:rowOff>29308</xdr:rowOff>
    </xdr:to>
    <xdr:pic>
      <xdr:nvPicPr>
        <xdr:cNvPr id="3" name="Picture 2">
          <a:extLst>
            <a:ext uri="{FF2B5EF4-FFF2-40B4-BE49-F238E27FC236}">
              <a16:creationId xmlns:a16="http://schemas.microsoft.com/office/drawing/2014/main" id="{39EC2F6A-915E-4342-8A75-C42E54F423D9}"/>
            </a:ext>
          </a:extLst>
        </xdr:cNvPr>
        <xdr:cNvPicPr>
          <a:picLocks noChangeAspect="1"/>
        </xdr:cNvPicPr>
      </xdr:nvPicPr>
      <xdr:blipFill>
        <a:blip xmlns:r="http://schemas.openxmlformats.org/officeDocument/2006/relationships" r:embed="rId2"/>
        <a:stretch>
          <a:fillRect/>
        </a:stretch>
      </xdr:blipFill>
      <xdr:spPr>
        <a:xfrm>
          <a:off x="889000" y="10712939"/>
          <a:ext cx="7774354" cy="3883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385101</xdr:colOff>
      <xdr:row>48</xdr:row>
      <xdr:rowOff>127000</xdr:rowOff>
    </xdr:from>
    <xdr:to>
      <xdr:col>17</xdr:col>
      <xdr:colOff>484554</xdr:colOff>
      <xdr:row>68</xdr:row>
      <xdr:rowOff>131005</xdr:rowOff>
    </xdr:to>
    <xdr:pic>
      <xdr:nvPicPr>
        <xdr:cNvPr id="2" name="Picture 1">
          <a:extLst>
            <a:ext uri="{FF2B5EF4-FFF2-40B4-BE49-F238E27FC236}">
              <a16:creationId xmlns:a16="http://schemas.microsoft.com/office/drawing/2014/main" id="{9673C4A9-6A9C-9C48-893A-F92B6C80931E}"/>
            </a:ext>
          </a:extLst>
        </xdr:cNvPr>
        <xdr:cNvPicPr>
          <a:picLocks noChangeAspect="1"/>
        </xdr:cNvPicPr>
      </xdr:nvPicPr>
      <xdr:blipFill>
        <a:blip xmlns:r="http://schemas.openxmlformats.org/officeDocument/2006/relationships" r:embed="rId1"/>
        <a:stretch>
          <a:fillRect/>
        </a:stretch>
      </xdr:blipFill>
      <xdr:spPr>
        <a:xfrm>
          <a:off x="8817901" y="10693400"/>
          <a:ext cx="7973453" cy="3814005"/>
        </a:xfrm>
        <a:prstGeom prst="rect">
          <a:avLst/>
        </a:prstGeom>
      </xdr:spPr>
    </xdr:pic>
    <xdr:clientData/>
  </xdr:twoCellAnchor>
  <xdr:twoCellAnchor editAs="oneCell">
    <xdr:from>
      <xdr:col>0</xdr:col>
      <xdr:colOff>889000</xdr:colOff>
      <xdr:row>48</xdr:row>
      <xdr:rowOff>146539</xdr:rowOff>
    </xdr:from>
    <xdr:to>
      <xdr:col>7</xdr:col>
      <xdr:colOff>230554</xdr:colOff>
      <xdr:row>69</xdr:row>
      <xdr:rowOff>29308</xdr:rowOff>
    </xdr:to>
    <xdr:pic>
      <xdr:nvPicPr>
        <xdr:cNvPr id="3" name="Picture 2">
          <a:extLst>
            <a:ext uri="{FF2B5EF4-FFF2-40B4-BE49-F238E27FC236}">
              <a16:creationId xmlns:a16="http://schemas.microsoft.com/office/drawing/2014/main" id="{DCE203E2-6B1A-C149-9F69-2789A5831A7D}"/>
            </a:ext>
          </a:extLst>
        </xdr:cNvPr>
        <xdr:cNvPicPr>
          <a:picLocks noChangeAspect="1"/>
        </xdr:cNvPicPr>
      </xdr:nvPicPr>
      <xdr:blipFill>
        <a:blip xmlns:r="http://schemas.openxmlformats.org/officeDocument/2006/relationships" r:embed="rId2"/>
        <a:stretch>
          <a:fillRect/>
        </a:stretch>
      </xdr:blipFill>
      <xdr:spPr>
        <a:xfrm>
          <a:off x="889000" y="10712939"/>
          <a:ext cx="7774354" cy="3883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15876</xdr:colOff>
      <xdr:row>32</xdr:row>
      <xdr:rowOff>47624</xdr:rowOff>
    </xdr:from>
    <xdr:to>
      <xdr:col>5</xdr:col>
      <xdr:colOff>857250</xdr:colOff>
      <xdr:row>34</xdr:row>
      <xdr:rowOff>139699</xdr:rowOff>
    </xdr:to>
    <xdr:sp macro="" textlink="">
      <xdr:nvSpPr>
        <xdr:cNvPr id="2" name="TextBox 1">
          <a:extLst>
            <a:ext uri="{FF2B5EF4-FFF2-40B4-BE49-F238E27FC236}">
              <a16:creationId xmlns:a16="http://schemas.microsoft.com/office/drawing/2014/main" id="{053642E0-7AD2-1046-9B7E-79F622706B91}"/>
            </a:ext>
          </a:extLst>
        </xdr:cNvPr>
        <xdr:cNvSpPr txBox="1"/>
      </xdr:nvSpPr>
      <xdr:spPr>
        <a:xfrm>
          <a:off x="15876" y="5724524"/>
          <a:ext cx="8474074" cy="49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***Flux is a heavy viscous liquid similar </a:t>
          </a:r>
          <a:r>
            <a:rPr lang="en-US" sz="1100" baseline="0"/>
            <a:t>and it is loaded at a temperature of 250F. The following equation was used to estimate the Flux vapor pressure at this elevated temperature.</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xdr:colOff>
      <xdr:row>2</xdr:row>
      <xdr:rowOff>5956</xdr:rowOff>
    </xdr:from>
    <xdr:to>
      <xdr:col>0</xdr:col>
      <xdr:colOff>454532</xdr:colOff>
      <xdr:row>2</xdr:row>
      <xdr:rowOff>934326</xdr:rowOff>
    </xdr:to>
    <xdr:pic>
      <xdr:nvPicPr>
        <xdr:cNvPr id="2" name="image1.jpeg">
          <a:extLst>
            <a:ext uri="{FF2B5EF4-FFF2-40B4-BE49-F238E27FC236}">
              <a16:creationId xmlns:a16="http://schemas.microsoft.com/office/drawing/2014/main" id="{6A8BA282-8BB3-AB41-A5EC-D475E3C224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 y="437756"/>
          <a:ext cx="447674" cy="928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FEA1PUB303\SharedData\Public\CPUDAILY\q298\smrymai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E:\Users\jbrowning\Bridgewater%20Group%20Dropbox\John%20Browning\Zenith%20Energy-Confidential\CAO_Level_3_RA_WIP\Tank_Calcs_Other_From_Andrew_Zenith\110tpy_set\110%20TPY%20-%20Refining%20Tank%20Emissions_8_14_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rojects%202012\12032%20Shell%20Exploration%20(Discoverer-Kulluk)\12032.4%20Discoverer%20Compliance\spreadsheets\FD-6\12032.4%20Shell%20Discoverer%20-%20Generator%20FD-6%20-%20High%20Load.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JFEA1PUB303\SharedData\EHS_NWRO\CAMPUS%20TEAMS\RAEHS\ENVIRONM\AIR\CMB\Indicators\2002\VOC%20Calculation%20Tool28%20June%20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jbrowning\Bridgewater%20Group%20Dropbox\John%20Browning\PoP_AT_EI_2020\2020_AT_EI\2020ATEIReportingForm_26_2914_P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NVIRON\Port%20of%20Portland\PDX%20ACDP\PDX%20GHG%20Calc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Users\jbrowning\Documents\Intel_PSD\0_From_SP_Post_App_Submission\ApplicationLetter+FluorideAssess\1_Application\3_App_C_Emissions_Calculations_J_Browning\PermitApplicationEmissionRates11-19_sbs%20122214_jpb_12_26_14.xlsx?C8D45544" TargetMode="External"/><Relationship Id="rId1" Type="http://schemas.openxmlformats.org/officeDocument/2006/relationships/externalLinkPath" Target="file:///\\C8D45544\PermitApplicationEmissionRates11-19_sbs%20122214_jpb_12_26_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jbrowning\Documents\Hampton\Warrenton\Warrenton_Calcs_draft_4_1_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hane%20Mascitelli\Shane's%20Ultimate%20Excel%20Workbook.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aster%20Planning%20&amp;%20LRPs\Goal%20Setting\2013%20PTD%20Goal%20Overview\NOxCO\NOxCO%20analysis_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jbrowning\Documents\Was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JET_MODELS\P1265\Air%20Models\1265GWG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eliver.ch2m.com/projects/483524/Shared%20Documents/06_TypeIV_application/ApplicationLetter+FluorideAssess/1_Application/3_App_C_Emissions_Calculations_J_Browning/PM%20Re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k"/>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Tanks Fixed Roof Monthly"/>
      <sheetName val="CALC-Floating Roof Monthly"/>
      <sheetName val="Floating Roof Input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
      <sheetName val="1-FD-6-100%-NH3"/>
      <sheetName val="1-FD-6-100%-PM"/>
      <sheetName val="2-FD-6-100%-NH3"/>
      <sheetName val="2-FD-6-100%-PM"/>
      <sheetName val="3-FD-6-100%-NH3"/>
      <sheetName val="3-FD-6-100%-PM"/>
      <sheetName val="Process Data"/>
      <sheetName val="ISOSET"/>
      <sheetName val="12032"/>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fer Sta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el Lookup"/>
      <sheetName val="Units Lookup"/>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EN EF Ref2"/>
      <sheetName val="14_Manufacturing - Scrubbers"/>
      <sheetName val="1_Boilers"/>
      <sheetName val="3_BSSW"/>
      <sheetName val="4_ EGENs Fire Pumps"/>
      <sheetName val="5_Heaters"/>
      <sheetName val="2_ RCTOs - Combustion"/>
      <sheetName val="6_TMXW"/>
      <sheetName val="7_Cooling Tow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renton_Calcs_draft_4_1_17"/>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imesheet"/>
      <sheetName val="Project_Budgeting"/>
      <sheetName val="Timesheets"/>
      <sheetName val="Expense_Reports"/>
      <sheetName val="Goal_Relationship_Graph"/>
      <sheetName val="Incentive_Plan"/>
      <sheetName val="PM_Fiscal_Year_Budget"/>
      <sheetName val="Periodic_Table"/>
      <sheetName val="EPA_Method_1"/>
      <sheetName val="Office_Budget"/>
      <sheetName val="Old_Calculations"/>
      <sheetName val="Calculations"/>
      <sheetName val="RATA_Calculation"/>
      <sheetName val="Molecular_Weights"/>
      <sheetName val="Example_Calculations"/>
      <sheetName val="Equations"/>
      <sheetName val="EPA_Region_Map"/>
      <sheetName val="Particulate_Runs_1-3"/>
      <sheetName val="RATA Analysis"/>
      <sheetName val="RATA_Runs_(1-15)"/>
      <sheetName val="Compliance"/>
      <sheetName val="Missing"/>
      <sheetName val="Disciplinary_Action"/>
      <sheetName val="Sheet1"/>
      <sheetName val="Sales by Rep"/>
      <sheetName val="Billable Ratio"/>
      <sheetName val="Profit Goal"/>
    </sheetNames>
    <sheetDataSet>
      <sheetData sheetId="0"/>
      <sheetData sheetId="1">
        <row r="12">
          <cell r="R12" t="str">
            <v>California</v>
          </cell>
          <cell r="S12" t="str">
            <v>Project management</v>
          </cell>
          <cell r="T12" t="str">
            <v>Consultant</v>
          </cell>
          <cell r="U12" t="str">
            <v>Administration</v>
          </cell>
          <cell r="V12" t="str">
            <v>Office tasks, timesheet, SOPs, policy</v>
          </cell>
          <cell r="W12">
            <v>40545</v>
          </cell>
          <cell r="AA12" t="str">
            <v>Yes</v>
          </cell>
        </row>
        <row r="13">
          <cell r="R13" t="str">
            <v>Medford</v>
          </cell>
          <cell r="S13" t="str">
            <v>Analytical</v>
          </cell>
          <cell r="T13" t="str">
            <v>Client Account Manager</v>
          </cell>
          <cell r="U13" t="str">
            <v>Bereavement</v>
          </cell>
          <cell r="V13" t="str">
            <v>-</v>
          </cell>
          <cell r="W13">
            <v>40552</v>
          </cell>
          <cell r="AA13" t="str">
            <v>No</v>
          </cell>
        </row>
        <row r="14">
          <cell r="R14" t="str">
            <v>Phoenix</v>
          </cell>
          <cell r="S14" t="str">
            <v>Consulting</v>
          </cell>
          <cell r="T14" t="str">
            <v>Senior Project Manager</v>
          </cell>
          <cell r="U14" t="str">
            <v>Business development</v>
          </cell>
          <cell r="V14" t="str">
            <v>Pre-proposal activities, marketing</v>
          </cell>
          <cell r="W14">
            <v>40559</v>
          </cell>
        </row>
        <row r="15">
          <cell r="R15" t="str">
            <v>Portland</v>
          </cell>
          <cell r="S15" t="str">
            <v>Test plan</v>
          </cell>
          <cell r="T15" t="str">
            <v>Project Manager</v>
          </cell>
          <cell r="U15" t="str">
            <v>Equipment</v>
          </cell>
          <cell r="V15" t="str">
            <v>Repairs, maintenance, calibrations</v>
          </cell>
          <cell r="W15">
            <v>40566</v>
          </cell>
        </row>
        <row r="16">
          <cell r="S16" t="str">
            <v>Prep</v>
          </cell>
          <cell r="T16" t="str">
            <v>Test Team Leader</v>
          </cell>
          <cell r="U16" t="str">
            <v>Facilities</v>
          </cell>
          <cell r="V16" t="str">
            <v>Shop, scheduling, ordering, inventory</v>
          </cell>
          <cell r="W16">
            <v>40573</v>
          </cell>
        </row>
        <row r="17">
          <cell r="S17" t="str">
            <v>Travel</v>
          </cell>
          <cell r="T17" t="str">
            <v>Senior Technician</v>
          </cell>
          <cell r="U17" t="str">
            <v>Holiday</v>
          </cell>
          <cell r="V17" t="str">
            <v>-</v>
          </cell>
          <cell r="W17">
            <v>40580</v>
          </cell>
        </row>
        <row r="18">
          <cell r="S18" t="str">
            <v>Setup / teardown</v>
          </cell>
          <cell r="T18" t="str">
            <v>Technician</v>
          </cell>
          <cell r="U18" t="str">
            <v>Information Technology (IT)</v>
          </cell>
          <cell r="V18" t="str">
            <v>Computer, network, e-mail, phones</v>
          </cell>
          <cell r="W18">
            <v>40587</v>
          </cell>
        </row>
        <row r="19">
          <cell r="S19" t="str">
            <v>Testing</v>
          </cell>
          <cell r="T19" t="str">
            <v>Senior Office Worker</v>
          </cell>
          <cell r="U19" t="str">
            <v>Laboratory</v>
          </cell>
          <cell r="V19" t="str">
            <v>General non-billable lab tasks</v>
          </cell>
          <cell r="W19">
            <v>40594</v>
          </cell>
        </row>
        <row r="20">
          <cell r="S20" t="str">
            <v>De-prep</v>
          </cell>
          <cell r="T20" t="str">
            <v>Office Worker</v>
          </cell>
          <cell r="U20" t="str">
            <v>Mentoring / training</v>
          </cell>
          <cell r="V20" t="str">
            <v>Coaching, educating as trainer</v>
          </cell>
          <cell r="W20">
            <v>40601</v>
          </cell>
        </row>
        <row r="21">
          <cell r="S21" t="str">
            <v>Report</v>
          </cell>
          <cell r="T21" t="str">
            <v>Director</v>
          </cell>
          <cell r="U21" t="str">
            <v>Non-Specified Time</v>
          </cell>
          <cell r="V21" t="str">
            <v xml:space="preserve">Miscellaneous time spent </v>
          </cell>
          <cell r="W21">
            <v>40608</v>
          </cell>
        </row>
        <row r="22">
          <cell r="S22" t="str">
            <v>Proposal</v>
          </cell>
          <cell r="U22" t="str">
            <v>Proposal</v>
          </cell>
          <cell r="V22" t="str">
            <v>-</v>
          </cell>
          <cell r="W22">
            <v>40615</v>
          </cell>
        </row>
        <row r="23">
          <cell r="S23" t="str">
            <v>T&amp;M - Standby</v>
          </cell>
          <cell r="U23" t="str">
            <v>Safety (admin / training)</v>
          </cell>
          <cell r="V23" t="str">
            <v>Safety - admin / training / meetings</v>
          </cell>
          <cell r="W23">
            <v>40622</v>
          </cell>
        </row>
        <row r="24">
          <cell r="S24" t="str">
            <v>T&amp;M - Out of scope</v>
          </cell>
          <cell r="U24" t="str">
            <v>Sick Leave</v>
          </cell>
          <cell r="V24" t="str">
            <v>-</v>
          </cell>
          <cell r="W24">
            <v>40629</v>
          </cell>
        </row>
        <row r="25">
          <cell r="U25" t="str">
            <v>Training (recipient)</v>
          </cell>
          <cell r="V25" t="str">
            <v>Classroom, conference, seminar</v>
          </cell>
          <cell r="W25">
            <v>40636</v>
          </cell>
        </row>
        <row r="26">
          <cell r="U26" t="str">
            <v>Travel (inter-office)</v>
          </cell>
          <cell r="V26" t="str">
            <v>Non-billable travel</v>
          </cell>
          <cell r="W26">
            <v>40643</v>
          </cell>
        </row>
        <row r="27">
          <cell r="U27" t="str">
            <v>Vacation</v>
          </cell>
          <cell r="V27" t="str">
            <v>-</v>
          </cell>
          <cell r="W27">
            <v>40650</v>
          </cell>
        </row>
        <row r="28">
          <cell r="W28">
            <v>40657</v>
          </cell>
        </row>
        <row r="29">
          <cell r="W29">
            <v>40664</v>
          </cell>
        </row>
        <row r="30">
          <cell r="W30">
            <v>40671</v>
          </cell>
        </row>
        <row r="31">
          <cell r="W31">
            <v>40678</v>
          </cell>
        </row>
        <row r="32">
          <cell r="W32">
            <v>40685</v>
          </cell>
        </row>
        <row r="33">
          <cell r="W33">
            <v>40692</v>
          </cell>
        </row>
        <row r="34">
          <cell r="W34">
            <v>40699</v>
          </cell>
        </row>
        <row r="35">
          <cell r="W35">
            <v>40706</v>
          </cell>
        </row>
        <row r="36">
          <cell r="W36">
            <v>40713</v>
          </cell>
        </row>
        <row r="37">
          <cell r="W37">
            <v>40720</v>
          </cell>
        </row>
        <row r="38">
          <cell r="W38">
            <v>40727</v>
          </cell>
        </row>
        <row r="39">
          <cell r="W39">
            <v>40734</v>
          </cell>
        </row>
        <row r="40">
          <cell r="W40">
            <v>40741</v>
          </cell>
        </row>
        <row r="41">
          <cell r="W41">
            <v>40748</v>
          </cell>
        </row>
        <row r="42">
          <cell r="W42">
            <v>40755</v>
          </cell>
        </row>
        <row r="43">
          <cell r="W43">
            <v>40762</v>
          </cell>
        </row>
        <row r="44">
          <cell r="W44">
            <v>40769</v>
          </cell>
        </row>
        <row r="45">
          <cell r="W45">
            <v>40776</v>
          </cell>
        </row>
        <row r="46">
          <cell r="W46">
            <v>40783</v>
          </cell>
        </row>
        <row r="47">
          <cell r="W47">
            <v>40790</v>
          </cell>
        </row>
        <row r="48">
          <cell r="W48">
            <v>40797</v>
          </cell>
        </row>
        <row r="49">
          <cell r="W49">
            <v>40804</v>
          </cell>
        </row>
        <row r="50">
          <cell r="W50">
            <v>40811</v>
          </cell>
        </row>
        <row r="51">
          <cell r="W51">
            <v>40818</v>
          </cell>
        </row>
        <row r="52">
          <cell r="W52">
            <v>40825</v>
          </cell>
        </row>
        <row r="53">
          <cell r="W53">
            <v>40832</v>
          </cell>
        </row>
        <row r="54">
          <cell r="W54">
            <v>40839</v>
          </cell>
        </row>
        <row r="55">
          <cell r="W55">
            <v>40846</v>
          </cell>
        </row>
        <row r="56">
          <cell r="W56">
            <v>40853</v>
          </cell>
        </row>
        <row r="57">
          <cell r="W57">
            <v>40860</v>
          </cell>
        </row>
        <row r="58">
          <cell r="W58">
            <v>40867</v>
          </cell>
        </row>
        <row r="59">
          <cell r="W59">
            <v>40874</v>
          </cell>
        </row>
        <row r="60">
          <cell r="W60">
            <v>40881</v>
          </cell>
        </row>
        <row r="61">
          <cell r="W61">
            <v>40888</v>
          </cell>
        </row>
        <row r="62">
          <cell r="W62">
            <v>40895</v>
          </cell>
        </row>
        <row r="63">
          <cell r="W63">
            <v>40902</v>
          </cell>
        </row>
        <row r="64">
          <cell r="W64">
            <v>40909</v>
          </cell>
        </row>
      </sheetData>
      <sheetData sheetId="2"/>
      <sheetData sheetId="3"/>
      <sheetData sheetId="4"/>
      <sheetData sheetId="5"/>
      <sheetData sheetId="6"/>
      <sheetData sheetId="7"/>
      <sheetData sheetId="8"/>
      <sheetData sheetId="9"/>
      <sheetData sheetId="10"/>
      <sheetData sheetId="11"/>
      <sheetData sheetId="12">
        <row r="140">
          <cell r="I140" t="str">
            <v>mg</v>
          </cell>
        </row>
        <row r="141">
          <cell r="I141" t="str">
            <v>µg</v>
          </cell>
        </row>
        <row r="142">
          <cell r="I142" t="str">
            <v>ng</v>
          </cell>
        </row>
        <row r="143">
          <cell r="I143" t="str">
            <v>pg</v>
          </cell>
        </row>
        <row r="158">
          <cell r="I158" t="str">
            <v>CO</v>
          </cell>
        </row>
        <row r="159">
          <cell r="I159" t="str">
            <v>NH3</v>
          </cell>
        </row>
        <row r="160">
          <cell r="I160" t="str">
            <v>NOX</v>
          </cell>
        </row>
        <row r="161">
          <cell r="I161" t="str">
            <v>C</v>
          </cell>
        </row>
        <row r="162">
          <cell r="I162" t="str">
            <v>SOX</v>
          </cell>
        </row>
        <row r="163">
          <cell r="I163" t="str">
            <v>CH4</v>
          </cell>
        </row>
        <row r="164">
          <cell r="I164" t="str">
            <v>N/A</v>
          </cell>
        </row>
      </sheetData>
      <sheetData sheetId="13"/>
      <sheetData sheetId="14">
        <row r="4">
          <cell r="A4" t="str">
            <v>(NH4)2SO4</v>
          </cell>
          <cell r="B4">
            <v>132.13999999999999</v>
          </cell>
        </row>
        <row r="5">
          <cell r="A5" t="str">
            <v>Ba</v>
          </cell>
          <cell r="B5">
            <v>137.327</v>
          </cell>
        </row>
        <row r="6">
          <cell r="A6" t="str">
            <v>BaCl2</v>
          </cell>
          <cell r="B6">
            <v>208.233</v>
          </cell>
        </row>
        <row r="7">
          <cell r="A7" t="str">
            <v>BaCl2•2H2O</v>
          </cell>
          <cell r="B7">
            <v>244.26300000000001</v>
          </cell>
        </row>
        <row r="8">
          <cell r="A8" t="str">
            <v>BaSO4</v>
          </cell>
          <cell r="B8">
            <v>233.38900000000001</v>
          </cell>
        </row>
        <row r="9">
          <cell r="A9" t="str">
            <v>C</v>
          </cell>
          <cell r="B9">
            <v>12.01</v>
          </cell>
        </row>
        <row r="10">
          <cell r="A10" t="str">
            <v>C2H6</v>
          </cell>
          <cell r="B10">
            <v>30.07</v>
          </cell>
        </row>
        <row r="11">
          <cell r="A11" t="str">
            <v>C3H8</v>
          </cell>
          <cell r="B11">
            <v>44.09</v>
          </cell>
        </row>
        <row r="12">
          <cell r="A12" t="str">
            <v>CH4</v>
          </cell>
          <cell r="B12">
            <v>16.04</v>
          </cell>
        </row>
        <row r="13">
          <cell r="A13" t="str">
            <v>Cl</v>
          </cell>
          <cell r="B13">
            <v>35.453000000000003</v>
          </cell>
        </row>
        <row r="14">
          <cell r="A14" t="str">
            <v>CO</v>
          </cell>
          <cell r="B14">
            <v>28.01</v>
          </cell>
        </row>
        <row r="15">
          <cell r="A15" t="str">
            <v>CO2</v>
          </cell>
          <cell r="B15">
            <v>44.01</v>
          </cell>
        </row>
        <row r="16">
          <cell r="A16" t="str">
            <v>H</v>
          </cell>
          <cell r="B16">
            <v>1.008</v>
          </cell>
        </row>
        <row r="17">
          <cell r="A17" t="str">
            <v>H2SO4</v>
          </cell>
          <cell r="B17">
            <v>98.08</v>
          </cell>
        </row>
        <row r="18">
          <cell r="A18" t="str">
            <v>H2SO4•2H2O</v>
          </cell>
          <cell r="B18">
            <v>134.11000000000001</v>
          </cell>
        </row>
        <row r="19">
          <cell r="A19" t="str">
            <v>N</v>
          </cell>
          <cell r="B19">
            <v>14.007</v>
          </cell>
        </row>
        <row r="20">
          <cell r="A20" t="str">
            <v>N2O</v>
          </cell>
          <cell r="B20">
            <v>44.01</v>
          </cell>
        </row>
        <row r="21">
          <cell r="A21" t="str">
            <v>NH3</v>
          </cell>
          <cell r="B21">
            <v>17.03</v>
          </cell>
        </row>
        <row r="22">
          <cell r="A22" t="str">
            <v>NH4+</v>
          </cell>
          <cell r="B22">
            <v>18.04</v>
          </cell>
        </row>
        <row r="23">
          <cell r="A23" t="str">
            <v>NO2</v>
          </cell>
          <cell r="B23">
            <v>46.01</v>
          </cell>
        </row>
        <row r="24">
          <cell r="A24" t="str">
            <v>O</v>
          </cell>
          <cell r="B24">
            <v>15.999000000000001</v>
          </cell>
        </row>
        <row r="25">
          <cell r="A25" t="str">
            <v>S</v>
          </cell>
          <cell r="B25">
            <v>32.064999999999998</v>
          </cell>
        </row>
        <row r="26">
          <cell r="A26" t="str">
            <v>SO2</v>
          </cell>
          <cell r="B26">
            <v>64.063000000000002</v>
          </cell>
        </row>
        <row r="27">
          <cell r="A27" t="str">
            <v>SO3-</v>
          </cell>
          <cell r="B27">
            <v>80.061999999999998</v>
          </cell>
        </row>
        <row r="28">
          <cell r="A28" t="str">
            <v>SO4-2</v>
          </cell>
          <cell r="B28">
            <v>96.06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OC LRP"/>
      <sheetName val="NM LRP"/>
      <sheetName val="RA LRP"/>
      <sheetName val="OC Combustion"/>
      <sheetName val="Model"/>
      <sheetName val="Actuals_NOxCO"/>
      <sheetName val="Summary"/>
      <sheetName val="OC NOx"/>
      <sheetName val="OC CO"/>
      <sheetName val="RA emissions - POU"/>
      <sheetName val="RA-CO TitV Scenarios"/>
      <sheetName val="RA-CO years"/>
      <sheetName val="RA-NOX years"/>
      <sheetName val="Sheet3"/>
      <sheetName val="RA emissions - CO"/>
      <sheetName val="RA emissions - NOX"/>
      <sheetName val="CO Scenarios"/>
      <sheetName val="Pareto"/>
      <sheetName val="Opens"/>
      <sheetName val="EGen"/>
      <sheetName val="Assumptions1"/>
      <sheetName val="Revision"/>
      <sheetName val="Sheet2"/>
      <sheetName val="Assumptions Legal"/>
      <sheetName val="RA_AL Actuals"/>
      <sheetName val="Sheet5"/>
      <sheetName val="Sheet1"/>
      <sheetName val="Emission Factors"/>
      <sheetName val="NG Usage vs Oxidizer Temp"/>
    </sheetNames>
    <sheetDataSet>
      <sheetData sheetId="0">
        <row r="18">
          <cell r="B18">
            <v>1</v>
          </cell>
        </row>
      </sheetData>
      <sheetData sheetId="1"/>
      <sheetData sheetId="2"/>
      <sheetData sheetId="3"/>
      <sheetData sheetId="4"/>
      <sheetData sheetId="5">
        <row r="3">
          <cell r="I3">
            <v>1.1499999999999999</v>
          </cell>
        </row>
        <row r="4">
          <cell r="I4">
            <v>1.5</v>
          </cell>
        </row>
      </sheetData>
      <sheetData sheetId="6"/>
      <sheetData sheetId="7"/>
      <sheetData sheetId="8"/>
      <sheetData sheetId="9"/>
      <sheetData sheetId="10"/>
      <sheetData sheetId="11" refreshError="1"/>
      <sheetData sheetId="12" refreshError="1"/>
      <sheetData sheetId="13" refreshError="1"/>
      <sheetData sheetId="14"/>
      <sheetData sheetId="15"/>
      <sheetData sheetId="16"/>
      <sheetData sheetId="17" refreshError="1"/>
      <sheetData sheetId="18">
        <row r="29">
          <cell r="B29">
            <v>0.7</v>
          </cell>
        </row>
      </sheetData>
      <sheetData sheetId="19"/>
      <sheetData sheetId="20"/>
      <sheetData sheetId="21">
        <row r="17">
          <cell r="P17">
            <v>1023</v>
          </cell>
        </row>
        <row r="18">
          <cell r="P18">
            <v>1375</v>
          </cell>
        </row>
      </sheetData>
      <sheetData sheetId="22"/>
      <sheetData sheetId="23"/>
      <sheetData sheetId="24"/>
      <sheetData sheetId="25"/>
      <sheetData sheetId="26"/>
      <sheetData sheetId="27"/>
      <sheetData sheetId="28">
        <row r="4">
          <cell r="E4">
            <v>950.5</v>
          </cell>
          <cell r="F4">
            <v>74.2</v>
          </cell>
        </row>
        <row r="8">
          <cell r="E8">
            <v>700</v>
          </cell>
          <cell r="F8">
            <v>53.7</v>
          </cell>
        </row>
        <row r="9">
          <cell r="E9">
            <v>772.6</v>
          </cell>
          <cell r="F9">
            <v>145</v>
          </cell>
        </row>
        <row r="10">
          <cell r="E10">
            <v>572.70000000000005</v>
          </cell>
          <cell r="F10">
            <v>76.5</v>
          </cell>
        </row>
        <row r="11">
          <cell r="E11">
            <v>700</v>
          </cell>
          <cell r="F11">
            <v>53.7</v>
          </cell>
        </row>
      </sheetData>
      <sheetData sheetId="29">
        <row r="4">
          <cell r="V4">
            <v>6500000</v>
          </cell>
        </row>
        <row r="19">
          <cell r="C19">
            <v>1323321.1538461535</v>
          </cell>
          <cell r="H19">
            <v>2325653.8461538455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P Content"/>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WG Sum"/>
      <sheetName val="GWGs Definition"/>
      <sheetName val="Intro"/>
      <sheetName val="GWGs Definition_old"/>
      <sheetName val="EF &amp; Eff."/>
      <sheetName val="Chemical_EPA"/>
      <sheetName val="Tool_EPA"/>
      <sheetName val="GWG Sum 2"/>
      <sheetName val="Links Summary 2"/>
      <sheetName val="GWGs Summary 2"/>
      <sheetName val="Revision"/>
      <sheetName val="Env Goals"/>
      <sheetName val="Links Summary"/>
      <sheetName val="TF Link"/>
      <sheetName val="Etch Link"/>
      <sheetName val="Plnr link"/>
      <sheetName val="Awsb Link"/>
      <sheetName val="Diff Link"/>
      <sheetName val="Litho Link"/>
      <sheetName val="Impl Link"/>
      <sheetName val="model_EPA_chart"/>
      <sheetName val="model_EPA_chartdata"/>
      <sheetName val="GWGs Summary"/>
      <sheetName val="Subsystem GWGs by Chemical"/>
      <sheetName val="EOP GWGs by Chemical"/>
      <sheetName val="Tool GWGs by Chemical"/>
      <sheetName val="Chemical"/>
      <sheetName val="C4 Link"/>
      <sheetName val="Tool GWGs by Tool"/>
      <sheetName val="Subsystem GWGs by Tool"/>
      <sheetName val="EOP GWGs by Tool"/>
      <sheetName val="To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Commits"/>
      <sheetName val="Model"/>
      <sheetName val="Data"/>
      <sheetName val="Data2.5"/>
      <sheetName val="PM graph"/>
      <sheetName val="PM10 w_insig"/>
      <sheetName val="PM2.5 w_insig"/>
      <sheetName val="Roads"/>
      <sheetName val="Sheet1"/>
      <sheetName val="CoolingTower PTE"/>
      <sheetName val="EGen"/>
      <sheetName val="Sheet2"/>
      <sheetName val="Revision"/>
    </sheetNames>
    <sheetDataSet>
      <sheetData sheetId="0" refreshError="1"/>
      <sheetData sheetId="1">
        <row r="1">
          <cell r="E1">
            <v>2.5</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90">
          <cell r="C90">
            <v>2.2000000000000001E-3</v>
          </cell>
        </row>
      </sheetData>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8865-F669-924E-8E35-40D14A929FFF}">
  <sheetPr codeName="Sheet1"/>
  <dimension ref="A1:J15"/>
  <sheetViews>
    <sheetView workbookViewId="0"/>
  </sheetViews>
  <sheetFormatPr defaultColWidth="11" defaultRowHeight="15.6"/>
  <cols>
    <col min="1" max="1" width="30.5" customWidth="1"/>
    <col min="3" max="3" width="26.796875" customWidth="1"/>
    <col min="4" max="4" width="18" customWidth="1"/>
    <col min="5" max="5" width="36.296875" customWidth="1"/>
    <col min="6" max="8" width="11.796875" customWidth="1"/>
    <col min="9" max="9" width="18.69921875" customWidth="1"/>
    <col min="10" max="10" width="26.796875" customWidth="1"/>
  </cols>
  <sheetData>
    <row r="1" spans="1:10" ht="51" customHeight="1">
      <c r="A1" s="1" t="s">
        <v>0</v>
      </c>
      <c r="B1" s="1" t="s">
        <v>1</v>
      </c>
      <c r="C1" s="1" t="s">
        <v>2</v>
      </c>
      <c r="D1" s="1" t="s">
        <v>3</v>
      </c>
      <c r="E1" s="1" t="s">
        <v>4</v>
      </c>
      <c r="F1" s="1" t="s">
        <v>5</v>
      </c>
      <c r="G1" s="1" t="s">
        <v>6</v>
      </c>
      <c r="H1" s="1" t="s">
        <v>7</v>
      </c>
      <c r="I1" s="1" t="s">
        <v>12</v>
      </c>
      <c r="J1" s="1" t="s">
        <v>8</v>
      </c>
    </row>
    <row r="2" spans="1:10">
      <c r="A2" t="s">
        <v>9</v>
      </c>
      <c r="B2" s="368" t="s">
        <v>1398</v>
      </c>
      <c r="C2" s="368" t="s">
        <v>13</v>
      </c>
      <c r="D2" s="368" t="s">
        <v>1398</v>
      </c>
      <c r="E2" s="368"/>
      <c r="F2" s="368"/>
      <c r="G2" s="368">
        <f>19.125</f>
        <v>19.125</v>
      </c>
      <c r="H2" s="368">
        <v>595</v>
      </c>
      <c r="I2" s="368">
        <v>6460</v>
      </c>
      <c r="J2" s="368"/>
    </row>
    <row r="3" spans="1:10">
      <c r="A3" t="s">
        <v>10</v>
      </c>
      <c r="B3" s="368"/>
      <c r="C3" s="368"/>
      <c r="D3" s="368"/>
      <c r="E3" s="368"/>
      <c r="F3" s="368"/>
      <c r="G3" s="368"/>
      <c r="H3" s="368"/>
      <c r="I3" s="368"/>
      <c r="J3" s="368"/>
    </row>
    <row r="4" spans="1:10">
      <c r="A4" t="s">
        <v>11</v>
      </c>
      <c r="B4" s="368"/>
      <c r="C4" s="368"/>
      <c r="D4" s="368"/>
      <c r="E4" s="368"/>
      <c r="F4" s="368"/>
      <c r="G4" s="368"/>
      <c r="H4" s="368"/>
      <c r="I4" s="368"/>
      <c r="J4" s="368"/>
    </row>
    <row r="5" spans="1:10">
      <c r="A5" t="s">
        <v>1507</v>
      </c>
      <c r="B5" t="s">
        <v>15</v>
      </c>
      <c r="C5" t="s">
        <v>1508</v>
      </c>
      <c r="D5" t="s">
        <v>15</v>
      </c>
      <c r="E5" t="s">
        <v>16</v>
      </c>
      <c r="F5" s="369" t="s">
        <v>17</v>
      </c>
      <c r="G5" s="369"/>
      <c r="H5" s="369"/>
      <c r="I5" s="369"/>
      <c r="J5" s="369"/>
    </row>
    <row r="6" spans="1:10">
      <c r="A6" t="s">
        <v>1510</v>
      </c>
      <c r="B6" t="s">
        <v>1511</v>
      </c>
      <c r="C6" t="s">
        <v>1509</v>
      </c>
      <c r="D6" t="s">
        <v>1511</v>
      </c>
      <c r="E6" t="s">
        <v>16</v>
      </c>
      <c r="F6" s="369" t="s">
        <v>17</v>
      </c>
      <c r="G6" s="369"/>
      <c r="H6" s="369"/>
      <c r="I6" s="369"/>
      <c r="J6" s="369"/>
    </row>
    <row r="7" spans="1:10">
      <c r="A7" t="s">
        <v>18</v>
      </c>
      <c r="B7" t="s">
        <v>15</v>
      </c>
      <c r="C7" t="s">
        <v>19</v>
      </c>
      <c r="D7" t="s">
        <v>15</v>
      </c>
      <c r="F7" s="369" t="s">
        <v>20</v>
      </c>
      <c r="G7" s="369"/>
      <c r="H7" s="369"/>
      <c r="I7" s="369"/>
      <c r="J7" s="369"/>
    </row>
    <row r="8" spans="1:10">
      <c r="A8" t="s">
        <v>1512</v>
      </c>
      <c r="B8" t="s">
        <v>1401</v>
      </c>
      <c r="D8" t="s">
        <v>1401</v>
      </c>
      <c r="F8" s="2"/>
      <c r="G8" s="2"/>
      <c r="H8" s="2"/>
      <c r="I8" s="2"/>
      <c r="J8" s="2"/>
    </row>
    <row r="9" spans="1:10">
      <c r="A9" t="s">
        <v>9</v>
      </c>
      <c r="B9" t="s">
        <v>1506</v>
      </c>
      <c r="C9" t="s">
        <v>1449</v>
      </c>
      <c r="D9" t="s">
        <v>1506</v>
      </c>
    </row>
    <row r="14" spans="1:10">
      <c r="A14" t="s">
        <v>21</v>
      </c>
    </row>
    <row r="15" spans="1:10">
      <c r="A15" t="s">
        <v>1397</v>
      </c>
    </row>
  </sheetData>
  <mergeCells count="12">
    <mergeCell ref="H2:H4"/>
    <mergeCell ref="I2:I4"/>
    <mergeCell ref="J2:J4"/>
    <mergeCell ref="F5:J5"/>
    <mergeCell ref="F7:J7"/>
    <mergeCell ref="G2:G4"/>
    <mergeCell ref="F6:J6"/>
    <mergeCell ref="B2:B4"/>
    <mergeCell ref="C2:C4"/>
    <mergeCell ref="D2:D4"/>
    <mergeCell ref="E2:E4"/>
    <mergeCell ref="F2: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5402-3808-FC47-83AC-64C1C6956120}">
  <sheetPr>
    <tabColor theme="0" tint="-0.249977111117893"/>
  </sheetPr>
  <dimension ref="A1:BH48"/>
  <sheetViews>
    <sheetView zoomScale="130" zoomScaleNormal="130" workbookViewId="0">
      <selection activeCell="D30" sqref="D30"/>
    </sheetView>
  </sheetViews>
  <sheetFormatPr defaultColWidth="7.69921875" defaultRowHeight="14.4"/>
  <cols>
    <col min="1" max="1" width="12.796875" style="349" customWidth="1"/>
    <col min="2" max="2" width="42" style="349" customWidth="1"/>
    <col min="3" max="7" width="11.19921875" style="349" customWidth="1"/>
    <col min="8" max="14" width="10.296875" style="221" customWidth="1"/>
    <col min="15" max="55" width="10.296875" style="349" customWidth="1"/>
    <col min="56" max="56" width="9.69921875" style="341" customWidth="1"/>
    <col min="57" max="60" width="11.296875" style="341" customWidth="1"/>
    <col min="61" max="248" width="7.69921875" style="341"/>
    <col min="249" max="249" width="7.69921875" style="341" customWidth="1"/>
    <col min="250" max="250" width="32.5" style="341" customWidth="1"/>
    <col min="251" max="251" width="15.5" style="341" customWidth="1"/>
    <col min="252" max="252" width="13.5" style="341" customWidth="1"/>
    <col min="253" max="253" width="14.796875" style="341" customWidth="1"/>
    <col min="254" max="255" width="14" style="341" customWidth="1"/>
    <col min="256" max="256" width="12" style="341" customWidth="1"/>
    <col min="257" max="257" width="5.796875" style="341" customWidth="1"/>
    <col min="258" max="259" width="7.69921875" style="341" customWidth="1"/>
    <col min="260" max="260" width="13.5" style="341" customWidth="1"/>
    <col min="261" max="261" width="7.69921875" style="341" customWidth="1"/>
    <col min="262" max="262" width="10.19921875" style="341" customWidth="1"/>
    <col min="263" max="263" width="18.796875" style="341" customWidth="1"/>
    <col min="264" max="504" width="7.69921875" style="341"/>
    <col min="505" max="505" width="7.69921875" style="341" customWidth="1"/>
    <col min="506" max="506" width="32.5" style="341" customWidth="1"/>
    <col min="507" max="507" width="15.5" style="341" customWidth="1"/>
    <col min="508" max="508" width="13.5" style="341" customWidth="1"/>
    <col min="509" max="509" width="14.796875" style="341" customWidth="1"/>
    <col min="510" max="511" width="14" style="341" customWidth="1"/>
    <col min="512" max="512" width="12" style="341" customWidth="1"/>
    <col min="513" max="513" width="5.796875" style="341" customWidth="1"/>
    <col min="514" max="515" width="7.69921875" style="341" customWidth="1"/>
    <col min="516" max="516" width="13.5" style="341" customWidth="1"/>
    <col min="517" max="517" width="7.69921875" style="341" customWidth="1"/>
    <col min="518" max="518" width="10.19921875" style="341" customWidth="1"/>
    <col min="519" max="519" width="18.796875" style="341" customWidth="1"/>
    <col min="520" max="760" width="7.69921875" style="341"/>
    <col min="761" max="761" width="7.69921875" style="341" customWidth="1"/>
    <col min="762" max="762" width="32.5" style="341" customWidth="1"/>
    <col min="763" max="763" width="15.5" style="341" customWidth="1"/>
    <col min="764" max="764" width="13.5" style="341" customWidth="1"/>
    <col min="765" max="765" width="14.796875" style="341" customWidth="1"/>
    <col min="766" max="767" width="14" style="341" customWidth="1"/>
    <col min="768" max="768" width="12" style="341" customWidth="1"/>
    <col min="769" max="769" width="5.796875" style="341" customWidth="1"/>
    <col min="770" max="771" width="7.69921875" style="341" customWidth="1"/>
    <col min="772" max="772" width="13.5" style="341" customWidth="1"/>
    <col min="773" max="773" width="7.69921875" style="341" customWidth="1"/>
    <col min="774" max="774" width="10.19921875" style="341" customWidth="1"/>
    <col min="775" max="775" width="18.796875" style="341" customWidth="1"/>
    <col min="776" max="1016" width="7.69921875" style="341"/>
    <col min="1017" max="1017" width="7.69921875" style="341" customWidth="1"/>
    <col min="1018" max="1018" width="32.5" style="341" customWidth="1"/>
    <col min="1019" max="1019" width="15.5" style="341" customWidth="1"/>
    <col min="1020" max="1020" width="13.5" style="341" customWidth="1"/>
    <col min="1021" max="1021" width="14.796875" style="341" customWidth="1"/>
    <col min="1022" max="1023" width="14" style="341" customWidth="1"/>
    <col min="1024" max="1024" width="12" style="341" customWidth="1"/>
    <col min="1025" max="1025" width="5.796875" style="341" customWidth="1"/>
    <col min="1026" max="1027" width="7.69921875" style="341" customWidth="1"/>
    <col min="1028" max="1028" width="13.5" style="341" customWidth="1"/>
    <col min="1029" max="1029" width="7.69921875" style="341" customWidth="1"/>
    <col min="1030" max="1030" width="10.19921875" style="341" customWidth="1"/>
    <col min="1031" max="1031" width="18.796875" style="341" customWidth="1"/>
    <col min="1032" max="1272" width="7.69921875" style="341"/>
    <col min="1273" max="1273" width="7.69921875" style="341" customWidth="1"/>
    <col min="1274" max="1274" width="32.5" style="341" customWidth="1"/>
    <col min="1275" max="1275" width="15.5" style="341" customWidth="1"/>
    <col min="1276" max="1276" width="13.5" style="341" customWidth="1"/>
    <col min="1277" max="1277" width="14.796875" style="341" customWidth="1"/>
    <col min="1278" max="1279" width="14" style="341" customWidth="1"/>
    <col min="1280" max="1280" width="12" style="341" customWidth="1"/>
    <col min="1281" max="1281" width="5.796875" style="341" customWidth="1"/>
    <col min="1282" max="1283" width="7.69921875" style="341" customWidth="1"/>
    <col min="1284" max="1284" width="13.5" style="341" customWidth="1"/>
    <col min="1285" max="1285" width="7.69921875" style="341" customWidth="1"/>
    <col min="1286" max="1286" width="10.19921875" style="341" customWidth="1"/>
    <col min="1287" max="1287" width="18.796875" style="341" customWidth="1"/>
    <col min="1288" max="1528" width="7.69921875" style="341"/>
    <col min="1529" max="1529" width="7.69921875" style="341" customWidth="1"/>
    <col min="1530" max="1530" width="32.5" style="341" customWidth="1"/>
    <col min="1531" max="1531" width="15.5" style="341" customWidth="1"/>
    <col min="1532" max="1532" width="13.5" style="341" customWidth="1"/>
    <col min="1533" max="1533" width="14.796875" style="341" customWidth="1"/>
    <col min="1534" max="1535" width="14" style="341" customWidth="1"/>
    <col min="1536" max="1536" width="12" style="341" customWidth="1"/>
    <col min="1537" max="1537" width="5.796875" style="341" customWidth="1"/>
    <col min="1538" max="1539" width="7.69921875" style="341" customWidth="1"/>
    <col min="1540" max="1540" width="13.5" style="341" customWidth="1"/>
    <col min="1541" max="1541" width="7.69921875" style="341" customWidth="1"/>
    <col min="1542" max="1542" width="10.19921875" style="341" customWidth="1"/>
    <col min="1543" max="1543" width="18.796875" style="341" customWidth="1"/>
    <col min="1544" max="1784" width="7.69921875" style="341"/>
    <col min="1785" max="1785" width="7.69921875" style="341" customWidth="1"/>
    <col min="1786" max="1786" width="32.5" style="341" customWidth="1"/>
    <col min="1787" max="1787" width="15.5" style="341" customWidth="1"/>
    <col min="1788" max="1788" width="13.5" style="341" customWidth="1"/>
    <col min="1789" max="1789" width="14.796875" style="341" customWidth="1"/>
    <col min="1790" max="1791" width="14" style="341" customWidth="1"/>
    <col min="1792" max="1792" width="12" style="341" customWidth="1"/>
    <col min="1793" max="1793" width="5.796875" style="341" customWidth="1"/>
    <col min="1794" max="1795" width="7.69921875" style="341" customWidth="1"/>
    <col min="1796" max="1796" width="13.5" style="341" customWidth="1"/>
    <col min="1797" max="1797" width="7.69921875" style="341" customWidth="1"/>
    <col min="1798" max="1798" width="10.19921875" style="341" customWidth="1"/>
    <col min="1799" max="1799" width="18.796875" style="341" customWidth="1"/>
    <col min="1800" max="2040" width="7.69921875" style="341"/>
    <col min="2041" max="2041" width="7.69921875" style="341" customWidth="1"/>
    <col min="2042" max="2042" width="32.5" style="341" customWidth="1"/>
    <col min="2043" max="2043" width="15.5" style="341" customWidth="1"/>
    <col min="2044" max="2044" width="13.5" style="341" customWidth="1"/>
    <col min="2045" max="2045" width="14.796875" style="341" customWidth="1"/>
    <col min="2046" max="2047" width="14" style="341" customWidth="1"/>
    <col min="2048" max="2048" width="12" style="341" customWidth="1"/>
    <col min="2049" max="2049" width="5.796875" style="341" customWidth="1"/>
    <col min="2050" max="2051" width="7.69921875" style="341" customWidth="1"/>
    <col min="2052" max="2052" width="13.5" style="341" customWidth="1"/>
    <col min="2053" max="2053" width="7.69921875" style="341" customWidth="1"/>
    <col min="2054" max="2054" width="10.19921875" style="341" customWidth="1"/>
    <col min="2055" max="2055" width="18.796875" style="341" customWidth="1"/>
    <col min="2056" max="2296" width="7.69921875" style="341"/>
    <col min="2297" max="2297" width="7.69921875" style="341" customWidth="1"/>
    <col min="2298" max="2298" width="32.5" style="341" customWidth="1"/>
    <col min="2299" max="2299" width="15.5" style="341" customWidth="1"/>
    <col min="2300" max="2300" width="13.5" style="341" customWidth="1"/>
    <col min="2301" max="2301" width="14.796875" style="341" customWidth="1"/>
    <col min="2302" max="2303" width="14" style="341" customWidth="1"/>
    <col min="2304" max="2304" width="12" style="341" customWidth="1"/>
    <col min="2305" max="2305" width="5.796875" style="341" customWidth="1"/>
    <col min="2306" max="2307" width="7.69921875" style="341" customWidth="1"/>
    <col min="2308" max="2308" width="13.5" style="341" customWidth="1"/>
    <col min="2309" max="2309" width="7.69921875" style="341" customWidth="1"/>
    <col min="2310" max="2310" width="10.19921875" style="341" customWidth="1"/>
    <col min="2311" max="2311" width="18.796875" style="341" customWidth="1"/>
    <col min="2312" max="2552" width="7.69921875" style="341"/>
    <col min="2553" max="2553" width="7.69921875" style="341" customWidth="1"/>
    <col min="2554" max="2554" width="32.5" style="341" customWidth="1"/>
    <col min="2555" max="2555" width="15.5" style="341" customWidth="1"/>
    <col min="2556" max="2556" width="13.5" style="341" customWidth="1"/>
    <col min="2557" max="2557" width="14.796875" style="341" customWidth="1"/>
    <col min="2558" max="2559" width="14" style="341" customWidth="1"/>
    <col min="2560" max="2560" width="12" style="341" customWidth="1"/>
    <col min="2561" max="2561" width="5.796875" style="341" customWidth="1"/>
    <col min="2562" max="2563" width="7.69921875" style="341" customWidth="1"/>
    <col min="2564" max="2564" width="13.5" style="341" customWidth="1"/>
    <col min="2565" max="2565" width="7.69921875" style="341" customWidth="1"/>
    <col min="2566" max="2566" width="10.19921875" style="341" customWidth="1"/>
    <col min="2567" max="2567" width="18.796875" style="341" customWidth="1"/>
    <col min="2568" max="2808" width="7.69921875" style="341"/>
    <col min="2809" max="2809" width="7.69921875" style="341" customWidth="1"/>
    <col min="2810" max="2810" width="32.5" style="341" customWidth="1"/>
    <col min="2811" max="2811" width="15.5" style="341" customWidth="1"/>
    <col min="2812" max="2812" width="13.5" style="341" customWidth="1"/>
    <col min="2813" max="2813" width="14.796875" style="341" customWidth="1"/>
    <col min="2814" max="2815" width="14" style="341" customWidth="1"/>
    <col min="2816" max="2816" width="12" style="341" customWidth="1"/>
    <col min="2817" max="2817" width="5.796875" style="341" customWidth="1"/>
    <col min="2818" max="2819" width="7.69921875" style="341" customWidth="1"/>
    <col min="2820" max="2820" width="13.5" style="341" customWidth="1"/>
    <col min="2821" max="2821" width="7.69921875" style="341" customWidth="1"/>
    <col min="2822" max="2822" width="10.19921875" style="341" customWidth="1"/>
    <col min="2823" max="2823" width="18.796875" style="341" customWidth="1"/>
    <col min="2824" max="3064" width="7.69921875" style="341"/>
    <col min="3065" max="3065" width="7.69921875" style="341" customWidth="1"/>
    <col min="3066" max="3066" width="32.5" style="341" customWidth="1"/>
    <col min="3067" max="3067" width="15.5" style="341" customWidth="1"/>
    <col min="3068" max="3068" width="13.5" style="341" customWidth="1"/>
    <col min="3069" max="3069" width="14.796875" style="341" customWidth="1"/>
    <col min="3070" max="3071" width="14" style="341" customWidth="1"/>
    <col min="3072" max="3072" width="12" style="341" customWidth="1"/>
    <col min="3073" max="3073" width="5.796875" style="341" customWidth="1"/>
    <col min="3074" max="3075" width="7.69921875" style="341" customWidth="1"/>
    <col min="3076" max="3076" width="13.5" style="341" customWidth="1"/>
    <col min="3077" max="3077" width="7.69921875" style="341" customWidth="1"/>
    <col min="3078" max="3078" width="10.19921875" style="341" customWidth="1"/>
    <col min="3079" max="3079" width="18.796875" style="341" customWidth="1"/>
    <col min="3080" max="3320" width="7.69921875" style="341"/>
    <col min="3321" max="3321" width="7.69921875" style="341" customWidth="1"/>
    <col min="3322" max="3322" width="32.5" style="341" customWidth="1"/>
    <col min="3323" max="3323" width="15.5" style="341" customWidth="1"/>
    <col min="3324" max="3324" width="13.5" style="341" customWidth="1"/>
    <col min="3325" max="3325" width="14.796875" style="341" customWidth="1"/>
    <col min="3326" max="3327" width="14" style="341" customWidth="1"/>
    <col min="3328" max="3328" width="12" style="341" customWidth="1"/>
    <col min="3329" max="3329" width="5.796875" style="341" customWidth="1"/>
    <col min="3330" max="3331" width="7.69921875" style="341" customWidth="1"/>
    <col min="3332" max="3332" width="13.5" style="341" customWidth="1"/>
    <col min="3333" max="3333" width="7.69921875" style="341" customWidth="1"/>
    <col min="3334" max="3334" width="10.19921875" style="341" customWidth="1"/>
    <col min="3335" max="3335" width="18.796875" style="341" customWidth="1"/>
    <col min="3336" max="3576" width="7.69921875" style="341"/>
    <col min="3577" max="3577" width="7.69921875" style="341" customWidth="1"/>
    <col min="3578" max="3578" width="32.5" style="341" customWidth="1"/>
    <col min="3579" max="3579" width="15.5" style="341" customWidth="1"/>
    <col min="3580" max="3580" width="13.5" style="341" customWidth="1"/>
    <col min="3581" max="3581" width="14.796875" style="341" customWidth="1"/>
    <col min="3582" max="3583" width="14" style="341" customWidth="1"/>
    <col min="3584" max="3584" width="12" style="341" customWidth="1"/>
    <col min="3585" max="3585" width="5.796875" style="341" customWidth="1"/>
    <col min="3586" max="3587" width="7.69921875" style="341" customWidth="1"/>
    <col min="3588" max="3588" width="13.5" style="341" customWidth="1"/>
    <col min="3589" max="3589" width="7.69921875" style="341" customWidth="1"/>
    <col min="3590" max="3590" width="10.19921875" style="341" customWidth="1"/>
    <col min="3591" max="3591" width="18.796875" style="341" customWidth="1"/>
    <col min="3592" max="3832" width="7.69921875" style="341"/>
    <col min="3833" max="3833" width="7.69921875" style="341" customWidth="1"/>
    <col min="3834" max="3834" width="32.5" style="341" customWidth="1"/>
    <col min="3835" max="3835" width="15.5" style="341" customWidth="1"/>
    <col min="3836" max="3836" width="13.5" style="341" customWidth="1"/>
    <col min="3837" max="3837" width="14.796875" style="341" customWidth="1"/>
    <col min="3838" max="3839" width="14" style="341" customWidth="1"/>
    <col min="3840" max="3840" width="12" style="341" customWidth="1"/>
    <col min="3841" max="3841" width="5.796875" style="341" customWidth="1"/>
    <col min="3842" max="3843" width="7.69921875" style="341" customWidth="1"/>
    <col min="3844" max="3844" width="13.5" style="341" customWidth="1"/>
    <col min="3845" max="3845" width="7.69921875" style="341" customWidth="1"/>
    <col min="3846" max="3846" width="10.19921875" style="341" customWidth="1"/>
    <col min="3847" max="3847" width="18.796875" style="341" customWidth="1"/>
    <col min="3848" max="4088" width="7.69921875" style="341"/>
    <col min="4089" max="4089" width="7.69921875" style="341" customWidth="1"/>
    <col min="4090" max="4090" width="32.5" style="341" customWidth="1"/>
    <col min="4091" max="4091" width="15.5" style="341" customWidth="1"/>
    <col min="4092" max="4092" width="13.5" style="341" customWidth="1"/>
    <col min="4093" max="4093" width="14.796875" style="341" customWidth="1"/>
    <col min="4094" max="4095" width="14" style="341" customWidth="1"/>
    <col min="4096" max="4096" width="12" style="341" customWidth="1"/>
    <col min="4097" max="4097" width="5.796875" style="341" customWidth="1"/>
    <col min="4098" max="4099" width="7.69921875" style="341" customWidth="1"/>
    <col min="4100" max="4100" width="13.5" style="341" customWidth="1"/>
    <col min="4101" max="4101" width="7.69921875" style="341" customWidth="1"/>
    <col min="4102" max="4102" width="10.19921875" style="341" customWidth="1"/>
    <col min="4103" max="4103" width="18.796875" style="341" customWidth="1"/>
    <col min="4104" max="4344" width="7.69921875" style="341"/>
    <col min="4345" max="4345" width="7.69921875" style="341" customWidth="1"/>
    <col min="4346" max="4346" width="32.5" style="341" customWidth="1"/>
    <col min="4347" max="4347" width="15.5" style="341" customWidth="1"/>
    <col min="4348" max="4348" width="13.5" style="341" customWidth="1"/>
    <col min="4349" max="4349" width="14.796875" style="341" customWidth="1"/>
    <col min="4350" max="4351" width="14" style="341" customWidth="1"/>
    <col min="4352" max="4352" width="12" style="341" customWidth="1"/>
    <col min="4353" max="4353" width="5.796875" style="341" customWidth="1"/>
    <col min="4354" max="4355" width="7.69921875" style="341" customWidth="1"/>
    <col min="4356" max="4356" width="13.5" style="341" customWidth="1"/>
    <col min="4357" max="4357" width="7.69921875" style="341" customWidth="1"/>
    <col min="4358" max="4358" width="10.19921875" style="341" customWidth="1"/>
    <col min="4359" max="4359" width="18.796875" style="341" customWidth="1"/>
    <col min="4360" max="4600" width="7.69921875" style="341"/>
    <col min="4601" max="4601" width="7.69921875" style="341" customWidth="1"/>
    <col min="4602" max="4602" width="32.5" style="341" customWidth="1"/>
    <col min="4603" max="4603" width="15.5" style="341" customWidth="1"/>
    <col min="4604" max="4604" width="13.5" style="341" customWidth="1"/>
    <col min="4605" max="4605" width="14.796875" style="341" customWidth="1"/>
    <col min="4606" max="4607" width="14" style="341" customWidth="1"/>
    <col min="4608" max="4608" width="12" style="341" customWidth="1"/>
    <col min="4609" max="4609" width="5.796875" style="341" customWidth="1"/>
    <col min="4610" max="4611" width="7.69921875" style="341" customWidth="1"/>
    <col min="4612" max="4612" width="13.5" style="341" customWidth="1"/>
    <col min="4613" max="4613" width="7.69921875" style="341" customWidth="1"/>
    <col min="4614" max="4614" width="10.19921875" style="341" customWidth="1"/>
    <col min="4615" max="4615" width="18.796875" style="341" customWidth="1"/>
    <col min="4616" max="4856" width="7.69921875" style="341"/>
    <col min="4857" max="4857" width="7.69921875" style="341" customWidth="1"/>
    <col min="4858" max="4858" width="32.5" style="341" customWidth="1"/>
    <col min="4859" max="4859" width="15.5" style="341" customWidth="1"/>
    <col min="4860" max="4860" width="13.5" style="341" customWidth="1"/>
    <col min="4861" max="4861" width="14.796875" style="341" customWidth="1"/>
    <col min="4862" max="4863" width="14" style="341" customWidth="1"/>
    <col min="4864" max="4864" width="12" style="341" customWidth="1"/>
    <col min="4865" max="4865" width="5.796875" style="341" customWidth="1"/>
    <col min="4866" max="4867" width="7.69921875" style="341" customWidth="1"/>
    <col min="4868" max="4868" width="13.5" style="341" customWidth="1"/>
    <col min="4869" max="4869" width="7.69921875" style="341" customWidth="1"/>
    <col min="4870" max="4870" width="10.19921875" style="341" customWidth="1"/>
    <col min="4871" max="4871" width="18.796875" style="341" customWidth="1"/>
    <col min="4872" max="5112" width="7.69921875" style="341"/>
    <col min="5113" max="5113" width="7.69921875" style="341" customWidth="1"/>
    <col min="5114" max="5114" width="32.5" style="341" customWidth="1"/>
    <col min="5115" max="5115" width="15.5" style="341" customWidth="1"/>
    <col min="5116" max="5116" width="13.5" style="341" customWidth="1"/>
    <col min="5117" max="5117" width="14.796875" style="341" customWidth="1"/>
    <col min="5118" max="5119" width="14" style="341" customWidth="1"/>
    <col min="5120" max="5120" width="12" style="341" customWidth="1"/>
    <col min="5121" max="5121" width="5.796875" style="341" customWidth="1"/>
    <col min="5122" max="5123" width="7.69921875" style="341" customWidth="1"/>
    <col min="5124" max="5124" width="13.5" style="341" customWidth="1"/>
    <col min="5125" max="5125" width="7.69921875" style="341" customWidth="1"/>
    <col min="5126" max="5126" width="10.19921875" style="341" customWidth="1"/>
    <col min="5127" max="5127" width="18.796875" style="341" customWidth="1"/>
    <col min="5128" max="5368" width="7.69921875" style="341"/>
    <col min="5369" max="5369" width="7.69921875" style="341" customWidth="1"/>
    <col min="5370" max="5370" width="32.5" style="341" customWidth="1"/>
    <col min="5371" max="5371" width="15.5" style="341" customWidth="1"/>
    <col min="5372" max="5372" width="13.5" style="341" customWidth="1"/>
    <col min="5373" max="5373" width="14.796875" style="341" customWidth="1"/>
    <col min="5374" max="5375" width="14" style="341" customWidth="1"/>
    <col min="5376" max="5376" width="12" style="341" customWidth="1"/>
    <col min="5377" max="5377" width="5.796875" style="341" customWidth="1"/>
    <col min="5378" max="5379" width="7.69921875" style="341" customWidth="1"/>
    <col min="5380" max="5380" width="13.5" style="341" customWidth="1"/>
    <col min="5381" max="5381" width="7.69921875" style="341" customWidth="1"/>
    <col min="5382" max="5382" width="10.19921875" style="341" customWidth="1"/>
    <col min="5383" max="5383" width="18.796875" style="341" customWidth="1"/>
    <col min="5384" max="5624" width="7.69921875" style="341"/>
    <col min="5625" max="5625" width="7.69921875" style="341" customWidth="1"/>
    <col min="5626" max="5626" width="32.5" style="341" customWidth="1"/>
    <col min="5627" max="5627" width="15.5" style="341" customWidth="1"/>
    <col min="5628" max="5628" width="13.5" style="341" customWidth="1"/>
    <col min="5629" max="5629" width="14.796875" style="341" customWidth="1"/>
    <col min="5630" max="5631" width="14" style="341" customWidth="1"/>
    <col min="5632" max="5632" width="12" style="341" customWidth="1"/>
    <col min="5633" max="5633" width="5.796875" style="341" customWidth="1"/>
    <col min="5634" max="5635" width="7.69921875" style="341" customWidth="1"/>
    <col min="5636" max="5636" width="13.5" style="341" customWidth="1"/>
    <col min="5637" max="5637" width="7.69921875" style="341" customWidth="1"/>
    <col min="5638" max="5638" width="10.19921875" style="341" customWidth="1"/>
    <col min="5639" max="5639" width="18.796875" style="341" customWidth="1"/>
    <col min="5640" max="5880" width="7.69921875" style="341"/>
    <col min="5881" max="5881" width="7.69921875" style="341" customWidth="1"/>
    <col min="5882" max="5882" width="32.5" style="341" customWidth="1"/>
    <col min="5883" max="5883" width="15.5" style="341" customWidth="1"/>
    <col min="5884" max="5884" width="13.5" style="341" customWidth="1"/>
    <col min="5885" max="5885" width="14.796875" style="341" customWidth="1"/>
    <col min="5886" max="5887" width="14" style="341" customWidth="1"/>
    <col min="5888" max="5888" width="12" style="341" customWidth="1"/>
    <col min="5889" max="5889" width="5.796875" style="341" customWidth="1"/>
    <col min="5890" max="5891" width="7.69921875" style="341" customWidth="1"/>
    <col min="5892" max="5892" width="13.5" style="341" customWidth="1"/>
    <col min="5893" max="5893" width="7.69921875" style="341" customWidth="1"/>
    <col min="5894" max="5894" width="10.19921875" style="341" customWidth="1"/>
    <col min="5895" max="5895" width="18.796875" style="341" customWidth="1"/>
    <col min="5896" max="6136" width="7.69921875" style="341"/>
    <col min="6137" max="6137" width="7.69921875" style="341" customWidth="1"/>
    <col min="6138" max="6138" width="32.5" style="341" customWidth="1"/>
    <col min="6139" max="6139" width="15.5" style="341" customWidth="1"/>
    <col min="6140" max="6140" width="13.5" style="341" customWidth="1"/>
    <col min="6141" max="6141" width="14.796875" style="341" customWidth="1"/>
    <col min="6142" max="6143" width="14" style="341" customWidth="1"/>
    <col min="6144" max="6144" width="12" style="341" customWidth="1"/>
    <col min="6145" max="6145" width="5.796875" style="341" customWidth="1"/>
    <col min="6146" max="6147" width="7.69921875" style="341" customWidth="1"/>
    <col min="6148" max="6148" width="13.5" style="341" customWidth="1"/>
    <col min="6149" max="6149" width="7.69921875" style="341" customWidth="1"/>
    <col min="6150" max="6150" width="10.19921875" style="341" customWidth="1"/>
    <col min="6151" max="6151" width="18.796875" style="341" customWidth="1"/>
    <col min="6152" max="6392" width="7.69921875" style="341"/>
    <col min="6393" max="6393" width="7.69921875" style="341" customWidth="1"/>
    <col min="6394" max="6394" width="32.5" style="341" customWidth="1"/>
    <col min="6395" max="6395" width="15.5" style="341" customWidth="1"/>
    <col min="6396" max="6396" width="13.5" style="341" customWidth="1"/>
    <col min="6397" max="6397" width="14.796875" style="341" customWidth="1"/>
    <col min="6398" max="6399" width="14" style="341" customWidth="1"/>
    <col min="6400" max="6400" width="12" style="341" customWidth="1"/>
    <col min="6401" max="6401" width="5.796875" style="341" customWidth="1"/>
    <col min="6402" max="6403" width="7.69921875" style="341" customWidth="1"/>
    <col min="6404" max="6404" width="13.5" style="341" customWidth="1"/>
    <col min="6405" max="6405" width="7.69921875" style="341" customWidth="1"/>
    <col min="6406" max="6406" width="10.19921875" style="341" customWidth="1"/>
    <col min="6407" max="6407" width="18.796875" style="341" customWidth="1"/>
    <col min="6408" max="6648" width="7.69921875" style="341"/>
    <col min="6649" max="6649" width="7.69921875" style="341" customWidth="1"/>
    <col min="6650" max="6650" width="32.5" style="341" customWidth="1"/>
    <col min="6651" max="6651" width="15.5" style="341" customWidth="1"/>
    <col min="6652" max="6652" width="13.5" style="341" customWidth="1"/>
    <col min="6653" max="6653" width="14.796875" style="341" customWidth="1"/>
    <col min="6654" max="6655" width="14" style="341" customWidth="1"/>
    <col min="6656" max="6656" width="12" style="341" customWidth="1"/>
    <col min="6657" max="6657" width="5.796875" style="341" customWidth="1"/>
    <col min="6658" max="6659" width="7.69921875" style="341" customWidth="1"/>
    <col min="6660" max="6660" width="13.5" style="341" customWidth="1"/>
    <col min="6661" max="6661" width="7.69921875" style="341" customWidth="1"/>
    <col min="6662" max="6662" width="10.19921875" style="341" customWidth="1"/>
    <col min="6663" max="6663" width="18.796875" style="341" customWidth="1"/>
    <col min="6664" max="6904" width="7.69921875" style="341"/>
    <col min="6905" max="6905" width="7.69921875" style="341" customWidth="1"/>
    <col min="6906" max="6906" width="32.5" style="341" customWidth="1"/>
    <col min="6907" max="6907" width="15.5" style="341" customWidth="1"/>
    <col min="6908" max="6908" width="13.5" style="341" customWidth="1"/>
    <col min="6909" max="6909" width="14.796875" style="341" customWidth="1"/>
    <col min="6910" max="6911" width="14" style="341" customWidth="1"/>
    <col min="6912" max="6912" width="12" style="341" customWidth="1"/>
    <col min="6913" max="6913" width="5.796875" style="341" customWidth="1"/>
    <col min="6914" max="6915" width="7.69921875" style="341" customWidth="1"/>
    <col min="6916" max="6916" width="13.5" style="341" customWidth="1"/>
    <col min="6917" max="6917" width="7.69921875" style="341" customWidth="1"/>
    <col min="6918" max="6918" width="10.19921875" style="341" customWidth="1"/>
    <col min="6919" max="6919" width="18.796875" style="341" customWidth="1"/>
    <col min="6920" max="7160" width="7.69921875" style="341"/>
    <col min="7161" max="7161" width="7.69921875" style="341" customWidth="1"/>
    <col min="7162" max="7162" width="32.5" style="341" customWidth="1"/>
    <col min="7163" max="7163" width="15.5" style="341" customWidth="1"/>
    <col min="7164" max="7164" width="13.5" style="341" customWidth="1"/>
    <col min="7165" max="7165" width="14.796875" style="341" customWidth="1"/>
    <col min="7166" max="7167" width="14" style="341" customWidth="1"/>
    <col min="7168" max="7168" width="12" style="341" customWidth="1"/>
    <col min="7169" max="7169" width="5.796875" style="341" customWidth="1"/>
    <col min="7170" max="7171" width="7.69921875" style="341" customWidth="1"/>
    <col min="7172" max="7172" width="13.5" style="341" customWidth="1"/>
    <col min="7173" max="7173" width="7.69921875" style="341" customWidth="1"/>
    <col min="7174" max="7174" width="10.19921875" style="341" customWidth="1"/>
    <col min="7175" max="7175" width="18.796875" style="341" customWidth="1"/>
    <col min="7176" max="7416" width="7.69921875" style="341"/>
    <col min="7417" max="7417" width="7.69921875" style="341" customWidth="1"/>
    <col min="7418" max="7418" width="32.5" style="341" customWidth="1"/>
    <col min="7419" max="7419" width="15.5" style="341" customWidth="1"/>
    <col min="7420" max="7420" width="13.5" style="341" customWidth="1"/>
    <col min="7421" max="7421" width="14.796875" style="341" customWidth="1"/>
    <col min="7422" max="7423" width="14" style="341" customWidth="1"/>
    <col min="7424" max="7424" width="12" style="341" customWidth="1"/>
    <col min="7425" max="7425" width="5.796875" style="341" customWidth="1"/>
    <col min="7426" max="7427" width="7.69921875" style="341" customWidth="1"/>
    <col min="7428" max="7428" width="13.5" style="341" customWidth="1"/>
    <col min="7429" max="7429" width="7.69921875" style="341" customWidth="1"/>
    <col min="7430" max="7430" width="10.19921875" style="341" customWidth="1"/>
    <col min="7431" max="7431" width="18.796875" style="341" customWidth="1"/>
    <col min="7432" max="7672" width="7.69921875" style="341"/>
    <col min="7673" max="7673" width="7.69921875" style="341" customWidth="1"/>
    <col min="7674" max="7674" width="32.5" style="341" customWidth="1"/>
    <col min="7675" max="7675" width="15.5" style="341" customWidth="1"/>
    <col min="7676" max="7676" width="13.5" style="341" customWidth="1"/>
    <col min="7677" max="7677" width="14.796875" style="341" customWidth="1"/>
    <col min="7678" max="7679" width="14" style="341" customWidth="1"/>
    <col min="7680" max="7680" width="12" style="341" customWidth="1"/>
    <col min="7681" max="7681" width="5.796875" style="341" customWidth="1"/>
    <col min="7682" max="7683" width="7.69921875" style="341" customWidth="1"/>
    <col min="7684" max="7684" width="13.5" style="341" customWidth="1"/>
    <col min="7685" max="7685" width="7.69921875" style="341" customWidth="1"/>
    <col min="7686" max="7686" width="10.19921875" style="341" customWidth="1"/>
    <col min="7687" max="7687" width="18.796875" style="341" customWidth="1"/>
    <col min="7688" max="7928" width="7.69921875" style="341"/>
    <col min="7929" max="7929" width="7.69921875" style="341" customWidth="1"/>
    <col min="7930" max="7930" width="32.5" style="341" customWidth="1"/>
    <col min="7931" max="7931" width="15.5" style="341" customWidth="1"/>
    <col min="7932" max="7932" width="13.5" style="341" customWidth="1"/>
    <col min="7933" max="7933" width="14.796875" style="341" customWidth="1"/>
    <col min="7934" max="7935" width="14" style="341" customWidth="1"/>
    <col min="7936" max="7936" width="12" style="341" customWidth="1"/>
    <col min="7937" max="7937" width="5.796875" style="341" customWidth="1"/>
    <col min="7938" max="7939" width="7.69921875" style="341" customWidth="1"/>
    <col min="7940" max="7940" width="13.5" style="341" customWidth="1"/>
    <col min="7941" max="7941" width="7.69921875" style="341" customWidth="1"/>
    <col min="7942" max="7942" width="10.19921875" style="341" customWidth="1"/>
    <col min="7943" max="7943" width="18.796875" style="341" customWidth="1"/>
    <col min="7944" max="8184" width="7.69921875" style="341"/>
    <col min="8185" max="8185" width="7.69921875" style="341" customWidth="1"/>
    <col min="8186" max="8186" width="32.5" style="341" customWidth="1"/>
    <col min="8187" max="8187" width="15.5" style="341" customWidth="1"/>
    <col min="8188" max="8188" width="13.5" style="341" customWidth="1"/>
    <col min="8189" max="8189" width="14.796875" style="341" customWidth="1"/>
    <col min="8190" max="8191" width="14" style="341" customWidth="1"/>
    <col min="8192" max="8192" width="12" style="341" customWidth="1"/>
    <col min="8193" max="8193" width="5.796875" style="341" customWidth="1"/>
    <col min="8194" max="8195" width="7.69921875" style="341" customWidth="1"/>
    <col min="8196" max="8196" width="13.5" style="341" customWidth="1"/>
    <col min="8197" max="8197" width="7.69921875" style="341" customWidth="1"/>
    <col min="8198" max="8198" width="10.19921875" style="341" customWidth="1"/>
    <col min="8199" max="8199" width="18.796875" style="341" customWidth="1"/>
    <col min="8200" max="8440" width="7.69921875" style="341"/>
    <col min="8441" max="8441" width="7.69921875" style="341" customWidth="1"/>
    <col min="8442" max="8442" width="32.5" style="341" customWidth="1"/>
    <col min="8443" max="8443" width="15.5" style="341" customWidth="1"/>
    <col min="8444" max="8444" width="13.5" style="341" customWidth="1"/>
    <col min="8445" max="8445" width="14.796875" style="341" customWidth="1"/>
    <col min="8446" max="8447" width="14" style="341" customWidth="1"/>
    <col min="8448" max="8448" width="12" style="341" customWidth="1"/>
    <col min="8449" max="8449" width="5.796875" style="341" customWidth="1"/>
    <col min="8450" max="8451" width="7.69921875" style="341" customWidth="1"/>
    <col min="8452" max="8452" width="13.5" style="341" customWidth="1"/>
    <col min="8453" max="8453" width="7.69921875" style="341" customWidth="1"/>
    <col min="8454" max="8454" width="10.19921875" style="341" customWidth="1"/>
    <col min="8455" max="8455" width="18.796875" style="341" customWidth="1"/>
    <col min="8456" max="8696" width="7.69921875" style="341"/>
    <col min="8697" max="8697" width="7.69921875" style="341" customWidth="1"/>
    <col min="8698" max="8698" width="32.5" style="341" customWidth="1"/>
    <col min="8699" max="8699" width="15.5" style="341" customWidth="1"/>
    <col min="8700" max="8700" width="13.5" style="341" customWidth="1"/>
    <col min="8701" max="8701" width="14.796875" style="341" customWidth="1"/>
    <col min="8702" max="8703" width="14" style="341" customWidth="1"/>
    <col min="8704" max="8704" width="12" style="341" customWidth="1"/>
    <col min="8705" max="8705" width="5.796875" style="341" customWidth="1"/>
    <col min="8706" max="8707" width="7.69921875" style="341" customWidth="1"/>
    <col min="8708" max="8708" width="13.5" style="341" customWidth="1"/>
    <col min="8709" max="8709" width="7.69921875" style="341" customWidth="1"/>
    <col min="8710" max="8710" width="10.19921875" style="341" customWidth="1"/>
    <col min="8711" max="8711" width="18.796875" style="341" customWidth="1"/>
    <col min="8712" max="8952" width="7.69921875" style="341"/>
    <col min="8953" max="8953" width="7.69921875" style="341" customWidth="1"/>
    <col min="8954" max="8954" width="32.5" style="341" customWidth="1"/>
    <col min="8955" max="8955" width="15.5" style="341" customWidth="1"/>
    <col min="8956" max="8956" width="13.5" style="341" customWidth="1"/>
    <col min="8957" max="8957" width="14.796875" style="341" customWidth="1"/>
    <col min="8958" max="8959" width="14" style="341" customWidth="1"/>
    <col min="8960" max="8960" width="12" style="341" customWidth="1"/>
    <col min="8961" max="8961" width="5.796875" style="341" customWidth="1"/>
    <col min="8962" max="8963" width="7.69921875" style="341" customWidth="1"/>
    <col min="8964" max="8964" width="13.5" style="341" customWidth="1"/>
    <col min="8965" max="8965" width="7.69921875" style="341" customWidth="1"/>
    <col min="8966" max="8966" width="10.19921875" style="341" customWidth="1"/>
    <col min="8967" max="8967" width="18.796875" style="341" customWidth="1"/>
    <col min="8968" max="9208" width="7.69921875" style="341"/>
    <col min="9209" max="9209" width="7.69921875" style="341" customWidth="1"/>
    <col min="9210" max="9210" width="32.5" style="341" customWidth="1"/>
    <col min="9211" max="9211" width="15.5" style="341" customWidth="1"/>
    <col min="9212" max="9212" width="13.5" style="341" customWidth="1"/>
    <col min="9213" max="9213" width="14.796875" style="341" customWidth="1"/>
    <col min="9214" max="9215" width="14" style="341" customWidth="1"/>
    <col min="9216" max="9216" width="12" style="341" customWidth="1"/>
    <col min="9217" max="9217" width="5.796875" style="341" customWidth="1"/>
    <col min="9218" max="9219" width="7.69921875" style="341" customWidth="1"/>
    <col min="9220" max="9220" width="13.5" style="341" customWidth="1"/>
    <col min="9221" max="9221" width="7.69921875" style="341" customWidth="1"/>
    <col min="9222" max="9222" width="10.19921875" style="341" customWidth="1"/>
    <col min="9223" max="9223" width="18.796875" style="341" customWidth="1"/>
    <col min="9224" max="9464" width="7.69921875" style="341"/>
    <col min="9465" max="9465" width="7.69921875" style="341" customWidth="1"/>
    <col min="9466" max="9466" width="32.5" style="341" customWidth="1"/>
    <col min="9467" max="9467" width="15.5" style="341" customWidth="1"/>
    <col min="9468" max="9468" width="13.5" style="341" customWidth="1"/>
    <col min="9469" max="9469" width="14.796875" style="341" customWidth="1"/>
    <col min="9470" max="9471" width="14" style="341" customWidth="1"/>
    <col min="9472" max="9472" width="12" style="341" customWidth="1"/>
    <col min="9473" max="9473" width="5.796875" style="341" customWidth="1"/>
    <col min="9474" max="9475" width="7.69921875" style="341" customWidth="1"/>
    <col min="9476" max="9476" width="13.5" style="341" customWidth="1"/>
    <col min="9477" max="9477" width="7.69921875" style="341" customWidth="1"/>
    <col min="9478" max="9478" width="10.19921875" style="341" customWidth="1"/>
    <col min="9479" max="9479" width="18.796875" style="341" customWidth="1"/>
    <col min="9480" max="9720" width="7.69921875" style="341"/>
    <col min="9721" max="9721" width="7.69921875" style="341" customWidth="1"/>
    <col min="9722" max="9722" width="32.5" style="341" customWidth="1"/>
    <col min="9723" max="9723" width="15.5" style="341" customWidth="1"/>
    <col min="9724" max="9724" width="13.5" style="341" customWidth="1"/>
    <col min="9725" max="9725" width="14.796875" style="341" customWidth="1"/>
    <col min="9726" max="9727" width="14" style="341" customWidth="1"/>
    <col min="9728" max="9728" width="12" style="341" customWidth="1"/>
    <col min="9729" max="9729" width="5.796875" style="341" customWidth="1"/>
    <col min="9730" max="9731" width="7.69921875" style="341" customWidth="1"/>
    <col min="9732" max="9732" width="13.5" style="341" customWidth="1"/>
    <col min="9733" max="9733" width="7.69921875" style="341" customWidth="1"/>
    <col min="9734" max="9734" width="10.19921875" style="341" customWidth="1"/>
    <col min="9735" max="9735" width="18.796875" style="341" customWidth="1"/>
    <col min="9736" max="9976" width="7.69921875" style="341"/>
    <col min="9977" max="9977" width="7.69921875" style="341" customWidth="1"/>
    <col min="9978" max="9978" width="32.5" style="341" customWidth="1"/>
    <col min="9979" max="9979" width="15.5" style="341" customWidth="1"/>
    <col min="9980" max="9980" width="13.5" style="341" customWidth="1"/>
    <col min="9981" max="9981" width="14.796875" style="341" customWidth="1"/>
    <col min="9982" max="9983" width="14" style="341" customWidth="1"/>
    <col min="9984" max="9984" width="12" style="341" customWidth="1"/>
    <col min="9985" max="9985" width="5.796875" style="341" customWidth="1"/>
    <col min="9986" max="9987" width="7.69921875" style="341" customWidth="1"/>
    <col min="9988" max="9988" width="13.5" style="341" customWidth="1"/>
    <col min="9989" max="9989" width="7.69921875" style="341" customWidth="1"/>
    <col min="9990" max="9990" width="10.19921875" style="341" customWidth="1"/>
    <col min="9991" max="9991" width="18.796875" style="341" customWidth="1"/>
    <col min="9992" max="10232" width="7.69921875" style="341"/>
    <col min="10233" max="10233" width="7.69921875" style="341" customWidth="1"/>
    <col min="10234" max="10234" width="32.5" style="341" customWidth="1"/>
    <col min="10235" max="10235" width="15.5" style="341" customWidth="1"/>
    <col min="10236" max="10236" width="13.5" style="341" customWidth="1"/>
    <col min="10237" max="10237" width="14.796875" style="341" customWidth="1"/>
    <col min="10238" max="10239" width="14" style="341" customWidth="1"/>
    <col min="10240" max="10240" width="12" style="341" customWidth="1"/>
    <col min="10241" max="10241" width="5.796875" style="341" customWidth="1"/>
    <col min="10242" max="10243" width="7.69921875" style="341" customWidth="1"/>
    <col min="10244" max="10244" width="13.5" style="341" customWidth="1"/>
    <col min="10245" max="10245" width="7.69921875" style="341" customWidth="1"/>
    <col min="10246" max="10246" width="10.19921875" style="341" customWidth="1"/>
    <col min="10247" max="10247" width="18.796875" style="341" customWidth="1"/>
    <col min="10248" max="10488" width="7.69921875" style="341"/>
    <col min="10489" max="10489" width="7.69921875" style="341" customWidth="1"/>
    <col min="10490" max="10490" width="32.5" style="341" customWidth="1"/>
    <col min="10491" max="10491" width="15.5" style="341" customWidth="1"/>
    <col min="10492" max="10492" width="13.5" style="341" customWidth="1"/>
    <col min="10493" max="10493" width="14.796875" style="341" customWidth="1"/>
    <col min="10494" max="10495" width="14" style="341" customWidth="1"/>
    <col min="10496" max="10496" width="12" style="341" customWidth="1"/>
    <col min="10497" max="10497" width="5.796875" style="341" customWidth="1"/>
    <col min="10498" max="10499" width="7.69921875" style="341" customWidth="1"/>
    <col min="10500" max="10500" width="13.5" style="341" customWidth="1"/>
    <col min="10501" max="10501" width="7.69921875" style="341" customWidth="1"/>
    <col min="10502" max="10502" width="10.19921875" style="341" customWidth="1"/>
    <col min="10503" max="10503" width="18.796875" style="341" customWidth="1"/>
    <col min="10504" max="10744" width="7.69921875" style="341"/>
    <col min="10745" max="10745" width="7.69921875" style="341" customWidth="1"/>
    <col min="10746" max="10746" width="32.5" style="341" customWidth="1"/>
    <col min="10747" max="10747" width="15.5" style="341" customWidth="1"/>
    <col min="10748" max="10748" width="13.5" style="341" customWidth="1"/>
    <col min="10749" max="10749" width="14.796875" style="341" customWidth="1"/>
    <col min="10750" max="10751" width="14" style="341" customWidth="1"/>
    <col min="10752" max="10752" width="12" style="341" customWidth="1"/>
    <col min="10753" max="10753" width="5.796875" style="341" customWidth="1"/>
    <col min="10754" max="10755" width="7.69921875" style="341" customWidth="1"/>
    <col min="10756" max="10756" width="13.5" style="341" customWidth="1"/>
    <col min="10757" max="10757" width="7.69921875" style="341" customWidth="1"/>
    <col min="10758" max="10758" width="10.19921875" style="341" customWidth="1"/>
    <col min="10759" max="10759" width="18.796875" style="341" customWidth="1"/>
    <col min="10760" max="11000" width="7.69921875" style="341"/>
    <col min="11001" max="11001" width="7.69921875" style="341" customWidth="1"/>
    <col min="11002" max="11002" width="32.5" style="341" customWidth="1"/>
    <col min="11003" max="11003" width="15.5" style="341" customWidth="1"/>
    <col min="11004" max="11004" width="13.5" style="341" customWidth="1"/>
    <col min="11005" max="11005" width="14.796875" style="341" customWidth="1"/>
    <col min="11006" max="11007" width="14" style="341" customWidth="1"/>
    <col min="11008" max="11008" width="12" style="341" customWidth="1"/>
    <col min="11009" max="11009" width="5.796875" style="341" customWidth="1"/>
    <col min="11010" max="11011" width="7.69921875" style="341" customWidth="1"/>
    <col min="11012" max="11012" width="13.5" style="341" customWidth="1"/>
    <col min="11013" max="11013" width="7.69921875" style="341" customWidth="1"/>
    <col min="11014" max="11014" width="10.19921875" style="341" customWidth="1"/>
    <col min="11015" max="11015" width="18.796875" style="341" customWidth="1"/>
    <col min="11016" max="11256" width="7.69921875" style="341"/>
    <col min="11257" max="11257" width="7.69921875" style="341" customWidth="1"/>
    <col min="11258" max="11258" width="32.5" style="341" customWidth="1"/>
    <col min="11259" max="11259" width="15.5" style="341" customWidth="1"/>
    <col min="11260" max="11260" width="13.5" style="341" customWidth="1"/>
    <col min="11261" max="11261" width="14.796875" style="341" customWidth="1"/>
    <col min="11262" max="11263" width="14" style="341" customWidth="1"/>
    <col min="11264" max="11264" width="12" style="341" customWidth="1"/>
    <col min="11265" max="11265" width="5.796875" style="341" customWidth="1"/>
    <col min="11266" max="11267" width="7.69921875" style="341" customWidth="1"/>
    <col min="11268" max="11268" width="13.5" style="341" customWidth="1"/>
    <col min="11269" max="11269" width="7.69921875" style="341" customWidth="1"/>
    <col min="11270" max="11270" width="10.19921875" style="341" customWidth="1"/>
    <col min="11271" max="11271" width="18.796875" style="341" customWidth="1"/>
    <col min="11272" max="11512" width="7.69921875" style="341"/>
    <col min="11513" max="11513" width="7.69921875" style="341" customWidth="1"/>
    <col min="11514" max="11514" width="32.5" style="341" customWidth="1"/>
    <col min="11515" max="11515" width="15.5" style="341" customWidth="1"/>
    <col min="11516" max="11516" width="13.5" style="341" customWidth="1"/>
    <col min="11517" max="11517" width="14.796875" style="341" customWidth="1"/>
    <col min="11518" max="11519" width="14" style="341" customWidth="1"/>
    <col min="11520" max="11520" width="12" style="341" customWidth="1"/>
    <col min="11521" max="11521" width="5.796875" style="341" customWidth="1"/>
    <col min="11522" max="11523" width="7.69921875" style="341" customWidth="1"/>
    <col min="11524" max="11524" width="13.5" style="341" customWidth="1"/>
    <col min="11525" max="11525" width="7.69921875" style="341" customWidth="1"/>
    <col min="11526" max="11526" width="10.19921875" style="341" customWidth="1"/>
    <col min="11527" max="11527" width="18.796875" style="341" customWidth="1"/>
    <col min="11528" max="11768" width="7.69921875" style="341"/>
    <col min="11769" max="11769" width="7.69921875" style="341" customWidth="1"/>
    <col min="11770" max="11770" width="32.5" style="341" customWidth="1"/>
    <col min="11771" max="11771" width="15.5" style="341" customWidth="1"/>
    <col min="11772" max="11772" width="13.5" style="341" customWidth="1"/>
    <col min="11773" max="11773" width="14.796875" style="341" customWidth="1"/>
    <col min="11774" max="11775" width="14" style="341" customWidth="1"/>
    <col min="11776" max="11776" width="12" style="341" customWidth="1"/>
    <col min="11777" max="11777" width="5.796875" style="341" customWidth="1"/>
    <col min="11778" max="11779" width="7.69921875" style="341" customWidth="1"/>
    <col min="11780" max="11780" width="13.5" style="341" customWidth="1"/>
    <col min="11781" max="11781" width="7.69921875" style="341" customWidth="1"/>
    <col min="11782" max="11782" width="10.19921875" style="341" customWidth="1"/>
    <col min="11783" max="11783" width="18.796875" style="341" customWidth="1"/>
    <col min="11784" max="12024" width="7.69921875" style="341"/>
    <col min="12025" max="12025" width="7.69921875" style="341" customWidth="1"/>
    <col min="12026" max="12026" width="32.5" style="341" customWidth="1"/>
    <col min="12027" max="12027" width="15.5" style="341" customWidth="1"/>
    <col min="12028" max="12028" width="13.5" style="341" customWidth="1"/>
    <col min="12029" max="12029" width="14.796875" style="341" customWidth="1"/>
    <col min="12030" max="12031" width="14" style="341" customWidth="1"/>
    <col min="12032" max="12032" width="12" style="341" customWidth="1"/>
    <col min="12033" max="12033" width="5.796875" style="341" customWidth="1"/>
    <col min="12034" max="12035" width="7.69921875" style="341" customWidth="1"/>
    <col min="12036" max="12036" width="13.5" style="341" customWidth="1"/>
    <col min="12037" max="12037" width="7.69921875" style="341" customWidth="1"/>
    <col min="12038" max="12038" width="10.19921875" style="341" customWidth="1"/>
    <col min="12039" max="12039" width="18.796875" style="341" customWidth="1"/>
    <col min="12040" max="12280" width="7.69921875" style="341"/>
    <col min="12281" max="12281" width="7.69921875" style="341" customWidth="1"/>
    <col min="12282" max="12282" width="32.5" style="341" customWidth="1"/>
    <col min="12283" max="12283" width="15.5" style="341" customWidth="1"/>
    <col min="12284" max="12284" width="13.5" style="341" customWidth="1"/>
    <col min="12285" max="12285" width="14.796875" style="341" customWidth="1"/>
    <col min="12286" max="12287" width="14" style="341" customWidth="1"/>
    <col min="12288" max="12288" width="12" style="341" customWidth="1"/>
    <col min="12289" max="12289" width="5.796875" style="341" customWidth="1"/>
    <col min="12290" max="12291" width="7.69921875" style="341" customWidth="1"/>
    <col min="12292" max="12292" width="13.5" style="341" customWidth="1"/>
    <col min="12293" max="12293" width="7.69921875" style="341" customWidth="1"/>
    <col min="12294" max="12294" width="10.19921875" style="341" customWidth="1"/>
    <col min="12295" max="12295" width="18.796875" style="341" customWidth="1"/>
    <col min="12296" max="12536" width="7.69921875" style="341"/>
    <col min="12537" max="12537" width="7.69921875" style="341" customWidth="1"/>
    <col min="12538" max="12538" width="32.5" style="341" customWidth="1"/>
    <col min="12539" max="12539" width="15.5" style="341" customWidth="1"/>
    <col min="12540" max="12540" width="13.5" style="341" customWidth="1"/>
    <col min="12541" max="12541" width="14.796875" style="341" customWidth="1"/>
    <col min="12542" max="12543" width="14" style="341" customWidth="1"/>
    <col min="12544" max="12544" width="12" style="341" customWidth="1"/>
    <col min="12545" max="12545" width="5.796875" style="341" customWidth="1"/>
    <col min="12546" max="12547" width="7.69921875" style="341" customWidth="1"/>
    <col min="12548" max="12548" width="13.5" style="341" customWidth="1"/>
    <col min="12549" max="12549" width="7.69921875" style="341" customWidth="1"/>
    <col min="12550" max="12550" width="10.19921875" style="341" customWidth="1"/>
    <col min="12551" max="12551" width="18.796875" style="341" customWidth="1"/>
    <col min="12552" max="12792" width="7.69921875" style="341"/>
    <col min="12793" max="12793" width="7.69921875" style="341" customWidth="1"/>
    <col min="12794" max="12794" width="32.5" style="341" customWidth="1"/>
    <col min="12795" max="12795" width="15.5" style="341" customWidth="1"/>
    <col min="12796" max="12796" width="13.5" style="341" customWidth="1"/>
    <col min="12797" max="12797" width="14.796875" style="341" customWidth="1"/>
    <col min="12798" max="12799" width="14" style="341" customWidth="1"/>
    <col min="12800" max="12800" width="12" style="341" customWidth="1"/>
    <col min="12801" max="12801" width="5.796875" style="341" customWidth="1"/>
    <col min="12802" max="12803" width="7.69921875" style="341" customWidth="1"/>
    <col min="12804" max="12804" width="13.5" style="341" customWidth="1"/>
    <col min="12805" max="12805" width="7.69921875" style="341" customWidth="1"/>
    <col min="12806" max="12806" width="10.19921875" style="341" customWidth="1"/>
    <col min="12807" max="12807" width="18.796875" style="341" customWidth="1"/>
    <col min="12808" max="13048" width="7.69921875" style="341"/>
    <col min="13049" max="13049" width="7.69921875" style="341" customWidth="1"/>
    <col min="13050" max="13050" width="32.5" style="341" customWidth="1"/>
    <col min="13051" max="13051" width="15.5" style="341" customWidth="1"/>
    <col min="13052" max="13052" width="13.5" style="341" customWidth="1"/>
    <col min="13053" max="13053" width="14.796875" style="341" customWidth="1"/>
    <col min="13054" max="13055" width="14" style="341" customWidth="1"/>
    <col min="13056" max="13056" width="12" style="341" customWidth="1"/>
    <col min="13057" max="13057" width="5.796875" style="341" customWidth="1"/>
    <col min="13058" max="13059" width="7.69921875" style="341" customWidth="1"/>
    <col min="13060" max="13060" width="13.5" style="341" customWidth="1"/>
    <col min="13061" max="13061" width="7.69921875" style="341" customWidth="1"/>
    <col min="13062" max="13062" width="10.19921875" style="341" customWidth="1"/>
    <col min="13063" max="13063" width="18.796875" style="341" customWidth="1"/>
    <col min="13064" max="13304" width="7.69921875" style="341"/>
    <col min="13305" max="13305" width="7.69921875" style="341" customWidth="1"/>
    <col min="13306" max="13306" width="32.5" style="341" customWidth="1"/>
    <col min="13307" max="13307" width="15.5" style="341" customWidth="1"/>
    <col min="13308" max="13308" width="13.5" style="341" customWidth="1"/>
    <col min="13309" max="13309" width="14.796875" style="341" customWidth="1"/>
    <col min="13310" max="13311" width="14" style="341" customWidth="1"/>
    <col min="13312" max="13312" width="12" style="341" customWidth="1"/>
    <col min="13313" max="13313" width="5.796875" style="341" customWidth="1"/>
    <col min="13314" max="13315" width="7.69921875" style="341" customWidth="1"/>
    <col min="13316" max="13316" width="13.5" style="341" customWidth="1"/>
    <col min="13317" max="13317" width="7.69921875" style="341" customWidth="1"/>
    <col min="13318" max="13318" width="10.19921875" style="341" customWidth="1"/>
    <col min="13319" max="13319" width="18.796875" style="341" customWidth="1"/>
    <col min="13320" max="13560" width="7.69921875" style="341"/>
    <col min="13561" max="13561" width="7.69921875" style="341" customWidth="1"/>
    <col min="13562" max="13562" width="32.5" style="341" customWidth="1"/>
    <col min="13563" max="13563" width="15.5" style="341" customWidth="1"/>
    <col min="13564" max="13564" width="13.5" style="341" customWidth="1"/>
    <col min="13565" max="13565" width="14.796875" style="341" customWidth="1"/>
    <col min="13566" max="13567" width="14" style="341" customWidth="1"/>
    <col min="13568" max="13568" width="12" style="341" customWidth="1"/>
    <col min="13569" max="13569" width="5.796875" style="341" customWidth="1"/>
    <col min="13570" max="13571" width="7.69921875" style="341" customWidth="1"/>
    <col min="13572" max="13572" width="13.5" style="341" customWidth="1"/>
    <col min="13573" max="13573" width="7.69921875" style="341" customWidth="1"/>
    <col min="13574" max="13574" width="10.19921875" style="341" customWidth="1"/>
    <col min="13575" max="13575" width="18.796875" style="341" customWidth="1"/>
    <col min="13576" max="13816" width="7.69921875" style="341"/>
    <col min="13817" max="13817" width="7.69921875" style="341" customWidth="1"/>
    <col min="13818" max="13818" width="32.5" style="341" customWidth="1"/>
    <col min="13819" max="13819" width="15.5" style="341" customWidth="1"/>
    <col min="13820" max="13820" width="13.5" style="341" customWidth="1"/>
    <col min="13821" max="13821" width="14.796875" style="341" customWidth="1"/>
    <col min="13822" max="13823" width="14" style="341" customWidth="1"/>
    <col min="13824" max="13824" width="12" style="341" customWidth="1"/>
    <col min="13825" max="13825" width="5.796875" style="341" customWidth="1"/>
    <col min="13826" max="13827" width="7.69921875" style="341" customWidth="1"/>
    <col min="13828" max="13828" width="13.5" style="341" customWidth="1"/>
    <col min="13829" max="13829" width="7.69921875" style="341" customWidth="1"/>
    <col min="13830" max="13830" width="10.19921875" style="341" customWidth="1"/>
    <col min="13831" max="13831" width="18.796875" style="341" customWidth="1"/>
    <col min="13832" max="14072" width="7.69921875" style="341"/>
    <col min="14073" max="14073" width="7.69921875" style="341" customWidth="1"/>
    <col min="14074" max="14074" width="32.5" style="341" customWidth="1"/>
    <col min="14075" max="14075" width="15.5" style="341" customWidth="1"/>
    <col min="14076" max="14076" width="13.5" style="341" customWidth="1"/>
    <col min="14077" max="14077" width="14.796875" style="341" customWidth="1"/>
    <col min="14078" max="14079" width="14" style="341" customWidth="1"/>
    <col min="14080" max="14080" width="12" style="341" customWidth="1"/>
    <col min="14081" max="14081" width="5.796875" style="341" customWidth="1"/>
    <col min="14082" max="14083" width="7.69921875" style="341" customWidth="1"/>
    <col min="14084" max="14084" width="13.5" style="341" customWidth="1"/>
    <col min="14085" max="14085" width="7.69921875" style="341" customWidth="1"/>
    <col min="14086" max="14086" width="10.19921875" style="341" customWidth="1"/>
    <col min="14087" max="14087" width="18.796875" style="341" customWidth="1"/>
    <col min="14088" max="14328" width="7.69921875" style="341"/>
    <col min="14329" max="14329" width="7.69921875" style="341" customWidth="1"/>
    <col min="14330" max="14330" width="32.5" style="341" customWidth="1"/>
    <col min="14331" max="14331" width="15.5" style="341" customWidth="1"/>
    <col min="14332" max="14332" width="13.5" style="341" customWidth="1"/>
    <col min="14333" max="14333" width="14.796875" style="341" customWidth="1"/>
    <col min="14334" max="14335" width="14" style="341" customWidth="1"/>
    <col min="14336" max="14336" width="12" style="341" customWidth="1"/>
    <col min="14337" max="14337" width="5.796875" style="341" customWidth="1"/>
    <col min="14338" max="14339" width="7.69921875" style="341" customWidth="1"/>
    <col min="14340" max="14340" width="13.5" style="341" customWidth="1"/>
    <col min="14341" max="14341" width="7.69921875" style="341" customWidth="1"/>
    <col min="14342" max="14342" width="10.19921875" style="341" customWidth="1"/>
    <col min="14343" max="14343" width="18.796875" style="341" customWidth="1"/>
    <col min="14344" max="14584" width="7.69921875" style="341"/>
    <col min="14585" max="14585" width="7.69921875" style="341" customWidth="1"/>
    <col min="14586" max="14586" width="32.5" style="341" customWidth="1"/>
    <col min="14587" max="14587" width="15.5" style="341" customWidth="1"/>
    <col min="14588" max="14588" width="13.5" style="341" customWidth="1"/>
    <col min="14589" max="14589" width="14.796875" style="341" customWidth="1"/>
    <col min="14590" max="14591" width="14" style="341" customWidth="1"/>
    <col min="14592" max="14592" width="12" style="341" customWidth="1"/>
    <col min="14593" max="14593" width="5.796875" style="341" customWidth="1"/>
    <col min="14594" max="14595" width="7.69921875" style="341" customWidth="1"/>
    <col min="14596" max="14596" width="13.5" style="341" customWidth="1"/>
    <col min="14597" max="14597" width="7.69921875" style="341" customWidth="1"/>
    <col min="14598" max="14598" width="10.19921875" style="341" customWidth="1"/>
    <col min="14599" max="14599" width="18.796875" style="341" customWidth="1"/>
    <col min="14600" max="14840" width="7.69921875" style="341"/>
    <col min="14841" max="14841" width="7.69921875" style="341" customWidth="1"/>
    <col min="14842" max="14842" width="32.5" style="341" customWidth="1"/>
    <col min="14843" max="14843" width="15.5" style="341" customWidth="1"/>
    <col min="14844" max="14844" width="13.5" style="341" customWidth="1"/>
    <col min="14845" max="14845" width="14.796875" style="341" customWidth="1"/>
    <col min="14846" max="14847" width="14" style="341" customWidth="1"/>
    <col min="14848" max="14848" width="12" style="341" customWidth="1"/>
    <col min="14849" max="14849" width="5.796875" style="341" customWidth="1"/>
    <col min="14850" max="14851" width="7.69921875" style="341" customWidth="1"/>
    <col min="14852" max="14852" width="13.5" style="341" customWidth="1"/>
    <col min="14853" max="14853" width="7.69921875" style="341" customWidth="1"/>
    <col min="14854" max="14854" width="10.19921875" style="341" customWidth="1"/>
    <col min="14855" max="14855" width="18.796875" style="341" customWidth="1"/>
    <col min="14856" max="15096" width="7.69921875" style="341"/>
    <col min="15097" max="15097" width="7.69921875" style="341" customWidth="1"/>
    <col min="15098" max="15098" width="32.5" style="341" customWidth="1"/>
    <col min="15099" max="15099" width="15.5" style="341" customWidth="1"/>
    <col min="15100" max="15100" width="13.5" style="341" customWidth="1"/>
    <col min="15101" max="15101" width="14.796875" style="341" customWidth="1"/>
    <col min="15102" max="15103" width="14" style="341" customWidth="1"/>
    <col min="15104" max="15104" width="12" style="341" customWidth="1"/>
    <col min="15105" max="15105" width="5.796875" style="341" customWidth="1"/>
    <col min="15106" max="15107" width="7.69921875" style="341" customWidth="1"/>
    <col min="15108" max="15108" width="13.5" style="341" customWidth="1"/>
    <col min="15109" max="15109" width="7.69921875" style="341" customWidth="1"/>
    <col min="15110" max="15110" width="10.19921875" style="341" customWidth="1"/>
    <col min="15111" max="15111" width="18.796875" style="341" customWidth="1"/>
    <col min="15112" max="15352" width="7.69921875" style="341"/>
    <col min="15353" max="15353" width="7.69921875" style="341" customWidth="1"/>
    <col min="15354" max="15354" width="32.5" style="341" customWidth="1"/>
    <col min="15355" max="15355" width="15.5" style="341" customWidth="1"/>
    <col min="15356" max="15356" width="13.5" style="341" customWidth="1"/>
    <col min="15357" max="15357" width="14.796875" style="341" customWidth="1"/>
    <col min="15358" max="15359" width="14" style="341" customWidth="1"/>
    <col min="15360" max="15360" width="12" style="341" customWidth="1"/>
    <col min="15361" max="15361" width="5.796875" style="341" customWidth="1"/>
    <col min="15362" max="15363" width="7.69921875" style="341" customWidth="1"/>
    <col min="15364" max="15364" width="13.5" style="341" customWidth="1"/>
    <col min="15365" max="15365" width="7.69921875" style="341" customWidth="1"/>
    <col min="15366" max="15366" width="10.19921875" style="341" customWidth="1"/>
    <col min="15367" max="15367" width="18.796875" style="341" customWidth="1"/>
    <col min="15368" max="15608" width="7.69921875" style="341"/>
    <col min="15609" max="15609" width="7.69921875" style="341" customWidth="1"/>
    <col min="15610" max="15610" width="32.5" style="341" customWidth="1"/>
    <col min="15611" max="15611" width="15.5" style="341" customWidth="1"/>
    <col min="15612" max="15612" width="13.5" style="341" customWidth="1"/>
    <col min="15613" max="15613" width="14.796875" style="341" customWidth="1"/>
    <col min="15614" max="15615" width="14" style="341" customWidth="1"/>
    <col min="15616" max="15616" width="12" style="341" customWidth="1"/>
    <col min="15617" max="15617" width="5.796875" style="341" customWidth="1"/>
    <col min="15618" max="15619" width="7.69921875" style="341" customWidth="1"/>
    <col min="15620" max="15620" width="13.5" style="341" customWidth="1"/>
    <col min="15621" max="15621" width="7.69921875" style="341" customWidth="1"/>
    <col min="15622" max="15622" width="10.19921875" style="341" customWidth="1"/>
    <col min="15623" max="15623" width="18.796875" style="341" customWidth="1"/>
    <col min="15624" max="15864" width="7.69921875" style="341"/>
    <col min="15865" max="15865" width="7.69921875" style="341" customWidth="1"/>
    <col min="15866" max="15866" width="32.5" style="341" customWidth="1"/>
    <col min="15867" max="15867" width="15.5" style="341" customWidth="1"/>
    <col min="15868" max="15868" width="13.5" style="341" customWidth="1"/>
    <col min="15869" max="15869" width="14.796875" style="341" customWidth="1"/>
    <col min="15870" max="15871" width="14" style="341" customWidth="1"/>
    <col min="15872" max="15872" width="12" style="341" customWidth="1"/>
    <col min="15873" max="15873" width="5.796875" style="341" customWidth="1"/>
    <col min="15874" max="15875" width="7.69921875" style="341" customWidth="1"/>
    <col min="15876" max="15876" width="13.5" style="341" customWidth="1"/>
    <col min="15877" max="15877" width="7.69921875" style="341" customWidth="1"/>
    <col min="15878" max="15878" width="10.19921875" style="341" customWidth="1"/>
    <col min="15879" max="15879" width="18.796875" style="341" customWidth="1"/>
    <col min="15880" max="16120" width="7.69921875" style="341"/>
    <col min="16121" max="16121" width="7.69921875" style="341" customWidth="1"/>
    <col min="16122" max="16122" width="32.5" style="341" customWidth="1"/>
    <col min="16123" max="16123" width="15.5" style="341" customWidth="1"/>
    <col min="16124" max="16124" width="13.5" style="341" customWidth="1"/>
    <col min="16125" max="16125" width="14.796875" style="341" customWidth="1"/>
    <col min="16126" max="16127" width="14" style="341" customWidth="1"/>
    <col min="16128" max="16128" width="12" style="341" customWidth="1"/>
    <col min="16129" max="16129" width="5.796875" style="341" customWidth="1"/>
    <col min="16130" max="16131" width="7.69921875" style="341" customWidth="1"/>
    <col min="16132" max="16132" width="13.5" style="341" customWidth="1"/>
    <col min="16133" max="16133" width="7.69921875" style="341" customWidth="1"/>
    <col min="16134" max="16134" width="10.19921875" style="341" customWidth="1"/>
    <col min="16135" max="16135" width="18.796875" style="341" customWidth="1"/>
    <col min="16136" max="16384" width="7.69921875" style="341"/>
  </cols>
  <sheetData>
    <row r="1" spans="1:60">
      <c r="A1" s="221"/>
      <c r="B1" s="222"/>
      <c r="C1" s="221"/>
      <c r="D1" s="221"/>
      <c r="E1" s="221"/>
      <c r="F1" s="221"/>
      <c r="G1" s="221"/>
      <c r="H1" s="401" t="s">
        <v>1608</v>
      </c>
      <c r="I1" s="402"/>
      <c r="J1" s="402"/>
      <c r="K1" s="403"/>
      <c r="L1" s="401" t="s">
        <v>1609</v>
      </c>
      <c r="M1" s="402"/>
      <c r="N1" s="402"/>
      <c r="O1" s="403"/>
      <c r="P1" s="401" t="s">
        <v>1610</v>
      </c>
      <c r="Q1" s="402"/>
      <c r="R1" s="402"/>
      <c r="S1" s="403"/>
      <c r="T1" s="401" t="s">
        <v>1611</v>
      </c>
      <c r="U1" s="402"/>
      <c r="V1" s="402"/>
      <c r="W1" s="403"/>
      <c r="X1" s="401" t="s">
        <v>1612</v>
      </c>
      <c r="Y1" s="402"/>
      <c r="Z1" s="402"/>
      <c r="AA1" s="403"/>
      <c r="AB1" s="401" t="s">
        <v>1613</v>
      </c>
      <c r="AC1" s="402"/>
      <c r="AD1" s="402"/>
      <c r="AE1" s="403"/>
      <c r="AF1" s="401" t="s">
        <v>1614</v>
      </c>
      <c r="AG1" s="402"/>
      <c r="AH1" s="402"/>
      <c r="AI1" s="403"/>
      <c r="AJ1" s="401" t="s">
        <v>1615</v>
      </c>
      <c r="AK1" s="402"/>
      <c r="AL1" s="402"/>
      <c r="AM1" s="403"/>
      <c r="AN1" s="401" t="s">
        <v>1616</v>
      </c>
      <c r="AO1" s="402"/>
      <c r="AP1" s="402"/>
      <c r="AQ1" s="403"/>
      <c r="AR1" s="401" t="s">
        <v>1617</v>
      </c>
      <c r="AS1" s="402"/>
      <c r="AT1" s="402"/>
      <c r="AU1" s="403"/>
      <c r="AV1" s="401" t="s">
        <v>1618</v>
      </c>
      <c r="AW1" s="402"/>
      <c r="AX1" s="402"/>
      <c r="AY1" s="403"/>
      <c r="AZ1" s="401" t="s">
        <v>1619</v>
      </c>
      <c r="BA1" s="402"/>
      <c r="BB1" s="402"/>
      <c r="BC1" s="403"/>
      <c r="BD1" s="340" t="s">
        <v>1657</v>
      </c>
      <c r="BE1" s="398" t="s">
        <v>1669</v>
      </c>
      <c r="BF1" s="399"/>
      <c r="BG1" s="399"/>
      <c r="BH1" s="400"/>
    </row>
    <row r="2" spans="1:60" ht="18" customHeight="1">
      <c r="A2" s="221"/>
      <c r="B2" s="222" t="s">
        <v>1620</v>
      </c>
      <c r="C2" s="221"/>
      <c r="D2" s="221"/>
      <c r="E2" s="221"/>
      <c r="F2" s="221"/>
      <c r="G2" s="221"/>
      <c r="H2" s="223">
        <f>H22</f>
        <v>501.4</v>
      </c>
      <c r="I2" s="342"/>
      <c r="J2" s="342"/>
      <c r="K2" s="343"/>
      <c r="L2" s="223">
        <f>I22</f>
        <v>503.45</v>
      </c>
      <c r="M2" s="342"/>
      <c r="N2" s="342"/>
      <c r="O2" s="343"/>
      <c r="P2" s="223">
        <f>J22</f>
        <v>506.65</v>
      </c>
      <c r="Q2" s="342"/>
      <c r="R2" s="342"/>
      <c r="S2" s="343"/>
      <c r="T2" s="223">
        <f>K22</f>
        <v>510.09999999999997</v>
      </c>
      <c r="U2" s="342"/>
      <c r="V2" s="342"/>
      <c r="W2" s="343"/>
      <c r="X2" s="223">
        <f>L22</f>
        <v>516.29999999999995</v>
      </c>
      <c r="Y2" s="342"/>
      <c r="Z2" s="342"/>
      <c r="AA2" s="343"/>
      <c r="AB2" s="223">
        <f>M22</f>
        <v>521.15</v>
      </c>
      <c r="AC2" s="342"/>
      <c r="AD2" s="342"/>
      <c r="AE2" s="343"/>
      <c r="AF2" s="223">
        <f>N22</f>
        <v>528.04999999999995</v>
      </c>
      <c r="AG2" s="342"/>
      <c r="AH2" s="342"/>
      <c r="AI2" s="343"/>
      <c r="AJ2" s="223">
        <f>O22</f>
        <v>527.5</v>
      </c>
      <c r="AK2" s="342"/>
      <c r="AL2" s="342"/>
      <c r="AM2" s="343"/>
      <c r="AN2" s="223">
        <f>P22</f>
        <v>522.95000000000005</v>
      </c>
      <c r="AO2" s="342"/>
      <c r="AP2" s="342"/>
      <c r="AQ2" s="343"/>
      <c r="AR2" s="344">
        <f>Q22</f>
        <v>513.25</v>
      </c>
      <c r="AS2" s="342"/>
      <c r="AT2" s="342"/>
      <c r="AU2" s="343"/>
      <c r="AV2" s="344">
        <f>R22</f>
        <v>505.5</v>
      </c>
      <c r="AW2" s="342"/>
      <c r="AX2" s="342"/>
      <c r="AY2" s="343"/>
      <c r="AZ2" s="344">
        <f>S22</f>
        <v>500.85</v>
      </c>
      <c r="BA2" s="342"/>
      <c r="BB2" s="342"/>
      <c r="BC2" s="343"/>
      <c r="BD2" s="345"/>
      <c r="BE2" s="344">
        <f>T22</f>
        <v>554.67000000000007</v>
      </c>
      <c r="BF2" s="342"/>
      <c r="BG2" s="342"/>
      <c r="BH2" s="343"/>
    </row>
    <row r="3" spans="1:60" ht="59.4">
      <c r="A3" s="224" t="s">
        <v>24</v>
      </c>
      <c r="B3" s="224" t="s">
        <v>1621</v>
      </c>
      <c r="C3" s="225" t="s">
        <v>1622</v>
      </c>
      <c r="D3" s="225" t="s">
        <v>1623</v>
      </c>
      <c r="E3" s="224" t="s">
        <v>1624</v>
      </c>
      <c r="F3" s="225" t="s">
        <v>1625</v>
      </c>
      <c r="G3" s="225" t="s">
        <v>1626</v>
      </c>
      <c r="H3" s="225" t="s">
        <v>1627</v>
      </c>
      <c r="I3" s="225" t="s">
        <v>1628</v>
      </c>
      <c r="J3" s="225" t="s">
        <v>1629</v>
      </c>
      <c r="K3" s="225" t="s">
        <v>1630</v>
      </c>
      <c r="L3" s="225" t="s">
        <v>1627</v>
      </c>
      <c r="M3" s="225" t="s">
        <v>1628</v>
      </c>
      <c r="N3" s="225" t="s">
        <v>1629</v>
      </c>
      <c r="O3" s="225" t="s">
        <v>1630</v>
      </c>
      <c r="P3" s="225" t="s">
        <v>1627</v>
      </c>
      <c r="Q3" s="225" t="s">
        <v>1628</v>
      </c>
      <c r="R3" s="225" t="s">
        <v>1629</v>
      </c>
      <c r="S3" s="225" t="s">
        <v>1630</v>
      </c>
      <c r="T3" s="225" t="s">
        <v>1627</v>
      </c>
      <c r="U3" s="225" t="s">
        <v>1628</v>
      </c>
      <c r="V3" s="225" t="s">
        <v>1629</v>
      </c>
      <c r="W3" s="225" t="s">
        <v>1630</v>
      </c>
      <c r="X3" s="225" t="s">
        <v>1627</v>
      </c>
      <c r="Y3" s="225" t="s">
        <v>1628</v>
      </c>
      <c r="Z3" s="225" t="s">
        <v>1629</v>
      </c>
      <c r="AA3" s="225" t="s">
        <v>1630</v>
      </c>
      <c r="AB3" s="225" t="s">
        <v>1627</v>
      </c>
      <c r="AC3" s="225" t="s">
        <v>1628</v>
      </c>
      <c r="AD3" s="225" t="s">
        <v>1629</v>
      </c>
      <c r="AE3" s="225" t="s">
        <v>1630</v>
      </c>
      <c r="AF3" s="225" t="s">
        <v>1627</v>
      </c>
      <c r="AG3" s="225" t="s">
        <v>1628</v>
      </c>
      <c r="AH3" s="225" t="s">
        <v>1629</v>
      </c>
      <c r="AI3" s="225" t="s">
        <v>1630</v>
      </c>
      <c r="AJ3" s="225" t="s">
        <v>1627</v>
      </c>
      <c r="AK3" s="225" t="s">
        <v>1628</v>
      </c>
      <c r="AL3" s="225" t="s">
        <v>1629</v>
      </c>
      <c r="AM3" s="225" t="s">
        <v>1630</v>
      </c>
      <c r="AN3" s="225" t="s">
        <v>1627</v>
      </c>
      <c r="AO3" s="225" t="s">
        <v>1628</v>
      </c>
      <c r="AP3" s="225" t="s">
        <v>1629</v>
      </c>
      <c r="AQ3" s="225" t="s">
        <v>1630</v>
      </c>
      <c r="AR3" s="225" t="s">
        <v>1627</v>
      </c>
      <c r="AS3" s="225" t="s">
        <v>1628</v>
      </c>
      <c r="AT3" s="225" t="s">
        <v>1629</v>
      </c>
      <c r="AU3" s="225" t="s">
        <v>1630</v>
      </c>
      <c r="AV3" s="225" t="s">
        <v>1627</v>
      </c>
      <c r="AW3" s="225" t="s">
        <v>1628</v>
      </c>
      <c r="AX3" s="225" t="s">
        <v>1629</v>
      </c>
      <c r="AY3" s="225" t="s">
        <v>1630</v>
      </c>
      <c r="AZ3" s="225" t="s">
        <v>1627</v>
      </c>
      <c r="BA3" s="225" t="s">
        <v>1628</v>
      </c>
      <c r="BB3" s="225" t="s">
        <v>1629</v>
      </c>
      <c r="BC3" s="225" t="s">
        <v>1630</v>
      </c>
      <c r="BD3" s="346" t="s">
        <v>1658</v>
      </c>
      <c r="BE3" s="225" t="s">
        <v>1627</v>
      </c>
      <c r="BF3" s="225" t="s">
        <v>1628</v>
      </c>
      <c r="BG3" s="225" t="s">
        <v>1629</v>
      </c>
      <c r="BH3" s="225" t="s">
        <v>1630</v>
      </c>
    </row>
    <row r="4" spans="1:60">
      <c r="A4" s="226" t="s">
        <v>1687</v>
      </c>
      <c r="B4" s="226" t="s">
        <v>507</v>
      </c>
      <c r="C4" s="271">
        <v>0.95</v>
      </c>
      <c r="D4" s="228">
        <v>62.067799999999998</v>
      </c>
      <c r="E4" s="229">
        <f>C4/D4</f>
        <v>1.5305842965273458E-2</v>
      </c>
      <c r="F4" s="230">
        <f t="shared" ref="F4:F16" si="0">E4/$E$17</f>
        <v>0.97013598975108972</v>
      </c>
      <c r="G4" s="228">
        <f t="shared" ref="G4:G17" si="1">F4</f>
        <v>0.97013598975108972</v>
      </c>
      <c r="H4" s="231">
        <f>$G4*$H29</f>
        <v>1.1577372282109758E-3</v>
      </c>
      <c r="I4" s="228">
        <f t="shared" ref="I4:I16" si="2">H4/($H$17)</f>
        <v>0.99971111730886519</v>
      </c>
      <c r="J4" s="232">
        <f>I4*$D4</f>
        <v>62.049869686903179</v>
      </c>
      <c r="K4" s="233">
        <f t="shared" ref="K4:K16" si="3">J4/$J$17</f>
        <v>0.99950618602645758</v>
      </c>
      <c r="L4" s="231">
        <f t="shared" ref="L4:L16" si="4">$G4*I29</f>
        <v>1.3227602133685972E-3</v>
      </c>
      <c r="M4" s="228">
        <f t="shared" ref="M4:M16" si="5">L4/($L$17)</f>
        <v>0.99969382894867465</v>
      </c>
      <c r="N4" s="232">
        <f>M4*$D4</f>
        <v>62.048796636420548</v>
      </c>
      <c r="O4" s="233">
        <f t="shared" ref="O4:O16" si="6">N4/$N$17</f>
        <v>0.99947663984961221</v>
      </c>
      <c r="P4" s="231">
        <f t="shared" ref="P4:P16" si="7">G4*J29</f>
        <v>1.6235868275543644E-3</v>
      </c>
      <c r="Q4" s="228">
        <f>P4/($P$17)</f>
        <v>0.9996655531241968</v>
      </c>
      <c r="R4" s="232">
        <f t="shared" ref="R4:R14" si="8">Q4*$D4</f>
        <v>62.047041618202023</v>
      </c>
      <c r="S4" s="233">
        <f t="shared" ref="S4:S16" si="9">R4/$R$17</f>
        <v>0.99942831742398042</v>
      </c>
      <c r="T4" s="231">
        <f>$G4*K29</f>
        <v>2.0166748808749832E-3</v>
      </c>
      <c r="U4" s="228">
        <f>T4/($T$17)</f>
        <v>0.9996332923552177</v>
      </c>
      <c r="V4" s="232">
        <f t="shared" ref="V4:V16" si="10">U4*$D4</f>
        <v>62.045039263245179</v>
      </c>
      <c r="W4" s="233">
        <f t="shared" ref="W4:W16" si="11">V4/$V$17</f>
        <v>0.99937318723144286</v>
      </c>
      <c r="X4" s="231">
        <f t="shared" ref="X4:X16" si="12">G4*L29</f>
        <v>2.9468429743578521E-3</v>
      </c>
      <c r="Y4" s="228">
        <f t="shared" ref="Y4:Y16" si="13">X4/($X$17)</f>
        <v>0.99957064371481763</v>
      </c>
      <c r="Z4" s="232">
        <f t="shared" ref="Z4:Z16" si="14">Y4*$D4</f>
        <v>62.041150799962558</v>
      </c>
      <c r="AA4" s="233">
        <f t="shared" ref="AA4:AA16" si="15">Z4/$Z$17</f>
        <v>0.99926613463681979</v>
      </c>
      <c r="AB4" s="231">
        <f t="shared" ref="AB4:AB16" si="16">G4*M29</f>
        <v>3.9295600167084501E-3</v>
      </c>
      <c r="AC4" s="228">
        <f t="shared" ref="AC4:AC16" si="17">AB4/($AB$17)</f>
        <v>0.99951742985615699</v>
      </c>
      <c r="AD4" s="232">
        <f t="shared" ref="AD4:AD16" si="18">AC4*$D4</f>
        <v>62.037847932825976</v>
      </c>
      <c r="AE4" s="233">
        <f t="shared" ref="AE4:AE16" si="19">AD4/$AD$17</f>
        <v>0.99917521146098587</v>
      </c>
      <c r="AF4" s="231">
        <f t="shared" ref="AF4:AF16" si="20">G4*N29</f>
        <v>5.8423780083201021E-3</v>
      </c>
      <c r="AG4" s="234">
        <f t="shared" ref="AG4:AG16" si="21">AF4/($AF$17)</f>
        <v>0.99943536715385028</v>
      </c>
      <c r="AH4" s="231">
        <f t="shared" ref="AH4:AH16" si="22">AG4*$D4</f>
        <v>62.032754481431745</v>
      </c>
      <c r="AI4" s="233">
        <f t="shared" ref="AI4:AI16" si="23">AH4/$AH$17</f>
        <v>0.99903500953606073</v>
      </c>
      <c r="AJ4" s="231">
        <f t="shared" ref="AJ4:AJ16" si="24">G4*O29</f>
        <v>5.6636018780173575E-3</v>
      </c>
      <c r="AK4" s="234">
        <f t="shared" ref="AK4:AK16" si="25">AJ4/($AJ$17)</f>
        <v>0.99944218103771065</v>
      </c>
      <c r="AL4" s="231">
        <f t="shared" ref="AL4:AL16" si="26">AK4*$D4</f>
        <v>62.033177404212417</v>
      </c>
      <c r="AM4" s="233">
        <f t="shared" ref="AM4:AM16" si="27">AL4/$AL$17</f>
        <v>0.99904665025231432</v>
      </c>
      <c r="AN4" s="231">
        <f t="shared" ref="AN4:AN16" si="28">G4*P29</f>
        <v>4.3641233943554026E-3</v>
      </c>
      <c r="AO4" s="234">
        <f t="shared" ref="AO4:AO16" si="29">AN4/($AN$17)</f>
        <v>0.99949674048931814</v>
      </c>
      <c r="AP4" s="231">
        <f t="shared" ref="AP4:AP16" si="30">AO4*$D4</f>
        <v>62.0365637893429</v>
      </c>
      <c r="AQ4" s="233">
        <f t="shared" ref="AQ4:AQ16" si="31">AP4/$AP$17</f>
        <v>0.99913986269374255</v>
      </c>
      <c r="AR4" s="231">
        <f t="shared" ref="AR4:AR16" si="32">G4*Q29</f>
        <v>2.449251388568057E-3</v>
      </c>
      <c r="AS4" s="234">
        <f t="shared" ref="AS4:AS16" si="33">AR4/($AR$17)</f>
        <v>0.99960221561844875</v>
      </c>
      <c r="AT4" s="231">
        <f t="shared" ref="AT4:AT16" si="34">AS4*$D4</f>
        <v>62.043110398562753</v>
      </c>
      <c r="AU4" s="233">
        <f t="shared" ref="AU4:AU16" si="35">AT4/$AT$17</f>
        <v>0.99932008280955875</v>
      </c>
      <c r="AV4" s="231">
        <f t="shared" ref="AV4:AV16" si="36">G4*R29</f>
        <v>1.5089649463901897E-3</v>
      </c>
      <c r="AW4" s="234">
        <f t="shared" ref="AW4:AW16" si="37">AV4/($AV$17)</f>
        <v>0.9996758964650988</v>
      </c>
      <c r="AX4" s="231">
        <f t="shared" ref="AX4:AX16" si="38">AW4*$D4</f>
        <v>62.047683606616459</v>
      </c>
      <c r="AY4" s="233">
        <f t="shared" ref="AY4:AY16" si="39">AX4/$AX$17</f>
        <v>0.99944599361807329</v>
      </c>
      <c r="AZ4" s="231">
        <f>G4*S29</f>
        <v>1.1167797998549213E-3</v>
      </c>
      <c r="BA4" s="234">
        <f t="shared" ref="BA4:BA16" si="40">AZ4/($AZ$17)</f>
        <v>0.99971564668428725</v>
      </c>
      <c r="BB4" s="231">
        <f t="shared" ref="BB4:BB16" si="41">BA4*$D4</f>
        <v>62.050150815271003</v>
      </c>
      <c r="BC4" s="233">
        <f t="shared" ref="BC4:BC16" si="42">BB4/$BB$17</f>
        <v>0.99951392694564323</v>
      </c>
      <c r="BD4" s="347">
        <f t="shared" ref="BD4:BD16" si="43">MAX(K4,O4,S4,W4,AA4,AE4,AI4,AM4,AQ4,AU4,AY4,BC4)</f>
        <v>0.99951392694564323</v>
      </c>
      <c r="BE4" s="231">
        <f>G4*T29</f>
        <v>2.3749501551109598E-2</v>
      </c>
      <c r="BF4" s="234">
        <f>BE4/($BE$17)</f>
        <v>0.99905101091389981</v>
      </c>
      <c r="BG4" s="231">
        <f>BF4*$D4</f>
        <v>62.008898335201749</v>
      </c>
      <c r="BH4" s="233">
        <f t="shared" ref="BH4:BH16" si="44">BG4/$BG$17</f>
        <v>0.99837856444708517</v>
      </c>
    </row>
    <row r="5" spans="1:60">
      <c r="A5" s="226" t="s">
        <v>1688</v>
      </c>
      <c r="B5" s="226" t="s">
        <v>420</v>
      </c>
      <c r="C5" s="271">
        <v>0.05</v>
      </c>
      <c r="D5" s="228">
        <v>106.12</v>
      </c>
      <c r="E5" s="229">
        <f>C5/D5</f>
        <v>4.7116471918582736E-4</v>
      </c>
      <c r="F5" s="230">
        <f t="shared" si="0"/>
        <v>2.9864010248910215E-2</v>
      </c>
      <c r="G5" s="228">
        <f t="shared" si="1"/>
        <v>2.9864010248910215E-2</v>
      </c>
      <c r="H5" s="231">
        <f t="shared" ref="H5:H16" si="45">$G5*$H30</f>
        <v>3.345468909185673E-7</v>
      </c>
      <c r="I5" s="228">
        <f t="shared" si="2"/>
        <v>2.8888269113469393E-4</v>
      </c>
      <c r="J5" s="232">
        <f>I5*$D5</f>
        <v>3.0656231183213721E-2</v>
      </c>
      <c r="K5" s="233">
        <f t="shared" si="3"/>
        <v>4.9381397354242458E-4</v>
      </c>
      <c r="L5" s="231">
        <f t="shared" si="4"/>
        <v>4.0511491963941163E-7</v>
      </c>
      <c r="M5" s="228">
        <f t="shared" si="5"/>
        <v>3.0617105132546367E-4</v>
      </c>
      <c r="N5" s="232">
        <f t="shared" ref="N5:N7" si="46">M5*$D5</f>
        <v>3.2490871966658209E-2</v>
      </c>
      <c r="O5" s="233">
        <f t="shared" si="6"/>
        <v>5.2336015038780697E-4</v>
      </c>
      <c r="P5" s="231">
        <f t="shared" si="7"/>
        <v>5.4318520866681151E-7</v>
      </c>
      <c r="Q5" s="228">
        <f t="shared" ref="Q5:Q16" si="47">P5/($P$17)</f>
        <v>3.3444687580320271E-4</v>
      </c>
      <c r="R5" s="232">
        <f t="shared" si="8"/>
        <v>3.5491502460235871E-2</v>
      </c>
      <c r="S5" s="233">
        <f t="shared" si="9"/>
        <v>5.7168257601949578E-4</v>
      </c>
      <c r="T5" s="231">
        <f t="shared" ref="T5:T16" si="48">$G5*K30</f>
        <v>7.3980138668123688E-7</v>
      </c>
      <c r="U5" s="228">
        <f>T5/($T$17)</f>
        <v>3.667076447822156E-4</v>
      </c>
      <c r="V5" s="232">
        <f t="shared" si="10"/>
        <v>3.891501526428872E-2</v>
      </c>
      <c r="W5" s="233">
        <f t="shared" si="11"/>
        <v>6.2681276855716098E-4</v>
      </c>
      <c r="X5" s="231">
        <f t="shared" si="12"/>
        <v>1.2657890269604248E-6</v>
      </c>
      <c r="Y5" s="228">
        <f t="shared" si="13"/>
        <v>4.2935628518234664E-4</v>
      </c>
      <c r="Z5" s="232">
        <f t="shared" si="14"/>
        <v>4.556328898355063E-2</v>
      </c>
      <c r="AA5" s="233">
        <f t="shared" si="15"/>
        <v>7.3386536318021539E-4</v>
      </c>
      <c r="AB5" s="231">
        <f t="shared" si="16"/>
        <v>1.8972038764506892E-6</v>
      </c>
      <c r="AC5" s="228">
        <f t="shared" si="17"/>
        <v>4.8257014384311009E-4</v>
      </c>
      <c r="AD5" s="232">
        <f t="shared" si="18"/>
        <v>5.1210343664630849E-2</v>
      </c>
      <c r="AE5" s="233">
        <f t="shared" si="19"/>
        <v>8.2478853901414594E-4</v>
      </c>
      <c r="AF5" s="231">
        <f t="shared" si="20"/>
        <v>3.3006621854037289E-6</v>
      </c>
      <c r="AG5" s="234">
        <f t="shared" si="21"/>
        <v>5.6463284614963335E-4</v>
      </c>
      <c r="AH5" s="231">
        <f t="shared" si="22"/>
        <v>5.9918837633399093E-2</v>
      </c>
      <c r="AI5" s="233">
        <f t="shared" si="23"/>
        <v>9.6499046393934873E-4</v>
      </c>
      <c r="AJ5" s="231">
        <f t="shared" si="24"/>
        <v>3.1610278036643242E-6</v>
      </c>
      <c r="AK5" s="234">
        <f t="shared" si="25"/>
        <v>5.5781896228925475E-4</v>
      </c>
      <c r="AL5" s="231">
        <f t="shared" si="26"/>
        <v>5.9195748278135715E-2</v>
      </c>
      <c r="AM5" s="233">
        <f t="shared" si="27"/>
        <v>9.5334974768574051E-4</v>
      </c>
      <c r="AN5" s="231">
        <f t="shared" si="28"/>
        <v>2.1973924626544984E-6</v>
      </c>
      <c r="AO5" s="234">
        <f t="shared" si="29"/>
        <v>5.0325951068195369E-4</v>
      </c>
      <c r="AP5" s="231">
        <f t="shared" si="30"/>
        <v>5.3405899273568931E-2</v>
      </c>
      <c r="AQ5" s="233">
        <f t="shared" si="31"/>
        <v>8.6013730625737978E-4</v>
      </c>
      <c r="AR5" s="231">
        <f t="shared" si="32"/>
        <v>9.7466165404852163E-7</v>
      </c>
      <c r="AS5" s="234">
        <f t="shared" si="33"/>
        <v>3.9778438155131505E-4</v>
      </c>
      <c r="AT5" s="231">
        <f t="shared" si="34"/>
        <v>4.2212878570225557E-2</v>
      </c>
      <c r="AU5" s="233">
        <f t="shared" si="35"/>
        <v>6.7991719044125905E-4</v>
      </c>
      <c r="AV5" s="231">
        <f t="shared" si="36"/>
        <v>4.8921943091401142E-7</v>
      </c>
      <c r="AW5" s="234">
        <f t="shared" si="37"/>
        <v>3.2410353490123286E-4</v>
      </c>
      <c r="AX5" s="231">
        <f t="shared" si="38"/>
        <v>3.4393867123718835E-2</v>
      </c>
      <c r="AY5" s="233">
        <f t="shared" si="39"/>
        <v>5.5400638192668321E-4</v>
      </c>
      <c r="AZ5" s="231">
        <f t="shared" ref="AZ5:AZ16" si="49">G5*S30</f>
        <v>3.1765036394394218E-7</v>
      </c>
      <c r="BA5" s="234">
        <f t="shared" si="40"/>
        <v>2.8435331571270451E-4</v>
      </c>
      <c r="BB5" s="231">
        <f t="shared" si="41"/>
        <v>3.0175573863432205E-2</v>
      </c>
      <c r="BC5" s="233">
        <f t="shared" si="42"/>
        <v>4.8607305435677706E-4</v>
      </c>
      <c r="BD5" s="347">
        <f t="shared" si="43"/>
        <v>9.6499046393934873E-4</v>
      </c>
      <c r="BE5" s="231">
        <f t="shared" ref="BE5:BE16" si="50">G5*T30</f>
        <v>2.2559426421783943E-5</v>
      </c>
      <c r="BF5" s="234">
        <f t="shared" ref="BF5:BF16" si="51">BE5/($BE$17)</f>
        <v>9.4898908610012466E-4</v>
      </c>
      <c r="BG5" s="231">
        <f t="shared" ref="BG5:BG16" si="52">BF5*$D5</f>
        <v>0.10070672181694523</v>
      </c>
      <c r="BH5" s="233">
        <f t="shared" si="44"/>
        <v>1.621435552914772E-3</v>
      </c>
    </row>
    <row r="6" spans="1:60">
      <c r="A6" s="226"/>
      <c r="B6" s="226" t="s">
        <v>1684</v>
      </c>
      <c r="C6" s="271">
        <v>0</v>
      </c>
      <c r="D6" s="228">
        <v>18.02</v>
      </c>
      <c r="E6" s="348">
        <v>0</v>
      </c>
      <c r="F6" s="230">
        <f t="shared" si="0"/>
        <v>0</v>
      </c>
      <c r="G6" s="228">
        <f t="shared" si="1"/>
        <v>0</v>
      </c>
      <c r="H6" s="231">
        <f t="shared" si="45"/>
        <v>0</v>
      </c>
      <c r="I6" s="228">
        <f t="shared" si="2"/>
        <v>0</v>
      </c>
      <c r="J6" s="232">
        <f>I6*$D6</f>
        <v>0</v>
      </c>
      <c r="K6" s="233">
        <f t="shared" si="3"/>
        <v>0</v>
      </c>
      <c r="L6" s="231">
        <f t="shared" si="4"/>
        <v>0</v>
      </c>
      <c r="M6" s="228">
        <f t="shared" si="5"/>
        <v>0</v>
      </c>
      <c r="N6" s="232">
        <f t="shared" si="46"/>
        <v>0</v>
      </c>
      <c r="O6" s="233">
        <f t="shared" si="6"/>
        <v>0</v>
      </c>
      <c r="P6" s="231">
        <f t="shared" si="7"/>
        <v>0</v>
      </c>
      <c r="Q6" s="228">
        <f t="shared" si="47"/>
        <v>0</v>
      </c>
      <c r="R6" s="232">
        <f t="shared" si="8"/>
        <v>0</v>
      </c>
      <c r="S6" s="233">
        <f t="shared" si="9"/>
        <v>0</v>
      </c>
      <c r="T6" s="231">
        <f t="shared" si="48"/>
        <v>0</v>
      </c>
      <c r="U6" s="228">
        <f t="shared" ref="U6:U16" si="53">T6/($T$17)</f>
        <v>0</v>
      </c>
      <c r="V6" s="232">
        <f t="shared" si="10"/>
        <v>0</v>
      </c>
      <c r="W6" s="233">
        <f t="shared" si="11"/>
        <v>0</v>
      </c>
      <c r="X6" s="231">
        <f t="shared" si="12"/>
        <v>0</v>
      </c>
      <c r="Y6" s="228">
        <f t="shared" si="13"/>
        <v>0</v>
      </c>
      <c r="Z6" s="232">
        <f t="shared" si="14"/>
        <v>0</v>
      </c>
      <c r="AA6" s="233">
        <f t="shared" si="15"/>
        <v>0</v>
      </c>
      <c r="AB6" s="231">
        <f t="shared" si="16"/>
        <v>0</v>
      </c>
      <c r="AC6" s="228">
        <f t="shared" si="17"/>
        <v>0</v>
      </c>
      <c r="AD6" s="232">
        <f t="shared" si="18"/>
        <v>0</v>
      </c>
      <c r="AE6" s="233">
        <f t="shared" si="19"/>
        <v>0</v>
      </c>
      <c r="AF6" s="231">
        <f t="shared" si="20"/>
        <v>0</v>
      </c>
      <c r="AG6" s="234">
        <f t="shared" si="21"/>
        <v>0</v>
      </c>
      <c r="AH6" s="231">
        <f t="shared" si="22"/>
        <v>0</v>
      </c>
      <c r="AI6" s="233">
        <f t="shared" si="23"/>
        <v>0</v>
      </c>
      <c r="AJ6" s="231">
        <f t="shared" si="24"/>
        <v>0</v>
      </c>
      <c r="AK6" s="234">
        <f t="shared" si="25"/>
        <v>0</v>
      </c>
      <c r="AL6" s="231">
        <f t="shared" si="26"/>
        <v>0</v>
      </c>
      <c r="AM6" s="233">
        <f t="shared" si="27"/>
        <v>0</v>
      </c>
      <c r="AN6" s="231">
        <f t="shared" si="28"/>
        <v>0</v>
      </c>
      <c r="AO6" s="234">
        <f t="shared" si="29"/>
        <v>0</v>
      </c>
      <c r="AP6" s="231">
        <f t="shared" si="30"/>
        <v>0</v>
      </c>
      <c r="AQ6" s="233">
        <f t="shared" si="31"/>
        <v>0</v>
      </c>
      <c r="AR6" s="231">
        <f t="shared" si="32"/>
        <v>0</v>
      </c>
      <c r="AS6" s="234">
        <f t="shared" si="33"/>
        <v>0</v>
      </c>
      <c r="AT6" s="231">
        <f t="shared" si="34"/>
        <v>0</v>
      </c>
      <c r="AU6" s="233">
        <f t="shared" si="35"/>
        <v>0</v>
      </c>
      <c r="AV6" s="231">
        <f t="shared" si="36"/>
        <v>0</v>
      </c>
      <c r="AW6" s="234">
        <f t="shared" si="37"/>
        <v>0</v>
      </c>
      <c r="AX6" s="231">
        <f t="shared" si="38"/>
        <v>0</v>
      </c>
      <c r="AY6" s="233">
        <f t="shared" si="39"/>
        <v>0</v>
      </c>
      <c r="AZ6" s="231">
        <f t="shared" si="49"/>
        <v>0</v>
      </c>
      <c r="BA6" s="234">
        <f t="shared" si="40"/>
        <v>0</v>
      </c>
      <c r="BB6" s="231">
        <f t="shared" si="41"/>
        <v>0</v>
      </c>
      <c r="BC6" s="233">
        <f t="shared" si="42"/>
        <v>0</v>
      </c>
      <c r="BD6" s="347">
        <f t="shared" si="43"/>
        <v>0</v>
      </c>
      <c r="BE6" s="231">
        <f t="shared" si="50"/>
        <v>0</v>
      </c>
      <c r="BF6" s="234">
        <f t="shared" si="51"/>
        <v>0</v>
      </c>
      <c r="BG6" s="231">
        <f t="shared" si="52"/>
        <v>0</v>
      </c>
      <c r="BH6" s="233">
        <f t="shared" si="44"/>
        <v>0</v>
      </c>
    </row>
    <row r="7" spans="1:60" s="349" customFormat="1">
      <c r="A7" s="226"/>
      <c r="B7" s="226"/>
      <c r="C7" s="271">
        <v>0</v>
      </c>
      <c r="D7" s="348">
        <v>0</v>
      </c>
      <c r="E7" s="348">
        <v>0</v>
      </c>
      <c r="F7" s="230">
        <f t="shared" si="0"/>
        <v>0</v>
      </c>
      <c r="G7" s="228">
        <f>F7</f>
        <v>0</v>
      </c>
      <c r="H7" s="231">
        <f t="shared" si="45"/>
        <v>0</v>
      </c>
      <c r="I7" s="228">
        <f t="shared" si="2"/>
        <v>0</v>
      </c>
      <c r="J7" s="232">
        <f t="shared" ref="J7:J16" si="54">I7*$D7</f>
        <v>0</v>
      </c>
      <c r="K7" s="233">
        <f t="shared" si="3"/>
        <v>0</v>
      </c>
      <c r="L7" s="231">
        <f t="shared" si="4"/>
        <v>0</v>
      </c>
      <c r="M7" s="228">
        <f t="shared" si="5"/>
        <v>0</v>
      </c>
      <c r="N7" s="232">
        <f t="shared" si="46"/>
        <v>0</v>
      </c>
      <c r="O7" s="233">
        <f t="shared" si="6"/>
        <v>0</v>
      </c>
      <c r="P7" s="231">
        <f t="shared" si="7"/>
        <v>0</v>
      </c>
      <c r="Q7" s="228">
        <f t="shared" si="47"/>
        <v>0</v>
      </c>
      <c r="R7" s="232">
        <f t="shared" si="8"/>
        <v>0</v>
      </c>
      <c r="S7" s="233">
        <f t="shared" si="9"/>
        <v>0</v>
      </c>
      <c r="T7" s="231">
        <f t="shared" si="48"/>
        <v>0</v>
      </c>
      <c r="U7" s="228">
        <f t="shared" si="53"/>
        <v>0</v>
      </c>
      <c r="V7" s="232">
        <f t="shared" si="10"/>
        <v>0</v>
      </c>
      <c r="W7" s="233">
        <f t="shared" si="11"/>
        <v>0</v>
      </c>
      <c r="X7" s="231">
        <f t="shared" si="12"/>
        <v>0</v>
      </c>
      <c r="Y7" s="228">
        <f t="shared" si="13"/>
        <v>0</v>
      </c>
      <c r="Z7" s="232">
        <f t="shared" si="14"/>
        <v>0</v>
      </c>
      <c r="AA7" s="233">
        <f t="shared" si="15"/>
        <v>0</v>
      </c>
      <c r="AB7" s="231">
        <f t="shared" si="16"/>
        <v>0</v>
      </c>
      <c r="AC7" s="228">
        <f t="shared" si="17"/>
        <v>0</v>
      </c>
      <c r="AD7" s="232">
        <f t="shared" si="18"/>
        <v>0</v>
      </c>
      <c r="AE7" s="233">
        <f t="shared" si="19"/>
        <v>0</v>
      </c>
      <c r="AF7" s="231">
        <f t="shared" si="20"/>
        <v>0</v>
      </c>
      <c r="AG7" s="234">
        <f t="shared" si="21"/>
        <v>0</v>
      </c>
      <c r="AH7" s="231">
        <f t="shared" si="22"/>
        <v>0</v>
      </c>
      <c r="AI7" s="233">
        <f t="shared" si="23"/>
        <v>0</v>
      </c>
      <c r="AJ7" s="231">
        <f t="shared" si="24"/>
        <v>0</v>
      </c>
      <c r="AK7" s="234">
        <f t="shared" si="25"/>
        <v>0</v>
      </c>
      <c r="AL7" s="231">
        <f t="shared" si="26"/>
        <v>0</v>
      </c>
      <c r="AM7" s="233">
        <f t="shared" si="27"/>
        <v>0</v>
      </c>
      <c r="AN7" s="231">
        <f t="shared" si="28"/>
        <v>0</v>
      </c>
      <c r="AO7" s="234">
        <f t="shared" si="29"/>
        <v>0</v>
      </c>
      <c r="AP7" s="231">
        <f t="shared" si="30"/>
        <v>0</v>
      </c>
      <c r="AQ7" s="233">
        <f t="shared" si="31"/>
        <v>0</v>
      </c>
      <c r="AR7" s="231">
        <f t="shared" si="32"/>
        <v>0</v>
      </c>
      <c r="AS7" s="234">
        <f t="shared" si="33"/>
        <v>0</v>
      </c>
      <c r="AT7" s="231">
        <f t="shared" si="34"/>
        <v>0</v>
      </c>
      <c r="AU7" s="233">
        <f t="shared" si="35"/>
        <v>0</v>
      </c>
      <c r="AV7" s="231">
        <f t="shared" si="36"/>
        <v>0</v>
      </c>
      <c r="AW7" s="234">
        <f t="shared" si="37"/>
        <v>0</v>
      </c>
      <c r="AX7" s="231">
        <f t="shared" si="38"/>
        <v>0</v>
      </c>
      <c r="AY7" s="233">
        <f t="shared" si="39"/>
        <v>0</v>
      </c>
      <c r="AZ7" s="231">
        <f t="shared" si="49"/>
        <v>0</v>
      </c>
      <c r="BA7" s="234">
        <f t="shared" si="40"/>
        <v>0</v>
      </c>
      <c r="BB7" s="231">
        <f t="shared" si="41"/>
        <v>0</v>
      </c>
      <c r="BC7" s="233">
        <f t="shared" si="42"/>
        <v>0</v>
      </c>
      <c r="BD7" s="347">
        <f t="shared" si="43"/>
        <v>0</v>
      </c>
      <c r="BE7" s="231">
        <f t="shared" si="50"/>
        <v>0</v>
      </c>
      <c r="BF7" s="234">
        <f t="shared" si="51"/>
        <v>0</v>
      </c>
      <c r="BG7" s="231">
        <f t="shared" si="52"/>
        <v>0</v>
      </c>
      <c r="BH7" s="233">
        <f t="shared" si="44"/>
        <v>0</v>
      </c>
    </row>
    <row r="8" spans="1:60" s="349" customFormat="1">
      <c r="A8" s="226"/>
      <c r="B8" s="226"/>
      <c r="C8" s="271">
        <v>0</v>
      </c>
      <c r="D8" s="348">
        <v>0</v>
      </c>
      <c r="E8" s="348">
        <v>0</v>
      </c>
      <c r="F8" s="230">
        <f t="shared" si="0"/>
        <v>0</v>
      </c>
      <c r="G8" s="228">
        <f t="shared" ref="G8:G13" si="55">F8</f>
        <v>0</v>
      </c>
      <c r="H8" s="231">
        <f t="shared" si="45"/>
        <v>0</v>
      </c>
      <c r="I8" s="228">
        <f t="shared" si="2"/>
        <v>0</v>
      </c>
      <c r="J8" s="232">
        <f>I8*$D8</f>
        <v>0</v>
      </c>
      <c r="K8" s="233">
        <f t="shared" si="3"/>
        <v>0</v>
      </c>
      <c r="L8" s="231">
        <f t="shared" si="4"/>
        <v>0</v>
      </c>
      <c r="M8" s="228">
        <f t="shared" si="5"/>
        <v>0</v>
      </c>
      <c r="N8" s="232">
        <f>M8*$D8</f>
        <v>0</v>
      </c>
      <c r="O8" s="233">
        <f t="shared" si="6"/>
        <v>0</v>
      </c>
      <c r="P8" s="231">
        <f t="shared" si="7"/>
        <v>0</v>
      </c>
      <c r="Q8" s="228">
        <f t="shared" si="47"/>
        <v>0</v>
      </c>
      <c r="R8" s="232">
        <f t="shared" si="8"/>
        <v>0</v>
      </c>
      <c r="S8" s="233">
        <f t="shared" si="9"/>
        <v>0</v>
      </c>
      <c r="T8" s="231">
        <f t="shared" si="48"/>
        <v>0</v>
      </c>
      <c r="U8" s="228">
        <f t="shared" si="53"/>
        <v>0</v>
      </c>
      <c r="V8" s="232">
        <f t="shared" si="10"/>
        <v>0</v>
      </c>
      <c r="W8" s="233">
        <f t="shared" si="11"/>
        <v>0</v>
      </c>
      <c r="X8" s="231">
        <f t="shared" si="12"/>
        <v>0</v>
      </c>
      <c r="Y8" s="228">
        <f t="shared" si="13"/>
        <v>0</v>
      </c>
      <c r="Z8" s="232">
        <f t="shared" si="14"/>
        <v>0</v>
      </c>
      <c r="AA8" s="233">
        <f t="shared" si="15"/>
        <v>0</v>
      </c>
      <c r="AB8" s="231">
        <f t="shared" si="16"/>
        <v>0</v>
      </c>
      <c r="AC8" s="228">
        <f t="shared" si="17"/>
        <v>0</v>
      </c>
      <c r="AD8" s="232">
        <f t="shared" si="18"/>
        <v>0</v>
      </c>
      <c r="AE8" s="233">
        <f t="shared" si="19"/>
        <v>0</v>
      </c>
      <c r="AF8" s="231">
        <f t="shared" si="20"/>
        <v>0</v>
      </c>
      <c r="AG8" s="234">
        <f t="shared" si="21"/>
        <v>0</v>
      </c>
      <c r="AH8" s="231">
        <f t="shared" si="22"/>
        <v>0</v>
      </c>
      <c r="AI8" s="233">
        <f t="shared" si="23"/>
        <v>0</v>
      </c>
      <c r="AJ8" s="231">
        <f t="shared" si="24"/>
        <v>0</v>
      </c>
      <c r="AK8" s="234">
        <f t="shared" si="25"/>
        <v>0</v>
      </c>
      <c r="AL8" s="231">
        <f t="shared" si="26"/>
        <v>0</v>
      </c>
      <c r="AM8" s="233">
        <f t="shared" si="27"/>
        <v>0</v>
      </c>
      <c r="AN8" s="231">
        <f t="shared" si="28"/>
        <v>0</v>
      </c>
      <c r="AO8" s="234">
        <f t="shared" si="29"/>
        <v>0</v>
      </c>
      <c r="AP8" s="231">
        <f t="shared" si="30"/>
        <v>0</v>
      </c>
      <c r="AQ8" s="233">
        <f t="shared" si="31"/>
        <v>0</v>
      </c>
      <c r="AR8" s="231">
        <f t="shared" si="32"/>
        <v>0</v>
      </c>
      <c r="AS8" s="234">
        <f t="shared" si="33"/>
        <v>0</v>
      </c>
      <c r="AT8" s="231">
        <f t="shared" si="34"/>
        <v>0</v>
      </c>
      <c r="AU8" s="233">
        <f t="shared" si="35"/>
        <v>0</v>
      </c>
      <c r="AV8" s="231">
        <f t="shared" si="36"/>
        <v>0</v>
      </c>
      <c r="AW8" s="234">
        <f t="shared" si="37"/>
        <v>0</v>
      </c>
      <c r="AX8" s="231">
        <f t="shared" si="38"/>
        <v>0</v>
      </c>
      <c r="AY8" s="233">
        <f t="shared" si="39"/>
        <v>0</v>
      </c>
      <c r="AZ8" s="231">
        <f t="shared" si="49"/>
        <v>0</v>
      </c>
      <c r="BA8" s="234">
        <f t="shared" si="40"/>
        <v>0</v>
      </c>
      <c r="BB8" s="231">
        <f t="shared" si="41"/>
        <v>0</v>
      </c>
      <c r="BC8" s="233">
        <f t="shared" si="42"/>
        <v>0</v>
      </c>
      <c r="BD8" s="347">
        <f t="shared" si="43"/>
        <v>0</v>
      </c>
      <c r="BE8" s="231">
        <f t="shared" si="50"/>
        <v>0</v>
      </c>
      <c r="BF8" s="234">
        <f t="shared" si="51"/>
        <v>0</v>
      </c>
      <c r="BG8" s="231">
        <f t="shared" si="52"/>
        <v>0</v>
      </c>
      <c r="BH8" s="233">
        <f t="shared" si="44"/>
        <v>0</v>
      </c>
    </row>
    <row r="9" spans="1:60" s="349" customFormat="1">
      <c r="A9" s="226"/>
      <c r="B9" s="226"/>
      <c r="C9" s="271">
        <v>0</v>
      </c>
      <c r="D9" s="348">
        <v>0</v>
      </c>
      <c r="E9" s="348">
        <v>0</v>
      </c>
      <c r="F9" s="230">
        <f t="shared" si="0"/>
        <v>0</v>
      </c>
      <c r="G9" s="228">
        <f t="shared" si="55"/>
        <v>0</v>
      </c>
      <c r="H9" s="231">
        <f t="shared" si="45"/>
        <v>0</v>
      </c>
      <c r="I9" s="228">
        <f t="shared" si="2"/>
        <v>0</v>
      </c>
      <c r="J9" s="232">
        <f t="shared" ref="J9:J15" si="56">I9*$D9</f>
        <v>0</v>
      </c>
      <c r="K9" s="233">
        <f t="shared" si="3"/>
        <v>0</v>
      </c>
      <c r="L9" s="231">
        <f t="shared" si="4"/>
        <v>0</v>
      </c>
      <c r="M9" s="228">
        <f t="shared" si="5"/>
        <v>0</v>
      </c>
      <c r="N9" s="232">
        <f t="shared" ref="N9:N14" si="57">M9*$D9</f>
        <v>0</v>
      </c>
      <c r="O9" s="233">
        <f t="shared" si="6"/>
        <v>0</v>
      </c>
      <c r="P9" s="231">
        <f t="shared" si="7"/>
        <v>0</v>
      </c>
      <c r="Q9" s="228">
        <f t="shared" si="47"/>
        <v>0</v>
      </c>
      <c r="R9" s="232">
        <f t="shared" si="8"/>
        <v>0</v>
      </c>
      <c r="S9" s="233">
        <f t="shared" si="9"/>
        <v>0</v>
      </c>
      <c r="T9" s="231">
        <f t="shared" si="48"/>
        <v>0</v>
      </c>
      <c r="U9" s="228">
        <f t="shared" si="53"/>
        <v>0</v>
      </c>
      <c r="V9" s="232">
        <f t="shared" si="10"/>
        <v>0</v>
      </c>
      <c r="W9" s="233">
        <f t="shared" si="11"/>
        <v>0</v>
      </c>
      <c r="X9" s="231">
        <f t="shared" si="12"/>
        <v>0</v>
      </c>
      <c r="Y9" s="228">
        <f t="shared" si="13"/>
        <v>0</v>
      </c>
      <c r="Z9" s="232">
        <f t="shared" si="14"/>
        <v>0</v>
      </c>
      <c r="AA9" s="233">
        <f t="shared" si="15"/>
        <v>0</v>
      </c>
      <c r="AB9" s="231">
        <f t="shared" si="16"/>
        <v>0</v>
      </c>
      <c r="AC9" s="228">
        <f t="shared" si="17"/>
        <v>0</v>
      </c>
      <c r="AD9" s="232">
        <f t="shared" si="18"/>
        <v>0</v>
      </c>
      <c r="AE9" s="233">
        <f t="shared" si="19"/>
        <v>0</v>
      </c>
      <c r="AF9" s="231">
        <f t="shared" si="20"/>
        <v>0</v>
      </c>
      <c r="AG9" s="234">
        <f t="shared" si="21"/>
        <v>0</v>
      </c>
      <c r="AH9" s="231">
        <f t="shared" si="22"/>
        <v>0</v>
      </c>
      <c r="AI9" s="233">
        <f t="shared" si="23"/>
        <v>0</v>
      </c>
      <c r="AJ9" s="231">
        <f t="shared" si="24"/>
        <v>0</v>
      </c>
      <c r="AK9" s="234">
        <f t="shared" si="25"/>
        <v>0</v>
      </c>
      <c r="AL9" s="231">
        <f t="shared" si="26"/>
        <v>0</v>
      </c>
      <c r="AM9" s="233">
        <f t="shared" si="27"/>
        <v>0</v>
      </c>
      <c r="AN9" s="231">
        <f t="shared" si="28"/>
        <v>0</v>
      </c>
      <c r="AO9" s="234">
        <f t="shared" si="29"/>
        <v>0</v>
      </c>
      <c r="AP9" s="231">
        <f t="shared" si="30"/>
        <v>0</v>
      </c>
      <c r="AQ9" s="233">
        <f t="shared" si="31"/>
        <v>0</v>
      </c>
      <c r="AR9" s="231">
        <f t="shared" si="32"/>
        <v>0</v>
      </c>
      <c r="AS9" s="234">
        <f t="shared" si="33"/>
        <v>0</v>
      </c>
      <c r="AT9" s="231">
        <f t="shared" si="34"/>
        <v>0</v>
      </c>
      <c r="AU9" s="233">
        <f t="shared" si="35"/>
        <v>0</v>
      </c>
      <c r="AV9" s="231">
        <f t="shared" si="36"/>
        <v>0</v>
      </c>
      <c r="AW9" s="234">
        <f t="shared" si="37"/>
        <v>0</v>
      </c>
      <c r="AX9" s="231">
        <f t="shared" si="38"/>
        <v>0</v>
      </c>
      <c r="AY9" s="233">
        <f t="shared" si="39"/>
        <v>0</v>
      </c>
      <c r="AZ9" s="231">
        <f t="shared" si="49"/>
        <v>0</v>
      </c>
      <c r="BA9" s="234">
        <f t="shared" si="40"/>
        <v>0</v>
      </c>
      <c r="BB9" s="231">
        <f t="shared" si="41"/>
        <v>0</v>
      </c>
      <c r="BC9" s="233">
        <f t="shared" si="42"/>
        <v>0</v>
      </c>
      <c r="BD9" s="347">
        <f t="shared" si="43"/>
        <v>0</v>
      </c>
      <c r="BE9" s="231">
        <f t="shared" si="50"/>
        <v>0</v>
      </c>
      <c r="BF9" s="234">
        <f t="shared" si="51"/>
        <v>0</v>
      </c>
      <c r="BG9" s="231">
        <f t="shared" si="52"/>
        <v>0</v>
      </c>
      <c r="BH9" s="233">
        <f t="shared" si="44"/>
        <v>0</v>
      </c>
    </row>
    <row r="10" spans="1:60" s="349" customFormat="1">
      <c r="A10" s="226"/>
      <c r="B10" s="226"/>
      <c r="C10" s="271">
        <v>0</v>
      </c>
      <c r="D10" s="348">
        <v>0</v>
      </c>
      <c r="E10" s="348">
        <v>0</v>
      </c>
      <c r="F10" s="230">
        <f t="shared" si="0"/>
        <v>0</v>
      </c>
      <c r="G10" s="228">
        <f t="shared" si="55"/>
        <v>0</v>
      </c>
      <c r="H10" s="231">
        <f t="shared" si="45"/>
        <v>0</v>
      </c>
      <c r="I10" s="228">
        <f t="shared" si="2"/>
        <v>0</v>
      </c>
      <c r="J10" s="232">
        <f t="shared" si="56"/>
        <v>0</v>
      </c>
      <c r="K10" s="233">
        <f t="shared" si="3"/>
        <v>0</v>
      </c>
      <c r="L10" s="231">
        <f t="shared" si="4"/>
        <v>0</v>
      </c>
      <c r="M10" s="228">
        <f t="shared" si="5"/>
        <v>0</v>
      </c>
      <c r="N10" s="232">
        <f t="shared" si="57"/>
        <v>0</v>
      </c>
      <c r="O10" s="233">
        <f t="shared" si="6"/>
        <v>0</v>
      </c>
      <c r="P10" s="231">
        <f t="shared" si="7"/>
        <v>0</v>
      </c>
      <c r="Q10" s="228">
        <f t="shared" si="47"/>
        <v>0</v>
      </c>
      <c r="R10" s="232">
        <f t="shared" si="8"/>
        <v>0</v>
      </c>
      <c r="S10" s="233">
        <f t="shared" si="9"/>
        <v>0</v>
      </c>
      <c r="T10" s="231">
        <f t="shared" si="48"/>
        <v>0</v>
      </c>
      <c r="U10" s="228">
        <f t="shared" si="53"/>
        <v>0</v>
      </c>
      <c r="V10" s="232">
        <f t="shared" si="10"/>
        <v>0</v>
      </c>
      <c r="W10" s="233">
        <f t="shared" si="11"/>
        <v>0</v>
      </c>
      <c r="X10" s="231">
        <f t="shared" si="12"/>
        <v>0</v>
      </c>
      <c r="Y10" s="228">
        <f t="shared" si="13"/>
        <v>0</v>
      </c>
      <c r="Z10" s="232">
        <f t="shared" si="14"/>
        <v>0</v>
      </c>
      <c r="AA10" s="233">
        <f t="shared" si="15"/>
        <v>0</v>
      </c>
      <c r="AB10" s="231">
        <f t="shared" si="16"/>
        <v>0</v>
      </c>
      <c r="AC10" s="228">
        <f t="shared" si="17"/>
        <v>0</v>
      </c>
      <c r="AD10" s="232">
        <f t="shared" si="18"/>
        <v>0</v>
      </c>
      <c r="AE10" s="233">
        <f t="shared" si="19"/>
        <v>0</v>
      </c>
      <c r="AF10" s="231">
        <f t="shared" si="20"/>
        <v>0</v>
      </c>
      <c r="AG10" s="234">
        <f t="shared" si="21"/>
        <v>0</v>
      </c>
      <c r="AH10" s="231">
        <f t="shared" si="22"/>
        <v>0</v>
      </c>
      <c r="AI10" s="233">
        <f t="shared" si="23"/>
        <v>0</v>
      </c>
      <c r="AJ10" s="231">
        <f t="shared" si="24"/>
        <v>0</v>
      </c>
      <c r="AK10" s="234">
        <f t="shared" si="25"/>
        <v>0</v>
      </c>
      <c r="AL10" s="231">
        <f t="shared" si="26"/>
        <v>0</v>
      </c>
      <c r="AM10" s="233">
        <f t="shared" si="27"/>
        <v>0</v>
      </c>
      <c r="AN10" s="231">
        <f t="shared" si="28"/>
        <v>0</v>
      </c>
      <c r="AO10" s="234">
        <f t="shared" si="29"/>
        <v>0</v>
      </c>
      <c r="AP10" s="231">
        <f t="shared" si="30"/>
        <v>0</v>
      </c>
      <c r="AQ10" s="233">
        <f t="shared" si="31"/>
        <v>0</v>
      </c>
      <c r="AR10" s="231">
        <f t="shared" si="32"/>
        <v>0</v>
      </c>
      <c r="AS10" s="234">
        <f t="shared" si="33"/>
        <v>0</v>
      </c>
      <c r="AT10" s="231">
        <f t="shared" si="34"/>
        <v>0</v>
      </c>
      <c r="AU10" s="233">
        <f t="shared" si="35"/>
        <v>0</v>
      </c>
      <c r="AV10" s="231">
        <f t="shared" si="36"/>
        <v>0</v>
      </c>
      <c r="AW10" s="234">
        <f t="shared" si="37"/>
        <v>0</v>
      </c>
      <c r="AX10" s="231">
        <f t="shared" si="38"/>
        <v>0</v>
      </c>
      <c r="AY10" s="233">
        <f t="shared" si="39"/>
        <v>0</v>
      </c>
      <c r="AZ10" s="231">
        <f t="shared" si="49"/>
        <v>0</v>
      </c>
      <c r="BA10" s="234">
        <f t="shared" si="40"/>
        <v>0</v>
      </c>
      <c r="BB10" s="231">
        <f t="shared" si="41"/>
        <v>0</v>
      </c>
      <c r="BC10" s="233">
        <f t="shared" si="42"/>
        <v>0</v>
      </c>
      <c r="BD10" s="347">
        <f t="shared" si="43"/>
        <v>0</v>
      </c>
      <c r="BE10" s="231">
        <f t="shared" si="50"/>
        <v>0</v>
      </c>
      <c r="BF10" s="234">
        <f t="shared" si="51"/>
        <v>0</v>
      </c>
      <c r="BG10" s="231">
        <f t="shared" si="52"/>
        <v>0</v>
      </c>
      <c r="BH10" s="233">
        <f t="shared" si="44"/>
        <v>0</v>
      </c>
    </row>
    <row r="11" spans="1:60" s="349" customFormat="1">
      <c r="A11" s="226"/>
      <c r="B11" s="226"/>
      <c r="C11" s="271">
        <v>0</v>
      </c>
      <c r="D11" s="348">
        <v>0</v>
      </c>
      <c r="E11" s="348">
        <v>0</v>
      </c>
      <c r="F11" s="230">
        <f t="shared" si="0"/>
        <v>0</v>
      </c>
      <c r="G11" s="228">
        <f t="shared" si="55"/>
        <v>0</v>
      </c>
      <c r="H11" s="231">
        <f t="shared" si="45"/>
        <v>0</v>
      </c>
      <c r="I11" s="228">
        <f t="shared" si="2"/>
        <v>0</v>
      </c>
      <c r="J11" s="232">
        <f t="shared" si="56"/>
        <v>0</v>
      </c>
      <c r="K11" s="233">
        <f t="shared" si="3"/>
        <v>0</v>
      </c>
      <c r="L11" s="231">
        <f t="shared" si="4"/>
        <v>0</v>
      </c>
      <c r="M11" s="228">
        <f t="shared" si="5"/>
        <v>0</v>
      </c>
      <c r="N11" s="232">
        <f t="shared" si="57"/>
        <v>0</v>
      </c>
      <c r="O11" s="233">
        <f t="shared" si="6"/>
        <v>0</v>
      </c>
      <c r="P11" s="231">
        <f t="shared" si="7"/>
        <v>0</v>
      </c>
      <c r="Q11" s="228">
        <f t="shared" si="47"/>
        <v>0</v>
      </c>
      <c r="R11" s="232">
        <f t="shared" si="8"/>
        <v>0</v>
      </c>
      <c r="S11" s="233">
        <f t="shared" si="9"/>
        <v>0</v>
      </c>
      <c r="T11" s="231">
        <f t="shared" si="48"/>
        <v>0</v>
      </c>
      <c r="U11" s="228">
        <f t="shared" si="53"/>
        <v>0</v>
      </c>
      <c r="V11" s="232">
        <f t="shared" si="10"/>
        <v>0</v>
      </c>
      <c r="W11" s="233">
        <f t="shared" si="11"/>
        <v>0</v>
      </c>
      <c r="X11" s="231">
        <f t="shared" si="12"/>
        <v>0</v>
      </c>
      <c r="Y11" s="228">
        <f t="shared" si="13"/>
        <v>0</v>
      </c>
      <c r="Z11" s="232">
        <f t="shared" si="14"/>
        <v>0</v>
      </c>
      <c r="AA11" s="233">
        <f t="shared" si="15"/>
        <v>0</v>
      </c>
      <c r="AB11" s="231">
        <f t="shared" si="16"/>
        <v>0</v>
      </c>
      <c r="AC11" s="228">
        <f t="shared" si="17"/>
        <v>0</v>
      </c>
      <c r="AD11" s="232">
        <f t="shared" si="18"/>
        <v>0</v>
      </c>
      <c r="AE11" s="233">
        <f t="shared" si="19"/>
        <v>0</v>
      </c>
      <c r="AF11" s="231">
        <f t="shared" si="20"/>
        <v>0</v>
      </c>
      <c r="AG11" s="234">
        <f t="shared" si="21"/>
        <v>0</v>
      </c>
      <c r="AH11" s="231">
        <f t="shared" si="22"/>
        <v>0</v>
      </c>
      <c r="AI11" s="233">
        <f t="shared" si="23"/>
        <v>0</v>
      </c>
      <c r="AJ11" s="231">
        <f t="shared" si="24"/>
        <v>0</v>
      </c>
      <c r="AK11" s="234">
        <f t="shared" si="25"/>
        <v>0</v>
      </c>
      <c r="AL11" s="231">
        <f t="shared" si="26"/>
        <v>0</v>
      </c>
      <c r="AM11" s="233">
        <f t="shared" si="27"/>
        <v>0</v>
      </c>
      <c r="AN11" s="231">
        <f t="shared" si="28"/>
        <v>0</v>
      </c>
      <c r="AO11" s="234">
        <f t="shared" si="29"/>
        <v>0</v>
      </c>
      <c r="AP11" s="231">
        <f t="shared" si="30"/>
        <v>0</v>
      </c>
      <c r="AQ11" s="233">
        <f t="shared" si="31"/>
        <v>0</v>
      </c>
      <c r="AR11" s="231">
        <f t="shared" si="32"/>
        <v>0</v>
      </c>
      <c r="AS11" s="234">
        <f t="shared" si="33"/>
        <v>0</v>
      </c>
      <c r="AT11" s="231">
        <f t="shared" si="34"/>
        <v>0</v>
      </c>
      <c r="AU11" s="233">
        <f t="shared" si="35"/>
        <v>0</v>
      </c>
      <c r="AV11" s="231">
        <f t="shared" si="36"/>
        <v>0</v>
      </c>
      <c r="AW11" s="234">
        <f t="shared" si="37"/>
        <v>0</v>
      </c>
      <c r="AX11" s="231">
        <f t="shared" si="38"/>
        <v>0</v>
      </c>
      <c r="AY11" s="233">
        <f t="shared" si="39"/>
        <v>0</v>
      </c>
      <c r="AZ11" s="231">
        <f t="shared" si="49"/>
        <v>0</v>
      </c>
      <c r="BA11" s="234">
        <f t="shared" si="40"/>
        <v>0</v>
      </c>
      <c r="BB11" s="231">
        <f t="shared" si="41"/>
        <v>0</v>
      </c>
      <c r="BC11" s="233">
        <f t="shared" si="42"/>
        <v>0</v>
      </c>
      <c r="BD11" s="347">
        <f t="shared" si="43"/>
        <v>0</v>
      </c>
      <c r="BE11" s="231">
        <f t="shared" si="50"/>
        <v>0</v>
      </c>
      <c r="BF11" s="234">
        <f t="shared" si="51"/>
        <v>0</v>
      </c>
      <c r="BG11" s="231">
        <f t="shared" si="52"/>
        <v>0</v>
      </c>
      <c r="BH11" s="233">
        <f t="shared" si="44"/>
        <v>0</v>
      </c>
    </row>
    <row r="12" spans="1:60" s="349" customFormat="1">
      <c r="A12" s="226"/>
      <c r="B12" s="226"/>
      <c r="C12" s="271">
        <v>0</v>
      </c>
      <c r="D12" s="348">
        <v>0</v>
      </c>
      <c r="E12" s="348">
        <v>0</v>
      </c>
      <c r="F12" s="230">
        <f t="shared" si="0"/>
        <v>0</v>
      </c>
      <c r="G12" s="228">
        <f t="shared" si="55"/>
        <v>0</v>
      </c>
      <c r="H12" s="231">
        <f t="shared" si="45"/>
        <v>0</v>
      </c>
      <c r="I12" s="228">
        <f t="shared" si="2"/>
        <v>0</v>
      </c>
      <c r="J12" s="232">
        <f t="shared" si="56"/>
        <v>0</v>
      </c>
      <c r="K12" s="233">
        <f t="shared" si="3"/>
        <v>0</v>
      </c>
      <c r="L12" s="231">
        <f t="shared" si="4"/>
        <v>0</v>
      </c>
      <c r="M12" s="228">
        <f t="shared" si="5"/>
        <v>0</v>
      </c>
      <c r="N12" s="232">
        <f t="shared" si="57"/>
        <v>0</v>
      </c>
      <c r="O12" s="233">
        <f t="shared" si="6"/>
        <v>0</v>
      </c>
      <c r="P12" s="231">
        <f t="shared" si="7"/>
        <v>0</v>
      </c>
      <c r="Q12" s="228">
        <f t="shared" si="47"/>
        <v>0</v>
      </c>
      <c r="R12" s="232">
        <f t="shared" si="8"/>
        <v>0</v>
      </c>
      <c r="S12" s="233">
        <f t="shared" si="9"/>
        <v>0</v>
      </c>
      <c r="T12" s="231">
        <f t="shared" si="48"/>
        <v>0</v>
      </c>
      <c r="U12" s="228">
        <f t="shared" si="53"/>
        <v>0</v>
      </c>
      <c r="V12" s="232">
        <f t="shared" si="10"/>
        <v>0</v>
      </c>
      <c r="W12" s="233">
        <f t="shared" si="11"/>
        <v>0</v>
      </c>
      <c r="X12" s="231">
        <f t="shared" si="12"/>
        <v>0</v>
      </c>
      <c r="Y12" s="228">
        <f t="shared" si="13"/>
        <v>0</v>
      </c>
      <c r="Z12" s="232">
        <f t="shared" si="14"/>
        <v>0</v>
      </c>
      <c r="AA12" s="233">
        <f t="shared" si="15"/>
        <v>0</v>
      </c>
      <c r="AB12" s="231">
        <f t="shared" si="16"/>
        <v>0</v>
      </c>
      <c r="AC12" s="228">
        <f t="shared" si="17"/>
        <v>0</v>
      </c>
      <c r="AD12" s="232">
        <f t="shared" si="18"/>
        <v>0</v>
      </c>
      <c r="AE12" s="233">
        <f t="shared" si="19"/>
        <v>0</v>
      </c>
      <c r="AF12" s="231">
        <f t="shared" si="20"/>
        <v>0</v>
      </c>
      <c r="AG12" s="234">
        <f t="shared" si="21"/>
        <v>0</v>
      </c>
      <c r="AH12" s="231">
        <f t="shared" si="22"/>
        <v>0</v>
      </c>
      <c r="AI12" s="233">
        <f t="shared" si="23"/>
        <v>0</v>
      </c>
      <c r="AJ12" s="231">
        <f t="shared" si="24"/>
        <v>0</v>
      </c>
      <c r="AK12" s="234">
        <f t="shared" si="25"/>
        <v>0</v>
      </c>
      <c r="AL12" s="231">
        <f t="shared" si="26"/>
        <v>0</v>
      </c>
      <c r="AM12" s="233">
        <f t="shared" si="27"/>
        <v>0</v>
      </c>
      <c r="AN12" s="231">
        <f t="shared" si="28"/>
        <v>0</v>
      </c>
      <c r="AO12" s="234">
        <f t="shared" si="29"/>
        <v>0</v>
      </c>
      <c r="AP12" s="231">
        <f t="shared" si="30"/>
        <v>0</v>
      </c>
      <c r="AQ12" s="233">
        <f t="shared" si="31"/>
        <v>0</v>
      </c>
      <c r="AR12" s="231">
        <f t="shared" si="32"/>
        <v>0</v>
      </c>
      <c r="AS12" s="234">
        <f t="shared" si="33"/>
        <v>0</v>
      </c>
      <c r="AT12" s="231">
        <f t="shared" si="34"/>
        <v>0</v>
      </c>
      <c r="AU12" s="233">
        <f t="shared" si="35"/>
        <v>0</v>
      </c>
      <c r="AV12" s="231">
        <f t="shared" si="36"/>
        <v>0</v>
      </c>
      <c r="AW12" s="234">
        <f t="shared" si="37"/>
        <v>0</v>
      </c>
      <c r="AX12" s="231">
        <f t="shared" si="38"/>
        <v>0</v>
      </c>
      <c r="AY12" s="233">
        <f t="shared" si="39"/>
        <v>0</v>
      </c>
      <c r="AZ12" s="231">
        <f t="shared" si="49"/>
        <v>0</v>
      </c>
      <c r="BA12" s="234">
        <f t="shared" si="40"/>
        <v>0</v>
      </c>
      <c r="BB12" s="231">
        <f t="shared" si="41"/>
        <v>0</v>
      </c>
      <c r="BC12" s="233">
        <f t="shared" si="42"/>
        <v>0</v>
      </c>
      <c r="BD12" s="347">
        <f t="shared" si="43"/>
        <v>0</v>
      </c>
      <c r="BE12" s="231">
        <f t="shared" si="50"/>
        <v>0</v>
      </c>
      <c r="BF12" s="234">
        <f t="shared" si="51"/>
        <v>0</v>
      </c>
      <c r="BG12" s="231">
        <f t="shared" si="52"/>
        <v>0</v>
      </c>
      <c r="BH12" s="233">
        <f t="shared" si="44"/>
        <v>0</v>
      </c>
    </row>
    <row r="13" spans="1:60" s="349" customFormat="1">
      <c r="A13" s="226"/>
      <c r="B13" s="226"/>
      <c r="C13" s="271">
        <v>0</v>
      </c>
      <c r="D13" s="348">
        <v>0</v>
      </c>
      <c r="E13" s="348">
        <v>0</v>
      </c>
      <c r="F13" s="230">
        <f t="shared" si="0"/>
        <v>0</v>
      </c>
      <c r="G13" s="228">
        <f t="shared" si="55"/>
        <v>0</v>
      </c>
      <c r="H13" s="231">
        <f t="shared" si="45"/>
        <v>0</v>
      </c>
      <c r="I13" s="228">
        <f t="shared" si="2"/>
        <v>0</v>
      </c>
      <c r="J13" s="232">
        <f t="shared" si="56"/>
        <v>0</v>
      </c>
      <c r="K13" s="233">
        <f t="shared" si="3"/>
        <v>0</v>
      </c>
      <c r="L13" s="231">
        <f t="shared" si="4"/>
        <v>0</v>
      </c>
      <c r="M13" s="228">
        <f t="shared" si="5"/>
        <v>0</v>
      </c>
      <c r="N13" s="232">
        <f t="shared" si="57"/>
        <v>0</v>
      </c>
      <c r="O13" s="233">
        <f t="shared" si="6"/>
        <v>0</v>
      </c>
      <c r="P13" s="231">
        <f t="shared" si="7"/>
        <v>0</v>
      </c>
      <c r="Q13" s="228">
        <f t="shared" si="47"/>
        <v>0</v>
      </c>
      <c r="R13" s="232">
        <f t="shared" si="8"/>
        <v>0</v>
      </c>
      <c r="S13" s="233">
        <f t="shared" si="9"/>
        <v>0</v>
      </c>
      <c r="T13" s="231">
        <f t="shared" si="48"/>
        <v>0</v>
      </c>
      <c r="U13" s="228">
        <f t="shared" si="53"/>
        <v>0</v>
      </c>
      <c r="V13" s="232">
        <f t="shared" si="10"/>
        <v>0</v>
      </c>
      <c r="W13" s="233">
        <f t="shared" si="11"/>
        <v>0</v>
      </c>
      <c r="X13" s="231">
        <f t="shared" si="12"/>
        <v>0</v>
      </c>
      <c r="Y13" s="228">
        <f t="shared" si="13"/>
        <v>0</v>
      </c>
      <c r="Z13" s="232">
        <f t="shared" si="14"/>
        <v>0</v>
      </c>
      <c r="AA13" s="233">
        <f t="shared" si="15"/>
        <v>0</v>
      </c>
      <c r="AB13" s="231">
        <f t="shared" si="16"/>
        <v>0</v>
      </c>
      <c r="AC13" s="228">
        <f t="shared" si="17"/>
        <v>0</v>
      </c>
      <c r="AD13" s="232">
        <f t="shared" si="18"/>
        <v>0</v>
      </c>
      <c r="AE13" s="233">
        <f t="shared" si="19"/>
        <v>0</v>
      </c>
      <c r="AF13" s="231">
        <f t="shared" si="20"/>
        <v>0</v>
      </c>
      <c r="AG13" s="234">
        <f t="shared" si="21"/>
        <v>0</v>
      </c>
      <c r="AH13" s="231">
        <f t="shared" si="22"/>
        <v>0</v>
      </c>
      <c r="AI13" s="233">
        <f t="shared" si="23"/>
        <v>0</v>
      </c>
      <c r="AJ13" s="231">
        <f t="shared" si="24"/>
        <v>0</v>
      </c>
      <c r="AK13" s="234">
        <f t="shared" si="25"/>
        <v>0</v>
      </c>
      <c r="AL13" s="231">
        <f t="shared" si="26"/>
        <v>0</v>
      </c>
      <c r="AM13" s="233">
        <f t="shared" si="27"/>
        <v>0</v>
      </c>
      <c r="AN13" s="231">
        <f t="shared" si="28"/>
        <v>0</v>
      </c>
      <c r="AO13" s="234">
        <f t="shared" si="29"/>
        <v>0</v>
      </c>
      <c r="AP13" s="231">
        <f t="shared" si="30"/>
        <v>0</v>
      </c>
      <c r="AQ13" s="233">
        <f t="shared" si="31"/>
        <v>0</v>
      </c>
      <c r="AR13" s="231">
        <f t="shared" si="32"/>
        <v>0</v>
      </c>
      <c r="AS13" s="234">
        <f t="shared" si="33"/>
        <v>0</v>
      </c>
      <c r="AT13" s="231">
        <f t="shared" si="34"/>
        <v>0</v>
      </c>
      <c r="AU13" s="233">
        <f t="shared" si="35"/>
        <v>0</v>
      </c>
      <c r="AV13" s="231">
        <f t="shared" si="36"/>
        <v>0</v>
      </c>
      <c r="AW13" s="234">
        <f t="shared" si="37"/>
        <v>0</v>
      </c>
      <c r="AX13" s="231">
        <f t="shared" si="38"/>
        <v>0</v>
      </c>
      <c r="AY13" s="233">
        <f t="shared" si="39"/>
        <v>0</v>
      </c>
      <c r="AZ13" s="231">
        <f t="shared" si="49"/>
        <v>0</v>
      </c>
      <c r="BA13" s="234">
        <f t="shared" si="40"/>
        <v>0</v>
      </c>
      <c r="BB13" s="231">
        <f t="shared" si="41"/>
        <v>0</v>
      </c>
      <c r="BC13" s="233">
        <f t="shared" si="42"/>
        <v>0</v>
      </c>
      <c r="BD13" s="347">
        <f t="shared" si="43"/>
        <v>0</v>
      </c>
      <c r="BE13" s="231">
        <f t="shared" si="50"/>
        <v>0</v>
      </c>
      <c r="BF13" s="234">
        <f t="shared" si="51"/>
        <v>0</v>
      </c>
      <c r="BG13" s="231">
        <f t="shared" si="52"/>
        <v>0</v>
      </c>
      <c r="BH13" s="233">
        <f t="shared" si="44"/>
        <v>0</v>
      </c>
    </row>
    <row r="14" spans="1:60" s="349" customFormat="1">
      <c r="A14" s="226"/>
      <c r="B14" s="226"/>
      <c r="C14" s="271">
        <v>0</v>
      </c>
      <c r="D14" s="348">
        <v>0</v>
      </c>
      <c r="E14" s="348">
        <v>0</v>
      </c>
      <c r="F14" s="230">
        <f t="shared" si="0"/>
        <v>0</v>
      </c>
      <c r="G14" s="228">
        <f>F14</f>
        <v>0</v>
      </c>
      <c r="H14" s="231">
        <f t="shared" si="45"/>
        <v>0</v>
      </c>
      <c r="I14" s="228">
        <f t="shared" si="2"/>
        <v>0</v>
      </c>
      <c r="J14" s="232">
        <f t="shared" si="56"/>
        <v>0</v>
      </c>
      <c r="K14" s="233">
        <f t="shared" si="3"/>
        <v>0</v>
      </c>
      <c r="L14" s="231">
        <f t="shared" si="4"/>
        <v>0</v>
      </c>
      <c r="M14" s="228">
        <f t="shared" si="5"/>
        <v>0</v>
      </c>
      <c r="N14" s="232">
        <f t="shared" si="57"/>
        <v>0</v>
      </c>
      <c r="O14" s="233">
        <f t="shared" si="6"/>
        <v>0</v>
      </c>
      <c r="P14" s="231">
        <f t="shared" si="7"/>
        <v>0</v>
      </c>
      <c r="Q14" s="228">
        <f t="shared" si="47"/>
        <v>0</v>
      </c>
      <c r="R14" s="232">
        <f t="shared" si="8"/>
        <v>0</v>
      </c>
      <c r="S14" s="233">
        <f t="shared" si="9"/>
        <v>0</v>
      </c>
      <c r="T14" s="231">
        <f t="shared" si="48"/>
        <v>0</v>
      </c>
      <c r="U14" s="228">
        <f t="shared" si="53"/>
        <v>0</v>
      </c>
      <c r="V14" s="232">
        <f t="shared" si="10"/>
        <v>0</v>
      </c>
      <c r="W14" s="233">
        <f t="shared" si="11"/>
        <v>0</v>
      </c>
      <c r="X14" s="231">
        <f t="shared" si="12"/>
        <v>0</v>
      </c>
      <c r="Y14" s="228">
        <f t="shared" si="13"/>
        <v>0</v>
      </c>
      <c r="Z14" s="232">
        <f t="shared" si="14"/>
        <v>0</v>
      </c>
      <c r="AA14" s="233">
        <f t="shared" si="15"/>
        <v>0</v>
      </c>
      <c r="AB14" s="231">
        <f t="shared" si="16"/>
        <v>0</v>
      </c>
      <c r="AC14" s="228">
        <f t="shared" si="17"/>
        <v>0</v>
      </c>
      <c r="AD14" s="232">
        <f t="shared" si="18"/>
        <v>0</v>
      </c>
      <c r="AE14" s="233">
        <f t="shared" si="19"/>
        <v>0</v>
      </c>
      <c r="AF14" s="231">
        <f t="shared" si="20"/>
        <v>0</v>
      </c>
      <c r="AG14" s="234">
        <f t="shared" si="21"/>
        <v>0</v>
      </c>
      <c r="AH14" s="231">
        <f t="shared" si="22"/>
        <v>0</v>
      </c>
      <c r="AI14" s="233">
        <f t="shared" si="23"/>
        <v>0</v>
      </c>
      <c r="AJ14" s="231">
        <f t="shared" si="24"/>
        <v>0</v>
      </c>
      <c r="AK14" s="234">
        <f t="shared" si="25"/>
        <v>0</v>
      </c>
      <c r="AL14" s="231">
        <f t="shared" si="26"/>
        <v>0</v>
      </c>
      <c r="AM14" s="233">
        <f t="shared" si="27"/>
        <v>0</v>
      </c>
      <c r="AN14" s="231">
        <f t="shared" si="28"/>
        <v>0</v>
      </c>
      <c r="AO14" s="234">
        <f t="shared" si="29"/>
        <v>0</v>
      </c>
      <c r="AP14" s="231">
        <f t="shared" si="30"/>
        <v>0</v>
      </c>
      <c r="AQ14" s="233">
        <f t="shared" si="31"/>
        <v>0</v>
      </c>
      <c r="AR14" s="231">
        <f t="shared" si="32"/>
        <v>0</v>
      </c>
      <c r="AS14" s="234">
        <f t="shared" si="33"/>
        <v>0</v>
      </c>
      <c r="AT14" s="231">
        <f t="shared" si="34"/>
        <v>0</v>
      </c>
      <c r="AU14" s="233">
        <f t="shared" si="35"/>
        <v>0</v>
      </c>
      <c r="AV14" s="231">
        <f t="shared" si="36"/>
        <v>0</v>
      </c>
      <c r="AW14" s="234">
        <f t="shared" si="37"/>
        <v>0</v>
      </c>
      <c r="AX14" s="231">
        <f t="shared" si="38"/>
        <v>0</v>
      </c>
      <c r="AY14" s="233">
        <f t="shared" si="39"/>
        <v>0</v>
      </c>
      <c r="AZ14" s="231">
        <f t="shared" si="49"/>
        <v>0</v>
      </c>
      <c r="BA14" s="234">
        <f t="shared" si="40"/>
        <v>0</v>
      </c>
      <c r="BB14" s="231">
        <f t="shared" si="41"/>
        <v>0</v>
      </c>
      <c r="BC14" s="233">
        <f t="shared" si="42"/>
        <v>0</v>
      </c>
      <c r="BD14" s="347">
        <f t="shared" si="43"/>
        <v>0</v>
      </c>
      <c r="BE14" s="231">
        <f t="shared" si="50"/>
        <v>0</v>
      </c>
      <c r="BF14" s="234">
        <f t="shared" si="51"/>
        <v>0</v>
      </c>
      <c r="BG14" s="231">
        <f t="shared" si="52"/>
        <v>0</v>
      </c>
      <c r="BH14" s="233">
        <f t="shared" si="44"/>
        <v>0</v>
      </c>
    </row>
    <row r="15" spans="1:60" s="349" customFormat="1">
      <c r="A15" s="226"/>
      <c r="B15" s="226"/>
      <c r="C15" s="271">
        <v>0</v>
      </c>
      <c r="D15" s="348">
        <v>0</v>
      </c>
      <c r="E15" s="348">
        <v>0</v>
      </c>
      <c r="F15" s="230">
        <f t="shared" si="0"/>
        <v>0</v>
      </c>
      <c r="G15" s="228">
        <f>F15</f>
        <v>0</v>
      </c>
      <c r="H15" s="231">
        <f t="shared" si="45"/>
        <v>0</v>
      </c>
      <c r="I15" s="228">
        <f t="shared" si="2"/>
        <v>0</v>
      </c>
      <c r="J15" s="232">
        <f t="shared" si="56"/>
        <v>0</v>
      </c>
      <c r="K15" s="233">
        <f t="shared" si="3"/>
        <v>0</v>
      </c>
      <c r="L15" s="231">
        <f t="shared" si="4"/>
        <v>0</v>
      </c>
      <c r="M15" s="228">
        <f t="shared" si="5"/>
        <v>0</v>
      </c>
      <c r="N15" s="232">
        <f>M15*$D15</f>
        <v>0</v>
      </c>
      <c r="O15" s="233">
        <f t="shared" si="6"/>
        <v>0</v>
      </c>
      <c r="P15" s="231">
        <f t="shared" si="7"/>
        <v>0</v>
      </c>
      <c r="Q15" s="228">
        <f t="shared" si="47"/>
        <v>0</v>
      </c>
      <c r="R15" s="232">
        <f>Q15*$D15</f>
        <v>0</v>
      </c>
      <c r="S15" s="233">
        <f t="shared" si="9"/>
        <v>0</v>
      </c>
      <c r="T15" s="231">
        <f t="shared" si="48"/>
        <v>0</v>
      </c>
      <c r="U15" s="228">
        <f t="shared" si="53"/>
        <v>0</v>
      </c>
      <c r="V15" s="232">
        <f t="shared" si="10"/>
        <v>0</v>
      </c>
      <c r="W15" s="233">
        <f t="shared" si="11"/>
        <v>0</v>
      </c>
      <c r="X15" s="231">
        <f t="shared" si="12"/>
        <v>0</v>
      </c>
      <c r="Y15" s="228">
        <f t="shared" si="13"/>
        <v>0</v>
      </c>
      <c r="Z15" s="232">
        <f t="shared" si="14"/>
        <v>0</v>
      </c>
      <c r="AA15" s="233">
        <f t="shared" si="15"/>
        <v>0</v>
      </c>
      <c r="AB15" s="231">
        <f t="shared" si="16"/>
        <v>0</v>
      </c>
      <c r="AC15" s="228">
        <f t="shared" si="17"/>
        <v>0</v>
      </c>
      <c r="AD15" s="232">
        <f t="shared" si="18"/>
        <v>0</v>
      </c>
      <c r="AE15" s="233">
        <f t="shared" si="19"/>
        <v>0</v>
      </c>
      <c r="AF15" s="231">
        <f t="shared" si="20"/>
        <v>0</v>
      </c>
      <c r="AG15" s="234">
        <f t="shared" si="21"/>
        <v>0</v>
      </c>
      <c r="AH15" s="231">
        <f t="shared" si="22"/>
        <v>0</v>
      </c>
      <c r="AI15" s="233">
        <f t="shared" si="23"/>
        <v>0</v>
      </c>
      <c r="AJ15" s="231">
        <f t="shared" si="24"/>
        <v>0</v>
      </c>
      <c r="AK15" s="234">
        <f t="shared" si="25"/>
        <v>0</v>
      </c>
      <c r="AL15" s="231">
        <f t="shared" si="26"/>
        <v>0</v>
      </c>
      <c r="AM15" s="233">
        <f t="shared" si="27"/>
        <v>0</v>
      </c>
      <c r="AN15" s="231">
        <f t="shared" si="28"/>
        <v>0</v>
      </c>
      <c r="AO15" s="234">
        <f t="shared" si="29"/>
        <v>0</v>
      </c>
      <c r="AP15" s="231">
        <f t="shared" si="30"/>
        <v>0</v>
      </c>
      <c r="AQ15" s="233">
        <f t="shared" si="31"/>
        <v>0</v>
      </c>
      <c r="AR15" s="231">
        <f t="shared" si="32"/>
        <v>0</v>
      </c>
      <c r="AS15" s="234">
        <f t="shared" si="33"/>
        <v>0</v>
      </c>
      <c r="AT15" s="231">
        <f t="shared" si="34"/>
        <v>0</v>
      </c>
      <c r="AU15" s="233">
        <f t="shared" si="35"/>
        <v>0</v>
      </c>
      <c r="AV15" s="231">
        <f t="shared" si="36"/>
        <v>0</v>
      </c>
      <c r="AW15" s="234">
        <f t="shared" si="37"/>
        <v>0</v>
      </c>
      <c r="AX15" s="231">
        <f t="shared" si="38"/>
        <v>0</v>
      </c>
      <c r="AY15" s="233">
        <f t="shared" si="39"/>
        <v>0</v>
      </c>
      <c r="AZ15" s="231">
        <f t="shared" si="49"/>
        <v>0</v>
      </c>
      <c r="BA15" s="234">
        <f t="shared" si="40"/>
        <v>0</v>
      </c>
      <c r="BB15" s="231">
        <f t="shared" si="41"/>
        <v>0</v>
      </c>
      <c r="BC15" s="233">
        <f t="shared" si="42"/>
        <v>0</v>
      </c>
      <c r="BD15" s="347">
        <f t="shared" si="43"/>
        <v>0</v>
      </c>
      <c r="BE15" s="231">
        <f t="shared" si="50"/>
        <v>0</v>
      </c>
      <c r="BF15" s="234">
        <f t="shared" si="51"/>
        <v>0</v>
      </c>
      <c r="BG15" s="231">
        <f>BF15*$D15</f>
        <v>0</v>
      </c>
      <c r="BH15" s="233">
        <f t="shared" si="44"/>
        <v>0</v>
      </c>
    </row>
    <row r="16" spans="1:60" s="349" customFormat="1">
      <c r="A16" s="226"/>
      <c r="B16" s="226"/>
      <c r="C16" s="271">
        <v>0</v>
      </c>
      <c r="D16" s="348">
        <v>0</v>
      </c>
      <c r="E16" s="348">
        <v>0</v>
      </c>
      <c r="F16" s="230">
        <f t="shared" si="0"/>
        <v>0</v>
      </c>
      <c r="G16" s="228">
        <f>F16</f>
        <v>0</v>
      </c>
      <c r="H16" s="231">
        <f t="shared" si="45"/>
        <v>0</v>
      </c>
      <c r="I16" s="228">
        <f t="shared" si="2"/>
        <v>0</v>
      </c>
      <c r="J16" s="232">
        <f t="shared" si="54"/>
        <v>0</v>
      </c>
      <c r="K16" s="233">
        <f t="shared" si="3"/>
        <v>0</v>
      </c>
      <c r="L16" s="231">
        <f t="shared" si="4"/>
        <v>0</v>
      </c>
      <c r="M16" s="228">
        <f t="shared" si="5"/>
        <v>0</v>
      </c>
      <c r="N16" s="232">
        <f>M16*$D16</f>
        <v>0</v>
      </c>
      <c r="O16" s="233">
        <f t="shared" si="6"/>
        <v>0</v>
      </c>
      <c r="P16" s="231">
        <f t="shared" si="7"/>
        <v>0</v>
      </c>
      <c r="Q16" s="228">
        <f t="shared" si="47"/>
        <v>0</v>
      </c>
      <c r="R16" s="232">
        <f>Q16*$D16</f>
        <v>0</v>
      </c>
      <c r="S16" s="233">
        <f t="shared" si="9"/>
        <v>0</v>
      </c>
      <c r="T16" s="231">
        <f t="shared" si="48"/>
        <v>0</v>
      </c>
      <c r="U16" s="228">
        <f t="shared" si="53"/>
        <v>0</v>
      </c>
      <c r="V16" s="232">
        <f t="shared" si="10"/>
        <v>0</v>
      </c>
      <c r="W16" s="233">
        <f t="shared" si="11"/>
        <v>0</v>
      </c>
      <c r="X16" s="231">
        <f t="shared" si="12"/>
        <v>0</v>
      </c>
      <c r="Y16" s="228">
        <f t="shared" si="13"/>
        <v>0</v>
      </c>
      <c r="Z16" s="232">
        <f t="shared" si="14"/>
        <v>0</v>
      </c>
      <c r="AA16" s="233">
        <f t="shared" si="15"/>
        <v>0</v>
      </c>
      <c r="AB16" s="231">
        <f t="shared" si="16"/>
        <v>0</v>
      </c>
      <c r="AC16" s="228">
        <f t="shared" si="17"/>
        <v>0</v>
      </c>
      <c r="AD16" s="232">
        <f t="shared" si="18"/>
        <v>0</v>
      </c>
      <c r="AE16" s="233">
        <f t="shared" si="19"/>
        <v>0</v>
      </c>
      <c r="AF16" s="231">
        <f t="shared" si="20"/>
        <v>0</v>
      </c>
      <c r="AG16" s="234">
        <f t="shared" si="21"/>
        <v>0</v>
      </c>
      <c r="AH16" s="231">
        <f t="shared" si="22"/>
        <v>0</v>
      </c>
      <c r="AI16" s="233">
        <f t="shared" si="23"/>
        <v>0</v>
      </c>
      <c r="AJ16" s="231">
        <f t="shared" si="24"/>
        <v>0</v>
      </c>
      <c r="AK16" s="234">
        <f t="shared" si="25"/>
        <v>0</v>
      </c>
      <c r="AL16" s="231">
        <f t="shared" si="26"/>
        <v>0</v>
      </c>
      <c r="AM16" s="233">
        <f t="shared" si="27"/>
        <v>0</v>
      </c>
      <c r="AN16" s="231">
        <f t="shared" si="28"/>
        <v>0</v>
      </c>
      <c r="AO16" s="234">
        <f t="shared" si="29"/>
        <v>0</v>
      </c>
      <c r="AP16" s="231">
        <f t="shared" si="30"/>
        <v>0</v>
      </c>
      <c r="AQ16" s="233">
        <f t="shared" si="31"/>
        <v>0</v>
      </c>
      <c r="AR16" s="231">
        <f t="shared" si="32"/>
        <v>0</v>
      </c>
      <c r="AS16" s="234">
        <f t="shared" si="33"/>
        <v>0</v>
      </c>
      <c r="AT16" s="231">
        <f t="shared" si="34"/>
        <v>0</v>
      </c>
      <c r="AU16" s="233">
        <f t="shared" si="35"/>
        <v>0</v>
      </c>
      <c r="AV16" s="231">
        <f t="shared" si="36"/>
        <v>0</v>
      </c>
      <c r="AW16" s="234">
        <f t="shared" si="37"/>
        <v>0</v>
      </c>
      <c r="AX16" s="231">
        <f t="shared" si="38"/>
        <v>0</v>
      </c>
      <c r="AY16" s="233">
        <f t="shared" si="39"/>
        <v>0</v>
      </c>
      <c r="AZ16" s="231">
        <f t="shared" si="49"/>
        <v>0</v>
      </c>
      <c r="BA16" s="234">
        <f t="shared" si="40"/>
        <v>0</v>
      </c>
      <c r="BB16" s="231">
        <f t="shared" si="41"/>
        <v>0</v>
      </c>
      <c r="BC16" s="233">
        <f t="shared" si="42"/>
        <v>0</v>
      </c>
      <c r="BD16" s="347">
        <f t="shared" si="43"/>
        <v>0</v>
      </c>
      <c r="BE16" s="231">
        <f t="shared" si="50"/>
        <v>0</v>
      </c>
      <c r="BF16" s="234">
        <f t="shared" si="51"/>
        <v>0</v>
      </c>
      <c r="BG16" s="231">
        <f t="shared" si="52"/>
        <v>0</v>
      </c>
      <c r="BH16" s="233">
        <f t="shared" si="44"/>
        <v>0</v>
      </c>
    </row>
    <row r="17" spans="1:60" s="349" customFormat="1">
      <c r="A17" s="237"/>
      <c r="B17" s="237"/>
      <c r="C17" s="238"/>
      <c r="D17" s="239"/>
      <c r="E17" s="240">
        <f>SUM(E4:E16)</f>
        <v>1.5777007684459287E-2</v>
      </c>
      <c r="F17" s="241">
        <f>SUM(F4:F16)</f>
        <v>0.99999999999999989</v>
      </c>
      <c r="G17" s="239">
        <f t="shared" si="1"/>
        <v>0.99999999999999989</v>
      </c>
      <c r="H17" s="242">
        <f>SUM(H4:H16)</f>
        <v>1.1580717751018944E-3</v>
      </c>
      <c r="I17" s="239">
        <f>SUM(I4:I16)</f>
        <v>0.99999999999999989</v>
      </c>
      <c r="J17" s="243">
        <f t="shared" ref="J17:BC17" si="58">SUM(J4:J16)</f>
        <v>62.080525918086394</v>
      </c>
      <c r="K17" s="241">
        <f t="shared" si="58"/>
        <v>1</v>
      </c>
      <c r="L17" s="242">
        <f t="shared" si="58"/>
        <v>1.3231653282882365E-3</v>
      </c>
      <c r="M17" s="239">
        <f t="shared" si="58"/>
        <v>1</v>
      </c>
      <c r="N17" s="243">
        <f>SUM(N4:N16)</f>
        <v>62.081287508387206</v>
      </c>
      <c r="O17" s="241">
        <f t="shared" si="58"/>
        <v>1</v>
      </c>
      <c r="P17" s="242">
        <f t="shared" si="58"/>
        <v>1.6241300127630312E-3</v>
      </c>
      <c r="Q17" s="239">
        <f t="shared" si="58"/>
        <v>1</v>
      </c>
      <c r="R17" s="243">
        <f t="shared" si="58"/>
        <v>62.082533120662262</v>
      </c>
      <c r="S17" s="241">
        <f t="shared" si="58"/>
        <v>0.99999999999999989</v>
      </c>
      <c r="T17" s="242">
        <f>SUM(T4:T16)</f>
        <v>2.0174146822616646E-3</v>
      </c>
      <c r="U17" s="239">
        <f>SUM(U4:U16)</f>
        <v>0.99999999999999989</v>
      </c>
      <c r="V17" s="243">
        <f t="shared" ref="V17:W17" si="59">SUM(V4:V16)</f>
        <v>62.083954278509466</v>
      </c>
      <c r="W17" s="241">
        <f t="shared" si="59"/>
        <v>1</v>
      </c>
      <c r="X17" s="242">
        <f t="shared" si="58"/>
        <v>2.9481087633848125E-3</v>
      </c>
      <c r="Y17" s="239">
        <f t="shared" si="58"/>
        <v>1</v>
      </c>
      <c r="Z17" s="243">
        <f t="shared" si="58"/>
        <v>62.08671408894611</v>
      </c>
      <c r="AA17" s="241">
        <f t="shared" si="58"/>
        <v>1</v>
      </c>
      <c r="AB17" s="242">
        <f t="shared" si="58"/>
        <v>3.9314572205849004E-3</v>
      </c>
      <c r="AC17" s="239">
        <f t="shared" si="58"/>
        <v>1</v>
      </c>
      <c r="AD17" s="243">
        <f t="shared" si="58"/>
        <v>62.089058276490604</v>
      </c>
      <c r="AE17" s="241">
        <f t="shared" si="58"/>
        <v>1</v>
      </c>
      <c r="AF17" s="242">
        <f t="shared" si="58"/>
        <v>5.8456786705055061E-3</v>
      </c>
      <c r="AG17" s="239">
        <f t="shared" si="58"/>
        <v>0.99999999999999989</v>
      </c>
      <c r="AH17" s="243">
        <f t="shared" si="58"/>
        <v>62.092673319065142</v>
      </c>
      <c r="AI17" s="241">
        <f t="shared" si="58"/>
        <v>1</v>
      </c>
      <c r="AJ17" s="242">
        <f t="shared" si="58"/>
        <v>5.666762905821022E-3</v>
      </c>
      <c r="AK17" s="239">
        <f t="shared" si="58"/>
        <v>0.99999999999999989</v>
      </c>
      <c r="AL17" s="243">
        <f t="shared" si="58"/>
        <v>62.092373152490552</v>
      </c>
      <c r="AM17" s="241">
        <f t="shared" si="58"/>
        <v>1</v>
      </c>
      <c r="AN17" s="242">
        <f t="shared" si="58"/>
        <v>4.3663207868180568E-3</v>
      </c>
      <c r="AO17" s="239">
        <f t="shared" si="58"/>
        <v>1</v>
      </c>
      <c r="AP17" s="243">
        <f t="shared" si="58"/>
        <v>62.08996968861647</v>
      </c>
      <c r="AQ17" s="241">
        <f t="shared" si="58"/>
        <v>0.99999999999999989</v>
      </c>
      <c r="AR17" s="242">
        <f t="shared" si="58"/>
        <v>2.4502260502221053E-3</v>
      </c>
      <c r="AS17" s="239">
        <f t="shared" si="58"/>
        <v>1</v>
      </c>
      <c r="AT17" s="243">
        <f t="shared" si="58"/>
        <v>62.085323277132979</v>
      </c>
      <c r="AU17" s="241">
        <f t="shared" si="58"/>
        <v>1</v>
      </c>
      <c r="AV17" s="242">
        <f t="shared" si="58"/>
        <v>1.5094541658211037E-3</v>
      </c>
      <c r="AW17" s="239">
        <f t="shared" si="58"/>
        <v>1</v>
      </c>
      <c r="AX17" s="243">
        <f t="shared" si="58"/>
        <v>62.082077473740178</v>
      </c>
      <c r="AY17" s="241">
        <f t="shared" si="58"/>
        <v>1</v>
      </c>
      <c r="AZ17" s="242">
        <f t="shared" si="58"/>
        <v>1.1170974502188653E-3</v>
      </c>
      <c r="BA17" s="239">
        <f t="shared" si="58"/>
        <v>1</v>
      </c>
      <c r="BB17" s="243">
        <f t="shared" si="58"/>
        <v>62.080326389134434</v>
      </c>
      <c r="BC17" s="241">
        <f t="shared" si="58"/>
        <v>1</v>
      </c>
      <c r="BD17" s="238">
        <f>SUM(BD4:BD16)</f>
        <v>1.0004789174095825</v>
      </c>
      <c r="BE17" s="242">
        <f t="shared" ref="BE17:BH17" si="60">SUM(BE4:BE16)</f>
        <v>2.3772060977531383E-2</v>
      </c>
      <c r="BF17" s="239">
        <f t="shared" si="60"/>
        <v>0.99999999999999989</v>
      </c>
      <c r="BG17" s="243">
        <f t="shared" si="60"/>
        <v>62.109605057018697</v>
      </c>
      <c r="BH17" s="241">
        <f t="shared" si="60"/>
        <v>0.99999999999999989</v>
      </c>
    </row>
    <row r="18" spans="1:60" s="349" customFormat="1">
      <c r="A18" s="221"/>
      <c r="B18" s="244"/>
      <c r="C18" s="221"/>
      <c r="D18" s="221"/>
      <c r="E18" s="221"/>
      <c r="F18" s="221"/>
      <c r="G18" s="221"/>
      <c r="H18" s="350">
        <f>H17/101.325*14.696</f>
        <v>1.6796469584897547E-4</v>
      </c>
      <c r="I18" s="246" t="s">
        <v>1634</v>
      </c>
      <c r="J18" s="247"/>
      <c r="K18" s="248"/>
      <c r="L18" s="350">
        <f>L17/101.325*14.696</f>
        <v>1.9190957477941201E-4</v>
      </c>
      <c r="M18" s="246" t="s">
        <v>1634</v>
      </c>
      <c r="N18" s="247"/>
      <c r="O18" s="248"/>
      <c r="P18" s="350">
        <f>P17/101.325*14.696</f>
        <v>2.35560963903928E-4</v>
      </c>
      <c r="Q18" s="246" t="s">
        <v>1634</v>
      </c>
      <c r="R18" s="247"/>
      <c r="S18" s="248"/>
      <c r="T18" s="350">
        <f>T17/101.325*14.696</f>
        <v>2.926022814756222E-4</v>
      </c>
      <c r="U18" s="246" t="s">
        <v>1634</v>
      </c>
      <c r="V18" s="247"/>
      <c r="W18" s="248"/>
      <c r="X18" s="350">
        <f>X17/101.325*14.696</f>
        <v>4.2758851602963933E-4</v>
      </c>
      <c r="Y18" s="246" t="s">
        <v>1634</v>
      </c>
      <c r="Z18" s="247"/>
      <c r="AA18" s="248"/>
      <c r="AB18" s="350">
        <f>AB17/101.325*14.696</f>
        <v>5.7021164879068041E-4</v>
      </c>
      <c r="AC18" s="246" t="s">
        <v>1634</v>
      </c>
      <c r="AD18" s="247"/>
      <c r="AE18" s="248"/>
      <c r="AF18" s="350">
        <f>AF17/101.325*14.696</f>
        <v>8.4784696512952293E-4</v>
      </c>
      <c r="AG18" s="246" t="s">
        <v>1634</v>
      </c>
      <c r="AH18" s="247"/>
      <c r="AI18" s="248"/>
      <c r="AJ18" s="350">
        <f>AJ17/101.325*14.696</f>
        <v>8.218973369251985E-4</v>
      </c>
      <c r="AK18" s="246" t="s">
        <v>1634</v>
      </c>
      <c r="AL18" s="247"/>
      <c r="AM18" s="248"/>
      <c r="AN18" s="350">
        <f>AN17/101.325*14.696</f>
        <v>6.3328349650212837E-4</v>
      </c>
      <c r="AO18" s="246" t="s">
        <v>1634</v>
      </c>
      <c r="AP18" s="247"/>
      <c r="AQ18" s="248"/>
      <c r="AR18" s="350">
        <f>AR17/101.325*14.696</f>
        <v>3.5537648195474024E-4</v>
      </c>
      <c r="AS18" s="246" t="s">
        <v>1634</v>
      </c>
      <c r="AT18" s="247"/>
      <c r="AU18" s="248"/>
      <c r="AV18" s="350">
        <f>AV17/101.325*14.696</f>
        <v>2.1892858051721629E-4</v>
      </c>
      <c r="AW18" s="246" t="s">
        <v>1634</v>
      </c>
      <c r="AX18" s="247"/>
      <c r="AY18" s="248"/>
      <c r="AZ18" s="350">
        <f>AZ17/101.325*14.696</f>
        <v>1.6202185174849686E-4</v>
      </c>
      <c r="BA18" s="246" t="s">
        <v>1634</v>
      </c>
      <c r="BB18" s="247"/>
      <c r="BC18" s="248"/>
      <c r="BD18" s="247"/>
      <c r="BE18" s="350">
        <f>BE17/101.325*14.696</f>
        <v>3.4478579632450154E-3</v>
      </c>
      <c r="BF18" s="246" t="s">
        <v>1634</v>
      </c>
      <c r="BG18" s="247"/>
      <c r="BH18" s="248"/>
    </row>
    <row r="19" spans="1:60" s="349" customFormat="1">
      <c r="A19" s="221"/>
      <c r="B19" s="221"/>
      <c r="C19" s="221"/>
      <c r="D19" s="221"/>
      <c r="E19" s="221"/>
      <c r="F19" s="221"/>
      <c r="G19" s="221"/>
      <c r="H19" s="221"/>
      <c r="I19" s="221"/>
      <c r="J19" s="221"/>
      <c r="K19" s="221"/>
      <c r="L19" s="221"/>
      <c r="M19" s="221"/>
      <c r="N19" s="221"/>
    </row>
    <row r="20" spans="1:60" s="349" customFormat="1">
      <c r="A20" s="221"/>
      <c r="B20" s="221"/>
      <c r="C20" s="221"/>
      <c r="D20" s="221"/>
      <c r="E20" s="221"/>
      <c r="F20" s="221"/>
      <c r="G20" s="221"/>
      <c r="H20" s="221"/>
      <c r="I20" s="221"/>
      <c r="J20" s="221"/>
      <c r="K20" s="221"/>
      <c r="L20" s="221"/>
      <c r="M20" s="221"/>
      <c r="N20" s="221"/>
    </row>
    <row r="21" spans="1:60" s="349" customFormat="1">
      <c r="A21" s="221"/>
      <c r="B21" s="221"/>
      <c r="C21" s="221"/>
      <c r="D21" s="221"/>
      <c r="E21" s="221"/>
      <c r="F21" s="221"/>
      <c r="G21" s="221"/>
      <c r="H21" s="221"/>
      <c r="I21" s="221"/>
      <c r="J21" s="221"/>
      <c r="K21" s="221"/>
      <c r="L21" s="221"/>
      <c r="M21" s="221"/>
      <c r="N21" s="221"/>
      <c r="T21" s="349" t="s">
        <v>1659</v>
      </c>
    </row>
    <row r="22" spans="1:60" s="349" customFormat="1" ht="18" customHeight="1">
      <c r="A22" s="221"/>
      <c r="B22" s="222" t="s">
        <v>1636</v>
      </c>
      <c r="C22" s="349">
        <f>CONVERT(C23,"C","Rank")</f>
        <v>536.66999999999996</v>
      </c>
      <c r="D22" s="221" t="s">
        <v>1637</v>
      </c>
      <c r="E22" s="221"/>
      <c r="F22" s="221"/>
      <c r="G22" s="221" t="s">
        <v>1637</v>
      </c>
      <c r="H22" s="351">
        <v>501.4</v>
      </c>
      <c r="I22" s="352">
        <v>503.45</v>
      </c>
      <c r="J22" s="352">
        <v>506.65</v>
      </c>
      <c r="K22" s="352">
        <v>510.09999999999997</v>
      </c>
      <c r="L22" s="352">
        <v>516.29999999999995</v>
      </c>
      <c r="M22" s="352">
        <v>521.15</v>
      </c>
      <c r="N22" s="352">
        <v>528.04999999999995</v>
      </c>
      <c r="O22" s="352">
        <v>527.5</v>
      </c>
      <c r="P22" s="352">
        <v>522.95000000000005</v>
      </c>
      <c r="Q22" s="352">
        <v>513.25</v>
      </c>
      <c r="R22" s="352">
        <v>505.5</v>
      </c>
      <c r="S22" s="352">
        <v>500.85</v>
      </c>
      <c r="T22" s="353">
        <f>459.67+95</f>
        <v>554.67000000000007</v>
      </c>
    </row>
    <row r="23" spans="1:60" s="349" customFormat="1">
      <c r="A23" s="221"/>
      <c r="B23" s="226" t="s">
        <v>1638</v>
      </c>
      <c r="C23" s="228">
        <v>25</v>
      </c>
      <c r="D23" s="354" t="s">
        <v>1639</v>
      </c>
      <c r="E23" s="221"/>
      <c r="F23" s="221"/>
      <c r="G23" s="221" t="s">
        <v>1640</v>
      </c>
      <c r="H23" s="355">
        <f>CONVERT(H22,"Rank", "C")</f>
        <v>5.4055555555555657</v>
      </c>
      <c r="I23" s="355">
        <f t="shared" ref="I23:P23" si="61">CONVERT(I22,"Rank", "C")</f>
        <v>6.5444444444444798</v>
      </c>
      <c r="J23" s="355">
        <f t="shared" si="61"/>
        <v>8.3222222222222513</v>
      </c>
      <c r="K23" s="355">
        <f t="shared" si="61"/>
        <v>10.23888888888888</v>
      </c>
      <c r="L23" s="355">
        <f t="shared" si="61"/>
        <v>13.683333333333337</v>
      </c>
      <c r="M23" s="355">
        <f t="shared" si="61"/>
        <v>16.377777777777794</v>
      </c>
      <c r="N23" s="355">
        <f t="shared" si="61"/>
        <v>20.211111111111109</v>
      </c>
      <c r="O23" s="355">
        <f t="shared" si="61"/>
        <v>19.905555555555566</v>
      </c>
      <c r="P23" s="355">
        <f t="shared" si="61"/>
        <v>17.377777777777794</v>
      </c>
      <c r="Q23" s="355">
        <f>CONVERT(Q22,"Rank", "C")</f>
        <v>11.98888888888888</v>
      </c>
      <c r="R23" s="355">
        <f>CONVERT(R22,"Rank", "C")</f>
        <v>7.6833333333333371</v>
      </c>
      <c r="S23" s="355">
        <f>CONVERT(S22,"Rank", "C")</f>
        <v>5.1000000000000227</v>
      </c>
      <c r="T23" s="355">
        <f>CONVERT(T22,"Rank", "C")</f>
        <v>35.000000000000057</v>
      </c>
    </row>
    <row r="24" spans="1:60" s="349" customFormat="1">
      <c r="A24" s="221"/>
      <c r="B24" s="226" t="s">
        <v>1641</v>
      </c>
      <c r="C24" s="354">
        <f>760*(1/760)*101.325</f>
        <v>101.325</v>
      </c>
      <c r="D24" s="354" t="s">
        <v>1642</v>
      </c>
      <c r="E24" s="221"/>
      <c r="F24" s="221"/>
      <c r="G24" s="221" t="s">
        <v>1634</v>
      </c>
      <c r="H24" s="360">
        <f>H18</f>
        <v>1.6796469584897547E-4</v>
      </c>
      <c r="I24" s="360">
        <f>L18</f>
        <v>1.9190957477941201E-4</v>
      </c>
      <c r="J24" s="360">
        <f>P18</f>
        <v>2.35560963903928E-4</v>
      </c>
      <c r="K24" s="360">
        <f>T18</f>
        <v>2.926022814756222E-4</v>
      </c>
      <c r="L24" s="360">
        <f>X18</f>
        <v>4.2758851602963933E-4</v>
      </c>
      <c r="M24" s="360">
        <f>AB18</f>
        <v>5.7021164879068041E-4</v>
      </c>
      <c r="N24" s="360">
        <f>AF18</f>
        <v>8.4784696512952293E-4</v>
      </c>
      <c r="O24" s="360">
        <f>AJ18</f>
        <v>8.218973369251985E-4</v>
      </c>
      <c r="P24" s="360">
        <f>AN18</f>
        <v>6.3328349650212837E-4</v>
      </c>
      <c r="Q24" s="360">
        <f>AR18</f>
        <v>3.5537648195474024E-4</v>
      </c>
      <c r="R24" s="360">
        <f>AV18</f>
        <v>2.1892858051721629E-4</v>
      </c>
      <c r="S24" s="360">
        <f>AZ18</f>
        <v>1.6202185174849686E-4</v>
      </c>
      <c r="T24" s="360">
        <f>BE18</f>
        <v>3.4478579632450154E-3</v>
      </c>
    </row>
    <row r="25" spans="1:60" s="349" customFormat="1">
      <c r="A25" s="221"/>
      <c r="B25" s="221"/>
      <c r="C25" s="221"/>
      <c r="D25" s="221"/>
      <c r="E25" s="221"/>
      <c r="F25" s="221"/>
      <c r="G25" s="221" t="s">
        <v>1643</v>
      </c>
      <c r="H25" s="357">
        <f>J17</f>
        <v>62.080525918086394</v>
      </c>
      <c r="I25" s="357">
        <f>N17</f>
        <v>62.081287508387206</v>
      </c>
      <c r="J25" s="357">
        <f>R17</f>
        <v>62.082533120662262</v>
      </c>
      <c r="K25" s="357">
        <f>V17</f>
        <v>62.083954278509466</v>
      </c>
      <c r="L25" s="357">
        <f>Z17</f>
        <v>62.08671408894611</v>
      </c>
      <c r="M25" s="357">
        <f>AD17</f>
        <v>62.089058276490604</v>
      </c>
      <c r="N25" s="357">
        <f>AH17</f>
        <v>62.092673319065142</v>
      </c>
      <c r="O25" s="357">
        <f>AL17</f>
        <v>62.092373152490552</v>
      </c>
      <c r="P25" s="357">
        <f>AP17</f>
        <v>62.08996968861647</v>
      </c>
      <c r="Q25" s="357">
        <f>AT17</f>
        <v>62.085323277132979</v>
      </c>
      <c r="R25" s="357">
        <f>AX17</f>
        <v>62.082077473740178</v>
      </c>
      <c r="S25" s="358">
        <f>BB17</f>
        <v>62.080326389134434</v>
      </c>
      <c r="T25" s="358">
        <f>BC17</f>
        <v>1</v>
      </c>
    </row>
    <row r="26" spans="1:60" s="349" customFormat="1" ht="18" customHeight="1">
      <c r="A26" s="221"/>
      <c r="B26" s="222" t="s">
        <v>1644</v>
      </c>
      <c r="C26" s="221"/>
      <c r="D26" s="221"/>
      <c r="E26" s="221"/>
      <c r="F26" s="221"/>
      <c r="G26" s="221"/>
      <c r="H26" s="221"/>
      <c r="I26" s="221"/>
      <c r="J26" s="221"/>
      <c r="K26" s="221"/>
      <c r="L26" s="221"/>
      <c r="M26" s="221"/>
      <c r="N26" s="221"/>
    </row>
    <row r="27" spans="1:60" s="349" customFormat="1" ht="16.2">
      <c r="A27" s="393" t="s">
        <v>24</v>
      </c>
      <c r="B27" s="393" t="s">
        <v>1621</v>
      </c>
      <c r="C27" s="395" t="s">
        <v>1645</v>
      </c>
      <c r="D27" s="396"/>
      <c r="E27" s="397"/>
      <c r="F27" s="395" t="s">
        <v>1685</v>
      </c>
      <c r="G27" s="397"/>
      <c r="H27" s="221"/>
      <c r="I27" s="221"/>
      <c r="J27" s="221"/>
      <c r="K27" s="221"/>
      <c r="L27" s="221"/>
      <c r="M27" s="221"/>
      <c r="N27" s="221"/>
    </row>
    <row r="28" spans="1:60" s="349" customFormat="1">
      <c r="A28" s="394"/>
      <c r="B28" s="394"/>
      <c r="C28" s="224" t="s">
        <v>1646</v>
      </c>
      <c r="D28" s="224" t="s">
        <v>1647</v>
      </c>
      <c r="E28" s="224" t="s">
        <v>1640</v>
      </c>
      <c r="F28" s="224" t="s">
        <v>1642</v>
      </c>
      <c r="G28" s="224" t="s">
        <v>1686</v>
      </c>
      <c r="H28" s="249" t="s">
        <v>1642</v>
      </c>
      <c r="I28" s="249" t="s">
        <v>1642</v>
      </c>
      <c r="J28" s="249" t="s">
        <v>1642</v>
      </c>
      <c r="K28" s="249" t="s">
        <v>1642</v>
      </c>
      <c r="L28" s="249" t="s">
        <v>1642</v>
      </c>
      <c r="M28" s="249" t="s">
        <v>1642</v>
      </c>
      <c r="N28" s="249" t="s">
        <v>1642</v>
      </c>
      <c r="O28" s="249" t="s">
        <v>1642</v>
      </c>
      <c r="P28" s="249" t="s">
        <v>1642</v>
      </c>
      <c r="Q28" s="249" t="s">
        <v>1642</v>
      </c>
      <c r="R28" s="249" t="s">
        <v>1642</v>
      </c>
      <c r="S28" s="249" t="s">
        <v>1642</v>
      </c>
      <c r="T28" s="249" t="s">
        <v>1642</v>
      </c>
    </row>
    <row r="29" spans="1:60" s="349" customFormat="1">
      <c r="A29" s="226" t="s">
        <v>1687</v>
      </c>
      <c r="B29" s="226" t="s">
        <v>507</v>
      </c>
      <c r="C29" s="228">
        <v>4.9701199999999996</v>
      </c>
      <c r="D29" s="228">
        <v>1914.951</v>
      </c>
      <c r="E29" s="228">
        <v>-84.995999999999995</v>
      </c>
      <c r="F29" s="250">
        <f>(10^($C29-($D29/($E29+$C$23+273.15))))*100</f>
        <v>9.6880218418842513E-3</v>
      </c>
      <c r="G29" s="251">
        <f t="shared" ref="G29" si="62">F29*(1/101.325)*760</f>
        <v>7.2666139647984518E-2</v>
      </c>
      <c r="H29" s="361">
        <f>(10^($C29-($D29/($E29+H$23+273.15))))*100</f>
        <v>1.1933762281183067E-3</v>
      </c>
      <c r="I29" s="361">
        <f t="shared" ref="I29:S29" si="63">(10^($C29-($D29/($E29+I$23+273.15))))*100</f>
        <v>1.3634791692533549E-3</v>
      </c>
      <c r="J29" s="361">
        <f t="shared" si="63"/>
        <v>1.6735662264946302E-3</v>
      </c>
      <c r="K29" s="361">
        <f t="shared" si="63"/>
        <v>2.0787548366207986E-3</v>
      </c>
      <c r="L29" s="361">
        <f t="shared" si="63"/>
        <v>3.0375565956623578E-3</v>
      </c>
      <c r="M29" s="361">
        <f t="shared" si="63"/>
        <v>4.0505249348770861E-3</v>
      </c>
      <c r="N29" s="361">
        <f t="shared" si="63"/>
        <v>6.0222258219892405E-3</v>
      </c>
      <c r="O29" s="361">
        <f t="shared" si="63"/>
        <v>5.8379463681895588E-3</v>
      </c>
      <c r="P29" s="361">
        <f t="shared" si="63"/>
        <v>4.4984656176657424E-3</v>
      </c>
      <c r="Q29" s="361">
        <f t="shared" si="63"/>
        <v>2.5246474869945476E-3</v>
      </c>
      <c r="R29" s="361">
        <f t="shared" si="63"/>
        <v>1.5554159028543502E-3</v>
      </c>
      <c r="S29" s="361">
        <f t="shared" si="63"/>
        <v>1.1511579939854169E-3</v>
      </c>
      <c r="T29" s="361">
        <f>(10^($C29-($D29/($E29+T$23+273.15))))*100</f>
        <v>2.4480590146133088E-2</v>
      </c>
    </row>
    <row r="30" spans="1:60" s="349" customFormat="1">
      <c r="A30" s="226" t="s">
        <v>1688</v>
      </c>
      <c r="B30" s="226" t="s">
        <v>420</v>
      </c>
      <c r="C30" s="228">
        <v>17.032599999999999</v>
      </c>
      <c r="D30" s="228">
        <v>4122.5200000000004</v>
      </c>
      <c r="E30" s="228">
        <v>-122.5</v>
      </c>
      <c r="F30" s="362">
        <f>(EXP(($C30-($D30/($E30+$C$23+273.15)))))*0.13332239</f>
        <v>2.1337323484393203E-4</v>
      </c>
      <c r="G30" s="234">
        <f>F30*(1/101.325)*760</f>
        <v>1.6004308757107163E-3</v>
      </c>
      <c r="H30" s="362">
        <f>(EXP($C30-($D30/($E30+H23+273.15))))*0.13332239</f>
        <v>1.1202343159213704E-5</v>
      </c>
      <c r="I30" s="362">
        <f t="shared" ref="I30:T30" si="64">(EXP($C30-($D30/($E30+I23+273.15))))*0.13332239</f>
        <v>1.3565322147389597E-5</v>
      </c>
      <c r="J30" s="362">
        <f t="shared" si="64"/>
        <v>1.8188622497095252E-5</v>
      </c>
      <c r="K30" s="362">
        <f t="shared" si="64"/>
        <v>2.4772339029994589E-5</v>
      </c>
      <c r="L30" s="362">
        <f t="shared" si="64"/>
        <v>4.2385098866841419E-5</v>
      </c>
      <c r="M30" s="362">
        <f t="shared" si="64"/>
        <v>6.3528101572357356E-5</v>
      </c>
      <c r="N30" s="362">
        <f t="shared" si="64"/>
        <v>1.1052307301977889E-4</v>
      </c>
      <c r="O30" s="362">
        <f t="shared" si="64"/>
        <v>1.0584739883618527E-4</v>
      </c>
      <c r="P30" s="362">
        <f t="shared" si="64"/>
        <v>7.3579952737080399E-5</v>
      </c>
      <c r="Q30" s="362">
        <f t="shared" si="64"/>
        <v>3.2636663526596817E-5</v>
      </c>
      <c r="R30" s="362">
        <f t="shared" si="64"/>
        <v>1.6381571893274576E-5</v>
      </c>
      <c r="S30" s="362">
        <f t="shared" si="64"/>
        <v>1.063656090713851E-5</v>
      </c>
      <c r="T30" s="362">
        <f t="shared" si="64"/>
        <v>7.5540512589420815E-4</v>
      </c>
    </row>
    <row r="31" spans="1:60" s="349" customFormat="1">
      <c r="A31" s="226"/>
      <c r="B31" s="226" t="s">
        <v>1684</v>
      </c>
      <c r="C31" s="228">
        <v>16.288599999999999</v>
      </c>
      <c r="D31" s="228">
        <v>-3816.44</v>
      </c>
      <c r="E31" s="228">
        <v>-46.13</v>
      </c>
      <c r="F31" s="251">
        <f>EXP(C31+(D31/($C$23+273.15+E31)))</f>
        <v>3.1430657674250053</v>
      </c>
      <c r="G31" s="251">
        <f>F31*(1/101.325)*760</f>
        <v>23.574931983646721</v>
      </c>
      <c r="H31" s="251">
        <f>EXP($C31+($D31/(H$23+273.15+$E31)))</f>
        <v>0.87682026131340229</v>
      </c>
      <c r="I31" s="251">
        <f t="shared" ref="I31:T31" si="65">EXP($C31+($D31/(I$23+273.15+$E31)))</f>
        <v>0.94991092643066777</v>
      </c>
      <c r="J31" s="251">
        <f t="shared" si="65"/>
        <v>1.0747041178651626</v>
      </c>
      <c r="K31" s="251">
        <f t="shared" si="65"/>
        <v>1.2251322784277454</v>
      </c>
      <c r="L31" s="251">
        <f t="shared" si="65"/>
        <v>1.5422335214604233</v>
      </c>
      <c r="M31" s="251">
        <f t="shared" si="65"/>
        <v>1.8381371745101498</v>
      </c>
      <c r="N31" s="251">
        <f t="shared" si="65"/>
        <v>2.3440252298601809</v>
      </c>
      <c r="O31" s="251">
        <f t="shared" si="65"/>
        <v>2.2996745383820021</v>
      </c>
      <c r="P31" s="251">
        <f t="shared" si="65"/>
        <v>1.9599319080691389</v>
      </c>
      <c r="Q31" s="251">
        <f t="shared" si="65"/>
        <v>1.3782652906627835</v>
      </c>
      <c r="R31" s="251">
        <f t="shared" si="65"/>
        <v>1.0282950070300969</v>
      </c>
      <c r="S31" s="251">
        <f t="shared" si="65"/>
        <v>0.85807128284561973</v>
      </c>
      <c r="T31" s="251">
        <f t="shared" si="65"/>
        <v>5.6021305522577673</v>
      </c>
    </row>
    <row r="32" spans="1:60" s="349" customFormat="1">
      <c r="A32" s="226"/>
      <c r="B32" s="226"/>
      <c r="C32" s="228"/>
      <c r="D32" s="228"/>
      <c r="E32" s="228"/>
      <c r="F32" s="251"/>
      <c r="G32" s="251"/>
      <c r="H32" s="251"/>
      <c r="I32" s="251"/>
      <c r="J32" s="251"/>
      <c r="K32" s="251"/>
      <c r="L32" s="251"/>
      <c r="M32" s="251"/>
      <c r="N32" s="251"/>
      <c r="O32" s="251"/>
      <c r="P32" s="251"/>
      <c r="Q32" s="251"/>
      <c r="R32" s="251"/>
      <c r="S32" s="251"/>
      <c r="T32" s="251"/>
    </row>
    <row r="33" spans="1:55" s="349" customFormat="1">
      <c r="A33" s="226"/>
      <c r="B33" s="226"/>
      <c r="C33" s="228"/>
      <c r="D33" s="228"/>
      <c r="E33" s="228"/>
      <c r="F33" s="251"/>
      <c r="G33" s="251"/>
      <c r="H33" s="251"/>
      <c r="I33" s="251"/>
      <c r="J33" s="251"/>
      <c r="K33" s="251"/>
      <c r="L33" s="251"/>
      <c r="M33" s="251"/>
      <c r="N33" s="251"/>
      <c r="O33" s="251"/>
      <c r="P33" s="251"/>
      <c r="Q33" s="251"/>
      <c r="R33" s="251"/>
      <c r="S33" s="251"/>
      <c r="T33" s="251"/>
    </row>
    <row r="34" spans="1:55" s="349" customFormat="1">
      <c r="A34" s="226"/>
      <c r="B34" s="226"/>
      <c r="C34" s="228"/>
      <c r="D34" s="228"/>
      <c r="E34" s="228"/>
      <c r="F34" s="251"/>
      <c r="G34" s="251"/>
      <c r="H34" s="251"/>
      <c r="I34" s="251"/>
      <c r="J34" s="251"/>
      <c r="K34" s="251"/>
      <c r="L34" s="251"/>
      <c r="M34" s="251"/>
      <c r="N34" s="251"/>
      <c r="O34" s="251"/>
      <c r="P34" s="251"/>
      <c r="Q34" s="251"/>
      <c r="R34" s="251"/>
      <c r="S34" s="251"/>
      <c r="T34" s="251"/>
    </row>
    <row r="35" spans="1:55" s="349" customFormat="1">
      <c r="A35" s="226"/>
      <c r="B35" s="226"/>
      <c r="C35" s="228"/>
      <c r="D35" s="228"/>
      <c r="E35" s="228"/>
      <c r="F35" s="251"/>
      <c r="G35" s="251"/>
      <c r="H35" s="251"/>
      <c r="I35" s="251"/>
      <c r="J35" s="251"/>
      <c r="K35" s="251"/>
      <c r="L35" s="251"/>
      <c r="M35" s="251"/>
      <c r="N35" s="251"/>
      <c r="O35" s="251"/>
      <c r="P35" s="251"/>
      <c r="Q35" s="251"/>
      <c r="R35" s="251"/>
      <c r="S35" s="251"/>
      <c r="T35" s="251"/>
    </row>
    <row r="36" spans="1:55" s="349" customFormat="1">
      <c r="A36" s="226"/>
      <c r="B36" s="226"/>
      <c r="C36" s="228"/>
      <c r="D36" s="228"/>
      <c r="E36" s="228"/>
      <c r="F36" s="251"/>
      <c r="G36" s="251"/>
      <c r="H36" s="251"/>
      <c r="I36" s="251"/>
      <c r="J36" s="251"/>
      <c r="K36" s="251"/>
      <c r="L36" s="251"/>
      <c r="M36" s="251"/>
      <c r="N36" s="251"/>
      <c r="O36" s="251"/>
      <c r="P36" s="251"/>
      <c r="Q36" s="251"/>
      <c r="R36" s="251"/>
      <c r="S36" s="251"/>
      <c r="T36" s="251"/>
    </row>
    <row r="37" spans="1:55" s="349" customFormat="1">
      <c r="A37" s="226"/>
      <c r="B37" s="226"/>
      <c r="C37" s="228"/>
      <c r="D37" s="228"/>
      <c r="E37" s="228"/>
      <c r="F37" s="251"/>
      <c r="G37" s="251"/>
      <c r="H37" s="251"/>
      <c r="I37" s="251"/>
      <c r="J37" s="251"/>
      <c r="K37" s="251"/>
      <c r="L37" s="251"/>
      <c r="M37" s="251"/>
      <c r="N37" s="251"/>
      <c r="O37" s="251"/>
      <c r="P37" s="251"/>
      <c r="Q37" s="251"/>
      <c r="R37" s="251"/>
      <c r="S37" s="251"/>
      <c r="T37" s="251"/>
    </row>
    <row r="38" spans="1:55" s="349" customFormat="1">
      <c r="A38" s="226"/>
      <c r="B38" s="226"/>
      <c r="C38" s="228"/>
      <c r="D38" s="228"/>
      <c r="E38" s="228"/>
      <c r="F38" s="251"/>
      <c r="G38" s="251"/>
      <c r="H38" s="251"/>
      <c r="I38" s="251"/>
      <c r="J38" s="251"/>
      <c r="K38" s="251"/>
      <c r="L38" s="251"/>
      <c r="M38" s="251"/>
      <c r="N38" s="251"/>
      <c r="O38" s="251"/>
      <c r="P38" s="251"/>
      <c r="Q38" s="251"/>
      <c r="R38" s="251"/>
      <c r="S38" s="251"/>
      <c r="T38" s="251"/>
    </row>
    <row r="39" spans="1:55" s="349" customFormat="1">
      <c r="A39" s="226"/>
      <c r="B39" s="226"/>
      <c r="C39" s="228"/>
      <c r="D39" s="228"/>
      <c r="E39" s="228"/>
      <c r="F39" s="250"/>
      <c r="G39" s="251"/>
      <c r="H39" s="250"/>
      <c r="I39" s="250"/>
      <c r="J39" s="250"/>
      <c r="K39" s="250"/>
      <c r="L39" s="250"/>
      <c r="M39" s="250"/>
      <c r="N39" s="250"/>
      <c r="O39" s="250"/>
      <c r="P39" s="250"/>
      <c r="Q39" s="250"/>
      <c r="R39" s="250"/>
      <c r="S39" s="250"/>
      <c r="T39" s="250"/>
    </row>
    <row r="40" spans="1:55" s="349" customFormat="1">
      <c r="A40" s="226"/>
      <c r="B40" s="226"/>
      <c r="C40" s="228"/>
      <c r="D40" s="228"/>
      <c r="E40" s="228"/>
      <c r="F40" s="236"/>
      <c r="G40" s="359"/>
      <c r="H40" s="236"/>
      <c r="I40" s="236"/>
      <c r="J40" s="236"/>
      <c r="K40" s="236"/>
      <c r="L40" s="236"/>
      <c r="M40" s="236"/>
      <c r="N40" s="236"/>
      <c r="O40" s="236"/>
      <c r="P40" s="236"/>
      <c r="Q40" s="236"/>
      <c r="R40" s="236"/>
      <c r="S40" s="236"/>
      <c r="T40" s="236"/>
    </row>
    <row r="41" spans="1:55" s="349" customFormat="1">
      <c r="A41" s="226"/>
      <c r="B41" s="226"/>
      <c r="C41" s="251"/>
      <c r="D41" s="251"/>
      <c r="E41" s="251"/>
      <c r="F41" s="236"/>
      <c r="G41" s="359"/>
      <c r="H41" s="236"/>
      <c r="I41" s="236"/>
      <c r="J41" s="236"/>
      <c r="K41" s="236"/>
      <c r="L41" s="236"/>
      <c r="M41" s="236"/>
      <c r="N41" s="236"/>
      <c r="O41" s="236"/>
      <c r="P41" s="236"/>
      <c r="Q41" s="236"/>
      <c r="R41" s="236"/>
      <c r="S41" s="236"/>
      <c r="T41" s="236"/>
    </row>
    <row r="42" spans="1:55" s="349" customFormat="1">
      <c r="A42" s="221"/>
      <c r="B42" s="252"/>
      <c r="C42" s="253"/>
      <c r="D42" s="221"/>
      <c r="E42" s="221"/>
      <c r="F42" s="221"/>
      <c r="G42" s="221"/>
      <c r="H42" s="221"/>
      <c r="I42" s="221"/>
      <c r="J42" s="221"/>
      <c r="K42" s="221"/>
      <c r="L42" s="221"/>
      <c r="M42" s="221"/>
      <c r="N42" s="221"/>
    </row>
    <row r="43" spans="1:55" s="349" customFormat="1" ht="64.95" customHeight="1">
      <c r="A43" s="221"/>
      <c r="B43" s="384" t="s">
        <v>1648</v>
      </c>
      <c r="C43" s="385"/>
      <c r="D43" s="385"/>
      <c r="E43" s="385"/>
      <c r="F43" s="385"/>
      <c r="G43" s="385"/>
      <c r="H43" s="385"/>
      <c r="I43" s="386"/>
      <c r="J43" s="221"/>
      <c r="K43" s="221"/>
      <c r="L43" s="221"/>
      <c r="M43" s="221"/>
      <c r="N43" s="221"/>
    </row>
    <row r="44" spans="1:55" s="221" customFormat="1">
      <c r="B44" s="221" t="s">
        <v>1649</v>
      </c>
      <c r="D44" s="254" t="s">
        <v>1650</v>
      </c>
      <c r="J44" s="221" t="s">
        <v>1689</v>
      </c>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row>
    <row r="45" spans="1:55" s="221" customFormat="1">
      <c r="B45" s="221" t="s">
        <v>1651</v>
      </c>
      <c r="D45" s="255" t="s">
        <v>1652</v>
      </c>
      <c r="J45" s="221" t="s">
        <v>1690</v>
      </c>
      <c r="L45" s="256"/>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row>
    <row r="46" spans="1:55" s="221" customFormat="1">
      <c r="B46" s="221" t="s">
        <v>1653</v>
      </c>
      <c r="D46" s="254" t="s">
        <v>1654</v>
      </c>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row>
    <row r="47" spans="1:55" s="221" customFormat="1">
      <c r="B47" s="221" t="s">
        <v>1655</v>
      </c>
      <c r="D47" s="249" t="s">
        <v>1656</v>
      </c>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row>
    <row r="48" spans="1:55" s="221" customFormat="1">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row>
  </sheetData>
  <mergeCells count="18">
    <mergeCell ref="B43:I43"/>
    <mergeCell ref="AF1:AI1"/>
    <mergeCell ref="AJ1:AM1"/>
    <mergeCell ref="AN1:AQ1"/>
    <mergeCell ref="AR1:AU1"/>
    <mergeCell ref="H1:K1"/>
    <mergeCell ref="L1:O1"/>
    <mergeCell ref="P1:S1"/>
    <mergeCell ref="T1:W1"/>
    <mergeCell ref="X1:AA1"/>
    <mergeCell ref="AB1:AE1"/>
    <mergeCell ref="BE1:BH1"/>
    <mergeCell ref="A27:A28"/>
    <mergeCell ref="B27:B28"/>
    <mergeCell ref="C27:E27"/>
    <mergeCell ref="F27:G27"/>
    <mergeCell ref="AV1:AY1"/>
    <mergeCell ref="AZ1:BC1"/>
  </mergeCells>
  <pageMargins left="0.7" right="0.7" top="0.75" bottom="0.75" header="0.3" footer="0.3"/>
  <pageSetup scale="75" orientation="landscape" cellComments="asDisplayed" r:id="rId1"/>
  <headerFooter>
    <oddFooter xml:space="preserve">&amp;L&amp;"Tahoma,Regular"Hexion, Inc.
Diboll Plant&amp;C&amp;"Tahoma,Regular"Page &amp;P of &amp;N&amp;R&amp;"Tahoma,Regular"Trinity Consultants
204401.0138 </oddFooter>
    <evenFooter>&amp;L&amp;"+,Regular"Momentive Specialty Chemicals Inc.
Diboll Plant&amp;C&amp;"+,Regular"Page &amp;P of &amp;N&amp;R&amp;"+,Regular"Trinity Consultants
134401.0070</evenFooter>
    <firstFooter>&amp;L&amp;"+,Regular"Momentive Specialty Chemicals Inc.
Diboll Plant&amp;C&amp;"+,Regular"Page &amp;P of &amp;N&amp;R&amp;"+,Regular"Trinity Consultants
134401.0070</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2487-98CC-9E49-ACB2-FB31661B4884}">
  <sheetPr>
    <tabColor theme="0" tint="-0.249977111117893"/>
  </sheetPr>
  <dimension ref="A1:BH48"/>
  <sheetViews>
    <sheetView zoomScale="130" zoomScaleNormal="130" workbookViewId="0">
      <selection activeCell="D20" sqref="D20"/>
    </sheetView>
  </sheetViews>
  <sheetFormatPr defaultColWidth="7.69921875" defaultRowHeight="14.4"/>
  <cols>
    <col min="1" max="1" width="12.796875" style="349" customWidth="1"/>
    <col min="2" max="2" width="42" style="349" customWidth="1"/>
    <col min="3" max="7" width="11.19921875" style="349" customWidth="1"/>
    <col min="8" max="14" width="10.296875" style="221" customWidth="1"/>
    <col min="15" max="55" width="10.296875" style="349" customWidth="1"/>
    <col min="56" max="56" width="9.69921875" style="341" customWidth="1"/>
    <col min="57" max="60" width="11.296875" style="341" customWidth="1"/>
    <col min="61" max="248" width="7.69921875" style="341"/>
    <col min="249" max="249" width="7.69921875" style="341" customWidth="1"/>
    <col min="250" max="250" width="32.5" style="341" customWidth="1"/>
    <col min="251" max="251" width="15.5" style="341" customWidth="1"/>
    <col min="252" max="252" width="13.5" style="341" customWidth="1"/>
    <col min="253" max="253" width="14.796875" style="341" customWidth="1"/>
    <col min="254" max="255" width="14" style="341" customWidth="1"/>
    <col min="256" max="256" width="12" style="341" customWidth="1"/>
    <col min="257" max="257" width="5.796875" style="341" customWidth="1"/>
    <col min="258" max="259" width="7.69921875" style="341" customWidth="1"/>
    <col min="260" max="260" width="13.5" style="341" customWidth="1"/>
    <col min="261" max="261" width="7.69921875" style="341" customWidth="1"/>
    <col min="262" max="262" width="10.19921875" style="341" customWidth="1"/>
    <col min="263" max="263" width="18.796875" style="341" customWidth="1"/>
    <col min="264" max="504" width="7.69921875" style="341"/>
    <col min="505" max="505" width="7.69921875" style="341" customWidth="1"/>
    <col min="506" max="506" width="32.5" style="341" customWidth="1"/>
    <col min="507" max="507" width="15.5" style="341" customWidth="1"/>
    <col min="508" max="508" width="13.5" style="341" customWidth="1"/>
    <col min="509" max="509" width="14.796875" style="341" customWidth="1"/>
    <col min="510" max="511" width="14" style="341" customWidth="1"/>
    <col min="512" max="512" width="12" style="341" customWidth="1"/>
    <col min="513" max="513" width="5.796875" style="341" customWidth="1"/>
    <col min="514" max="515" width="7.69921875" style="341" customWidth="1"/>
    <col min="516" max="516" width="13.5" style="341" customWidth="1"/>
    <col min="517" max="517" width="7.69921875" style="341" customWidth="1"/>
    <col min="518" max="518" width="10.19921875" style="341" customWidth="1"/>
    <col min="519" max="519" width="18.796875" style="341" customWidth="1"/>
    <col min="520" max="760" width="7.69921875" style="341"/>
    <col min="761" max="761" width="7.69921875" style="341" customWidth="1"/>
    <col min="762" max="762" width="32.5" style="341" customWidth="1"/>
    <col min="763" max="763" width="15.5" style="341" customWidth="1"/>
    <col min="764" max="764" width="13.5" style="341" customWidth="1"/>
    <col min="765" max="765" width="14.796875" style="341" customWidth="1"/>
    <col min="766" max="767" width="14" style="341" customWidth="1"/>
    <col min="768" max="768" width="12" style="341" customWidth="1"/>
    <col min="769" max="769" width="5.796875" style="341" customWidth="1"/>
    <col min="770" max="771" width="7.69921875" style="341" customWidth="1"/>
    <col min="772" max="772" width="13.5" style="341" customWidth="1"/>
    <col min="773" max="773" width="7.69921875" style="341" customWidth="1"/>
    <col min="774" max="774" width="10.19921875" style="341" customWidth="1"/>
    <col min="775" max="775" width="18.796875" style="341" customWidth="1"/>
    <col min="776" max="1016" width="7.69921875" style="341"/>
    <col min="1017" max="1017" width="7.69921875" style="341" customWidth="1"/>
    <col min="1018" max="1018" width="32.5" style="341" customWidth="1"/>
    <col min="1019" max="1019" width="15.5" style="341" customWidth="1"/>
    <col min="1020" max="1020" width="13.5" style="341" customWidth="1"/>
    <col min="1021" max="1021" width="14.796875" style="341" customWidth="1"/>
    <col min="1022" max="1023" width="14" style="341" customWidth="1"/>
    <col min="1024" max="1024" width="12" style="341" customWidth="1"/>
    <col min="1025" max="1025" width="5.796875" style="341" customWidth="1"/>
    <col min="1026" max="1027" width="7.69921875" style="341" customWidth="1"/>
    <col min="1028" max="1028" width="13.5" style="341" customWidth="1"/>
    <col min="1029" max="1029" width="7.69921875" style="341" customWidth="1"/>
    <col min="1030" max="1030" width="10.19921875" style="341" customWidth="1"/>
    <col min="1031" max="1031" width="18.796875" style="341" customWidth="1"/>
    <col min="1032" max="1272" width="7.69921875" style="341"/>
    <col min="1273" max="1273" width="7.69921875" style="341" customWidth="1"/>
    <col min="1274" max="1274" width="32.5" style="341" customWidth="1"/>
    <col min="1275" max="1275" width="15.5" style="341" customWidth="1"/>
    <col min="1276" max="1276" width="13.5" style="341" customWidth="1"/>
    <col min="1277" max="1277" width="14.796875" style="341" customWidth="1"/>
    <col min="1278" max="1279" width="14" style="341" customWidth="1"/>
    <col min="1280" max="1280" width="12" style="341" customWidth="1"/>
    <col min="1281" max="1281" width="5.796875" style="341" customWidth="1"/>
    <col min="1282" max="1283" width="7.69921875" style="341" customWidth="1"/>
    <col min="1284" max="1284" width="13.5" style="341" customWidth="1"/>
    <col min="1285" max="1285" width="7.69921875" style="341" customWidth="1"/>
    <col min="1286" max="1286" width="10.19921875" style="341" customWidth="1"/>
    <col min="1287" max="1287" width="18.796875" style="341" customWidth="1"/>
    <col min="1288" max="1528" width="7.69921875" style="341"/>
    <col min="1529" max="1529" width="7.69921875" style="341" customWidth="1"/>
    <col min="1530" max="1530" width="32.5" style="341" customWidth="1"/>
    <col min="1531" max="1531" width="15.5" style="341" customWidth="1"/>
    <col min="1532" max="1532" width="13.5" style="341" customWidth="1"/>
    <col min="1533" max="1533" width="14.796875" style="341" customWidth="1"/>
    <col min="1534" max="1535" width="14" style="341" customWidth="1"/>
    <col min="1536" max="1536" width="12" style="341" customWidth="1"/>
    <col min="1537" max="1537" width="5.796875" style="341" customWidth="1"/>
    <col min="1538" max="1539" width="7.69921875" style="341" customWidth="1"/>
    <col min="1540" max="1540" width="13.5" style="341" customWidth="1"/>
    <col min="1541" max="1541" width="7.69921875" style="341" customWidth="1"/>
    <col min="1542" max="1542" width="10.19921875" style="341" customWidth="1"/>
    <col min="1543" max="1543" width="18.796875" style="341" customWidth="1"/>
    <col min="1544" max="1784" width="7.69921875" style="341"/>
    <col min="1785" max="1785" width="7.69921875" style="341" customWidth="1"/>
    <col min="1786" max="1786" width="32.5" style="341" customWidth="1"/>
    <col min="1787" max="1787" width="15.5" style="341" customWidth="1"/>
    <col min="1788" max="1788" width="13.5" style="341" customWidth="1"/>
    <col min="1789" max="1789" width="14.796875" style="341" customWidth="1"/>
    <col min="1790" max="1791" width="14" style="341" customWidth="1"/>
    <col min="1792" max="1792" width="12" style="341" customWidth="1"/>
    <col min="1793" max="1793" width="5.796875" style="341" customWidth="1"/>
    <col min="1794" max="1795" width="7.69921875" style="341" customWidth="1"/>
    <col min="1796" max="1796" width="13.5" style="341" customWidth="1"/>
    <col min="1797" max="1797" width="7.69921875" style="341" customWidth="1"/>
    <col min="1798" max="1798" width="10.19921875" style="341" customWidth="1"/>
    <col min="1799" max="1799" width="18.796875" style="341" customWidth="1"/>
    <col min="1800" max="2040" width="7.69921875" style="341"/>
    <col min="2041" max="2041" width="7.69921875" style="341" customWidth="1"/>
    <col min="2042" max="2042" width="32.5" style="341" customWidth="1"/>
    <col min="2043" max="2043" width="15.5" style="341" customWidth="1"/>
    <col min="2044" max="2044" width="13.5" style="341" customWidth="1"/>
    <col min="2045" max="2045" width="14.796875" style="341" customWidth="1"/>
    <col min="2046" max="2047" width="14" style="341" customWidth="1"/>
    <col min="2048" max="2048" width="12" style="341" customWidth="1"/>
    <col min="2049" max="2049" width="5.796875" style="341" customWidth="1"/>
    <col min="2050" max="2051" width="7.69921875" style="341" customWidth="1"/>
    <col min="2052" max="2052" width="13.5" style="341" customWidth="1"/>
    <col min="2053" max="2053" width="7.69921875" style="341" customWidth="1"/>
    <col min="2054" max="2054" width="10.19921875" style="341" customWidth="1"/>
    <col min="2055" max="2055" width="18.796875" style="341" customWidth="1"/>
    <col min="2056" max="2296" width="7.69921875" style="341"/>
    <col min="2297" max="2297" width="7.69921875" style="341" customWidth="1"/>
    <col min="2298" max="2298" width="32.5" style="341" customWidth="1"/>
    <col min="2299" max="2299" width="15.5" style="341" customWidth="1"/>
    <col min="2300" max="2300" width="13.5" style="341" customWidth="1"/>
    <col min="2301" max="2301" width="14.796875" style="341" customWidth="1"/>
    <col min="2302" max="2303" width="14" style="341" customWidth="1"/>
    <col min="2304" max="2304" width="12" style="341" customWidth="1"/>
    <col min="2305" max="2305" width="5.796875" style="341" customWidth="1"/>
    <col min="2306" max="2307" width="7.69921875" style="341" customWidth="1"/>
    <col min="2308" max="2308" width="13.5" style="341" customWidth="1"/>
    <col min="2309" max="2309" width="7.69921875" style="341" customWidth="1"/>
    <col min="2310" max="2310" width="10.19921875" style="341" customWidth="1"/>
    <col min="2311" max="2311" width="18.796875" style="341" customWidth="1"/>
    <col min="2312" max="2552" width="7.69921875" style="341"/>
    <col min="2553" max="2553" width="7.69921875" style="341" customWidth="1"/>
    <col min="2554" max="2554" width="32.5" style="341" customWidth="1"/>
    <col min="2555" max="2555" width="15.5" style="341" customWidth="1"/>
    <col min="2556" max="2556" width="13.5" style="341" customWidth="1"/>
    <col min="2557" max="2557" width="14.796875" style="341" customWidth="1"/>
    <col min="2558" max="2559" width="14" style="341" customWidth="1"/>
    <col min="2560" max="2560" width="12" style="341" customWidth="1"/>
    <col min="2561" max="2561" width="5.796875" style="341" customWidth="1"/>
    <col min="2562" max="2563" width="7.69921875" style="341" customWidth="1"/>
    <col min="2564" max="2564" width="13.5" style="341" customWidth="1"/>
    <col min="2565" max="2565" width="7.69921875" style="341" customWidth="1"/>
    <col min="2566" max="2566" width="10.19921875" style="341" customWidth="1"/>
    <col min="2567" max="2567" width="18.796875" style="341" customWidth="1"/>
    <col min="2568" max="2808" width="7.69921875" style="341"/>
    <col min="2809" max="2809" width="7.69921875" style="341" customWidth="1"/>
    <col min="2810" max="2810" width="32.5" style="341" customWidth="1"/>
    <col min="2811" max="2811" width="15.5" style="341" customWidth="1"/>
    <col min="2812" max="2812" width="13.5" style="341" customWidth="1"/>
    <col min="2813" max="2813" width="14.796875" style="341" customWidth="1"/>
    <col min="2814" max="2815" width="14" style="341" customWidth="1"/>
    <col min="2816" max="2816" width="12" style="341" customWidth="1"/>
    <col min="2817" max="2817" width="5.796875" style="341" customWidth="1"/>
    <col min="2818" max="2819" width="7.69921875" style="341" customWidth="1"/>
    <col min="2820" max="2820" width="13.5" style="341" customWidth="1"/>
    <col min="2821" max="2821" width="7.69921875" style="341" customWidth="1"/>
    <col min="2822" max="2822" width="10.19921875" style="341" customWidth="1"/>
    <col min="2823" max="2823" width="18.796875" style="341" customWidth="1"/>
    <col min="2824" max="3064" width="7.69921875" style="341"/>
    <col min="3065" max="3065" width="7.69921875" style="341" customWidth="1"/>
    <col min="3066" max="3066" width="32.5" style="341" customWidth="1"/>
    <col min="3067" max="3067" width="15.5" style="341" customWidth="1"/>
    <col min="3068" max="3068" width="13.5" style="341" customWidth="1"/>
    <col min="3069" max="3069" width="14.796875" style="341" customWidth="1"/>
    <col min="3070" max="3071" width="14" style="341" customWidth="1"/>
    <col min="3072" max="3072" width="12" style="341" customWidth="1"/>
    <col min="3073" max="3073" width="5.796875" style="341" customWidth="1"/>
    <col min="3074" max="3075" width="7.69921875" style="341" customWidth="1"/>
    <col min="3076" max="3076" width="13.5" style="341" customWidth="1"/>
    <col min="3077" max="3077" width="7.69921875" style="341" customWidth="1"/>
    <col min="3078" max="3078" width="10.19921875" style="341" customWidth="1"/>
    <col min="3079" max="3079" width="18.796875" style="341" customWidth="1"/>
    <col min="3080" max="3320" width="7.69921875" style="341"/>
    <col min="3321" max="3321" width="7.69921875" style="341" customWidth="1"/>
    <col min="3322" max="3322" width="32.5" style="341" customWidth="1"/>
    <col min="3323" max="3323" width="15.5" style="341" customWidth="1"/>
    <col min="3324" max="3324" width="13.5" style="341" customWidth="1"/>
    <col min="3325" max="3325" width="14.796875" style="341" customWidth="1"/>
    <col min="3326" max="3327" width="14" style="341" customWidth="1"/>
    <col min="3328" max="3328" width="12" style="341" customWidth="1"/>
    <col min="3329" max="3329" width="5.796875" style="341" customWidth="1"/>
    <col min="3330" max="3331" width="7.69921875" style="341" customWidth="1"/>
    <col min="3332" max="3332" width="13.5" style="341" customWidth="1"/>
    <col min="3333" max="3333" width="7.69921875" style="341" customWidth="1"/>
    <col min="3334" max="3334" width="10.19921875" style="341" customWidth="1"/>
    <col min="3335" max="3335" width="18.796875" style="341" customWidth="1"/>
    <col min="3336" max="3576" width="7.69921875" style="341"/>
    <col min="3577" max="3577" width="7.69921875" style="341" customWidth="1"/>
    <col min="3578" max="3578" width="32.5" style="341" customWidth="1"/>
    <col min="3579" max="3579" width="15.5" style="341" customWidth="1"/>
    <col min="3580" max="3580" width="13.5" style="341" customWidth="1"/>
    <col min="3581" max="3581" width="14.796875" style="341" customWidth="1"/>
    <col min="3582" max="3583" width="14" style="341" customWidth="1"/>
    <col min="3584" max="3584" width="12" style="341" customWidth="1"/>
    <col min="3585" max="3585" width="5.796875" style="341" customWidth="1"/>
    <col min="3586" max="3587" width="7.69921875" style="341" customWidth="1"/>
    <col min="3588" max="3588" width="13.5" style="341" customWidth="1"/>
    <col min="3589" max="3589" width="7.69921875" style="341" customWidth="1"/>
    <col min="3590" max="3590" width="10.19921875" style="341" customWidth="1"/>
    <col min="3591" max="3591" width="18.796875" style="341" customWidth="1"/>
    <col min="3592" max="3832" width="7.69921875" style="341"/>
    <col min="3833" max="3833" width="7.69921875" style="341" customWidth="1"/>
    <col min="3834" max="3834" width="32.5" style="341" customWidth="1"/>
    <col min="3835" max="3835" width="15.5" style="341" customWidth="1"/>
    <col min="3836" max="3836" width="13.5" style="341" customWidth="1"/>
    <col min="3837" max="3837" width="14.796875" style="341" customWidth="1"/>
    <col min="3838" max="3839" width="14" style="341" customWidth="1"/>
    <col min="3840" max="3840" width="12" style="341" customWidth="1"/>
    <col min="3841" max="3841" width="5.796875" style="341" customWidth="1"/>
    <col min="3842" max="3843" width="7.69921875" style="341" customWidth="1"/>
    <col min="3844" max="3844" width="13.5" style="341" customWidth="1"/>
    <col min="3845" max="3845" width="7.69921875" style="341" customWidth="1"/>
    <col min="3846" max="3846" width="10.19921875" style="341" customWidth="1"/>
    <col min="3847" max="3847" width="18.796875" style="341" customWidth="1"/>
    <col min="3848" max="4088" width="7.69921875" style="341"/>
    <col min="4089" max="4089" width="7.69921875" style="341" customWidth="1"/>
    <col min="4090" max="4090" width="32.5" style="341" customWidth="1"/>
    <col min="4091" max="4091" width="15.5" style="341" customWidth="1"/>
    <col min="4092" max="4092" width="13.5" style="341" customWidth="1"/>
    <col min="4093" max="4093" width="14.796875" style="341" customWidth="1"/>
    <col min="4094" max="4095" width="14" style="341" customWidth="1"/>
    <col min="4096" max="4096" width="12" style="341" customWidth="1"/>
    <col min="4097" max="4097" width="5.796875" style="341" customWidth="1"/>
    <col min="4098" max="4099" width="7.69921875" style="341" customWidth="1"/>
    <col min="4100" max="4100" width="13.5" style="341" customWidth="1"/>
    <col min="4101" max="4101" width="7.69921875" style="341" customWidth="1"/>
    <col min="4102" max="4102" width="10.19921875" style="341" customWidth="1"/>
    <col min="4103" max="4103" width="18.796875" style="341" customWidth="1"/>
    <col min="4104" max="4344" width="7.69921875" style="341"/>
    <col min="4345" max="4345" width="7.69921875" style="341" customWidth="1"/>
    <col min="4346" max="4346" width="32.5" style="341" customWidth="1"/>
    <col min="4347" max="4347" width="15.5" style="341" customWidth="1"/>
    <col min="4348" max="4348" width="13.5" style="341" customWidth="1"/>
    <col min="4349" max="4349" width="14.796875" style="341" customWidth="1"/>
    <col min="4350" max="4351" width="14" style="341" customWidth="1"/>
    <col min="4352" max="4352" width="12" style="341" customWidth="1"/>
    <col min="4353" max="4353" width="5.796875" style="341" customWidth="1"/>
    <col min="4354" max="4355" width="7.69921875" style="341" customWidth="1"/>
    <col min="4356" max="4356" width="13.5" style="341" customWidth="1"/>
    <col min="4357" max="4357" width="7.69921875" style="341" customWidth="1"/>
    <col min="4358" max="4358" width="10.19921875" style="341" customWidth="1"/>
    <col min="4359" max="4359" width="18.796875" style="341" customWidth="1"/>
    <col min="4360" max="4600" width="7.69921875" style="341"/>
    <col min="4601" max="4601" width="7.69921875" style="341" customWidth="1"/>
    <col min="4602" max="4602" width="32.5" style="341" customWidth="1"/>
    <col min="4603" max="4603" width="15.5" style="341" customWidth="1"/>
    <col min="4604" max="4604" width="13.5" style="341" customWidth="1"/>
    <col min="4605" max="4605" width="14.796875" style="341" customWidth="1"/>
    <col min="4606" max="4607" width="14" style="341" customWidth="1"/>
    <col min="4608" max="4608" width="12" style="341" customWidth="1"/>
    <col min="4609" max="4609" width="5.796875" style="341" customWidth="1"/>
    <col min="4610" max="4611" width="7.69921875" style="341" customWidth="1"/>
    <col min="4612" max="4612" width="13.5" style="341" customWidth="1"/>
    <col min="4613" max="4613" width="7.69921875" style="341" customWidth="1"/>
    <col min="4614" max="4614" width="10.19921875" style="341" customWidth="1"/>
    <col min="4615" max="4615" width="18.796875" style="341" customWidth="1"/>
    <col min="4616" max="4856" width="7.69921875" style="341"/>
    <col min="4857" max="4857" width="7.69921875" style="341" customWidth="1"/>
    <col min="4858" max="4858" width="32.5" style="341" customWidth="1"/>
    <col min="4859" max="4859" width="15.5" style="341" customWidth="1"/>
    <col min="4860" max="4860" width="13.5" style="341" customWidth="1"/>
    <col min="4861" max="4861" width="14.796875" style="341" customWidth="1"/>
    <col min="4862" max="4863" width="14" style="341" customWidth="1"/>
    <col min="4864" max="4864" width="12" style="341" customWidth="1"/>
    <col min="4865" max="4865" width="5.796875" style="341" customWidth="1"/>
    <col min="4866" max="4867" width="7.69921875" style="341" customWidth="1"/>
    <col min="4868" max="4868" width="13.5" style="341" customWidth="1"/>
    <col min="4869" max="4869" width="7.69921875" style="341" customWidth="1"/>
    <col min="4870" max="4870" width="10.19921875" style="341" customWidth="1"/>
    <col min="4871" max="4871" width="18.796875" style="341" customWidth="1"/>
    <col min="4872" max="5112" width="7.69921875" style="341"/>
    <col min="5113" max="5113" width="7.69921875" style="341" customWidth="1"/>
    <col min="5114" max="5114" width="32.5" style="341" customWidth="1"/>
    <col min="5115" max="5115" width="15.5" style="341" customWidth="1"/>
    <col min="5116" max="5116" width="13.5" style="341" customWidth="1"/>
    <col min="5117" max="5117" width="14.796875" style="341" customWidth="1"/>
    <col min="5118" max="5119" width="14" style="341" customWidth="1"/>
    <col min="5120" max="5120" width="12" style="341" customWidth="1"/>
    <col min="5121" max="5121" width="5.796875" style="341" customWidth="1"/>
    <col min="5122" max="5123" width="7.69921875" style="341" customWidth="1"/>
    <col min="5124" max="5124" width="13.5" style="341" customWidth="1"/>
    <col min="5125" max="5125" width="7.69921875" style="341" customWidth="1"/>
    <col min="5126" max="5126" width="10.19921875" style="341" customWidth="1"/>
    <col min="5127" max="5127" width="18.796875" style="341" customWidth="1"/>
    <col min="5128" max="5368" width="7.69921875" style="341"/>
    <col min="5369" max="5369" width="7.69921875" style="341" customWidth="1"/>
    <col min="5370" max="5370" width="32.5" style="341" customWidth="1"/>
    <col min="5371" max="5371" width="15.5" style="341" customWidth="1"/>
    <col min="5372" max="5372" width="13.5" style="341" customWidth="1"/>
    <col min="5373" max="5373" width="14.796875" style="341" customWidth="1"/>
    <col min="5374" max="5375" width="14" style="341" customWidth="1"/>
    <col min="5376" max="5376" width="12" style="341" customWidth="1"/>
    <col min="5377" max="5377" width="5.796875" style="341" customWidth="1"/>
    <col min="5378" max="5379" width="7.69921875" style="341" customWidth="1"/>
    <col min="5380" max="5380" width="13.5" style="341" customWidth="1"/>
    <col min="5381" max="5381" width="7.69921875" style="341" customWidth="1"/>
    <col min="5382" max="5382" width="10.19921875" style="341" customWidth="1"/>
    <col min="5383" max="5383" width="18.796875" style="341" customWidth="1"/>
    <col min="5384" max="5624" width="7.69921875" style="341"/>
    <col min="5625" max="5625" width="7.69921875" style="341" customWidth="1"/>
    <col min="5626" max="5626" width="32.5" style="341" customWidth="1"/>
    <col min="5627" max="5627" width="15.5" style="341" customWidth="1"/>
    <col min="5628" max="5628" width="13.5" style="341" customWidth="1"/>
    <col min="5629" max="5629" width="14.796875" style="341" customWidth="1"/>
    <col min="5630" max="5631" width="14" style="341" customWidth="1"/>
    <col min="5632" max="5632" width="12" style="341" customWidth="1"/>
    <col min="5633" max="5633" width="5.796875" style="341" customWidth="1"/>
    <col min="5634" max="5635" width="7.69921875" style="341" customWidth="1"/>
    <col min="5636" max="5636" width="13.5" style="341" customWidth="1"/>
    <col min="5637" max="5637" width="7.69921875" style="341" customWidth="1"/>
    <col min="5638" max="5638" width="10.19921875" style="341" customWidth="1"/>
    <col min="5639" max="5639" width="18.796875" style="341" customWidth="1"/>
    <col min="5640" max="5880" width="7.69921875" style="341"/>
    <col min="5881" max="5881" width="7.69921875" style="341" customWidth="1"/>
    <col min="5882" max="5882" width="32.5" style="341" customWidth="1"/>
    <col min="5883" max="5883" width="15.5" style="341" customWidth="1"/>
    <col min="5884" max="5884" width="13.5" style="341" customWidth="1"/>
    <col min="5885" max="5885" width="14.796875" style="341" customWidth="1"/>
    <col min="5886" max="5887" width="14" style="341" customWidth="1"/>
    <col min="5888" max="5888" width="12" style="341" customWidth="1"/>
    <col min="5889" max="5889" width="5.796875" style="341" customWidth="1"/>
    <col min="5890" max="5891" width="7.69921875" style="341" customWidth="1"/>
    <col min="5892" max="5892" width="13.5" style="341" customWidth="1"/>
    <col min="5893" max="5893" width="7.69921875" style="341" customWidth="1"/>
    <col min="5894" max="5894" width="10.19921875" style="341" customWidth="1"/>
    <col min="5895" max="5895" width="18.796875" style="341" customWidth="1"/>
    <col min="5896" max="6136" width="7.69921875" style="341"/>
    <col min="6137" max="6137" width="7.69921875" style="341" customWidth="1"/>
    <col min="6138" max="6138" width="32.5" style="341" customWidth="1"/>
    <col min="6139" max="6139" width="15.5" style="341" customWidth="1"/>
    <col min="6140" max="6140" width="13.5" style="341" customWidth="1"/>
    <col min="6141" max="6141" width="14.796875" style="341" customWidth="1"/>
    <col min="6142" max="6143" width="14" style="341" customWidth="1"/>
    <col min="6144" max="6144" width="12" style="341" customWidth="1"/>
    <col min="6145" max="6145" width="5.796875" style="341" customWidth="1"/>
    <col min="6146" max="6147" width="7.69921875" style="341" customWidth="1"/>
    <col min="6148" max="6148" width="13.5" style="341" customWidth="1"/>
    <col min="6149" max="6149" width="7.69921875" style="341" customWidth="1"/>
    <col min="6150" max="6150" width="10.19921875" style="341" customWidth="1"/>
    <col min="6151" max="6151" width="18.796875" style="341" customWidth="1"/>
    <col min="6152" max="6392" width="7.69921875" style="341"/>
    <col min="6393" max="6393" width="7.69921875" style="341" customWidth="1"/>
    <col min="6394" max="6394" width="32.5" style="341" customWidth="1"/>
    <col min="6395" max="6395" width="15.5" style="341" customWidth="1"/>
    <col min="6396" max="6396" width="13.5" style="341" customWidth="1"/>
    <col min="6397" max="6397" width="14.796875" style="341" customWidth="1"/>
    <col min="6398" max="6399" width="14" style="341" customWidth="1"/>
    <col min="6400" max="6400" width="12" style="341" customWidth="1"/>
    <col min="6401" max="6401" width="5.796875" style="341" customWidth="1"/>
    <col min="6402" max="6403" width="7.69921875" style="341" customWidth="1"/>
    <col min="6404" max="6404" width="13.5" style="341" customWidth="1"/>
    <col min="6405" max="6405" width="7.69921875" style="341" customWidth="1"/>
    <col min="6406" max="6406" width="10.19921875" style="341" customWidth="1"/>
    <col min="6407" max="6407" width="18.796875" style="341" customWidth="1"/>
    <col min="6408" max="6648" width="7.69921875" style="341"/>
    <col min="6649" max="6649" width="7.69921875" style="341" customWidth="1"/>
    <col min="6650" max="6650" width="32.5" style="341" customWidth="1"/>
    <col min="6651" max="6651" width="15.5" style="341" customWidth="1"/>
    <col min="6652" max="6652" width="13.5" style="341" customWidth="1"/>
    <col min="6653" max="6653" width="14.796875" style="341" customWidth="1"/>
    <col min="6654" max="6655" width="14" style="341" customWidth="1"/>
    <col min="6656" max="6656" width="12" style="341" customWidth="1"/>
    <col min="6657" max="6657" width="5.796875" style="341" customWidth="1"/>
    <col min="6658" max="6659" width="7.69921875" style="341" customWidth="1"/>
    <col min="6660" max="6660" width="13.5" style="341" customWidth="1"/>
    <col min="6661" max="6661" width="7.69921875" style="341" customWidth="1"/>
    <col min="6662" max="6662" width="10.19921875" style="341" customWidth="1"/>
    <col min="6663" max="6663" width="18.796875" style="341" customWidth="1"/>
    <col min="6664" max="6904" width="7.69921875" style="341"/>
    <col min="6905" max="6905" width="7.69921875" style="341" customWidth="1"/>
    <col min="6906" max="6906" width="32.5" style="341" customWidth="1"/>
    <col min="6907" max="6907" width="15.5" style="341" customWidth="1"/>
    <col min="6908" max="6908" width="13.5" style="341" customWidth="1"/>
    <col min="6909" max="6909" width="14.796875" style="341" customWidth="1"/>
    <col min="6910" max="6911" width="14" style="341" customWidth="1"/>
    <col min="6912" max="6912" width="12" style="341" customWidth="1"/>
    <col min="6913" max="6913" width="5.796875" style="341" customWidth="1"/>
    <col min="6914" max="6915" width="7.69921875" style="341" customWidth="1"/>
    <col min="6916" max="6916" width="13.5" style="341" customWidth="1"/>
    <col min="6917" max="6917" width="7.69921875" style="341" customWidth="1"/>
    <col min="6918" max="6918" width="10.19921875" style="341" customWidth="1"/>
    <col min="6919" max="6919" width="18.796875" style="341" customWidth="1"/>
    <col min="6920" max="7160" width="7.69921875" style="341"/>
    <col min="7161" max="7161" width="7.69921875" style="341" customWidth="1"/>
    <col min="7162" max="7162" width="32.5" style="341" customWidth="1"/>
    <col min="7163" max="7163" width="15.5" style="341" customWidth="1"/>
    <col min="7164" max="7164" width="13.5" style="341" customWidth="1"/>
    <col min="7165" max="7165" width="14.796875" style="341" customWidth="1"/>
    <col min="7166" max="7167" width="14" style="341" customWidth="1"/>
    <col min="7168" max="7168" width="12" style="341" customWidth="1"/>
    <col min="7169" max="7169" width="5.796875" style="341" customWidth="1"/>
    <col min="7170" max="7171" width="7.69921875" style="341" customWidth="1"/>
    <col min="7172" max="7172" width="13.5" style="341" customWidth="1"/>
    <col min="7173" max="7173" width="7.69921875" style="341" customWidth="1"/>
    <col min="7174" max="7174" width="10.19921875" style="341" customWidth="1"/>
    <col min="7175" max="7175" width="18.796875" style="341" customWidth="1"/>
    <col min="7176" max="7416" width="7.69921875" style="341"/>
    <col min="7417" max="7417" width="7.69921875" style="341" customWidth="1"/>
    <col min="7418" max="7418" width="32.5" style="341" customWidth="1"/>
    <col min="7419" max="7419" width="15.5" style="341" customWidth="1"/>
    <col min="7420" max="7420" width="13.5" style="341" customWidth="1"/>
    <col min="7421" max="7421" width="14.796875" style="341" customWidth="1"/>
    <col min="7422" max="7423" width="14" style="341" customWidth="1"/>
    <col min="7424" max="7424" width="12" style="341" customWidth="1"/>
    <col min="7425" max="7425" width="5.796875" style="341" customWidth="1"/>
    <col min="7426" max="7427" width="7.69921875" style="341" customWidth="1"/>
    <col min="7428" max="7428" width="13.5" style="341" customWidth="1"/>
    <col min="7429" max="7429" width="7.69921875" style="341" customWidth="1"/>
    <col min="7430" max="7430" width="10.19921875" style="341" customWidth="1"/>
    <col min="7431" max="7431" width="18.796875" style="341" customWidth="1"/>
    <col min="7432" max="7672" width="7.69921875" style="341"/>
    <col min="7673" max="7673" width="7.69921875" style="341" customWidth="1"/>
    <col min="7674" max="7674" width="32.5" style="341" customWidth="1"/>
    <col min="7675" max="7675" width="15.5" style="341" customWidth="1"/>
    <col min="7676" max="7676" width="13.5" style="341" customWidth="1"/>
    <col min="7677" max="7677" width="14.796875" style="341" customWidth="1"/>
    <col min="7678" max="7679" width="14" style="341" customWidth="1"/>
    <col min="7680" max="7680" width="12" style="341" customWidth="1"/>
    <col min="7681" max="7681" width="5.796875" style="341" customWidth="1"/>
    <col min="7682" max="7683" width="7.69921875" style="341" customWidth="1"/>
    <col min="7684" max="7684" width="13.5" style="341" customWidth="1"/>
    <col min="7685" max="7685" width="7.69921875" style="341" customWidth="1"/>
    <col min="7686" max="7686" width="10.19921875" style="341" customWidth="1"/>
    <col min="7687" max="7687" width="18.796875" style="341" customWidth="1"/>
    <col min="7688" max="7928" width="7.69921875" style="341"/>
    <col min="7929" max="7929" width="7.69921875" style="341" customWidth="1"/>
    <col min="7930" max="7930" width="32.5" style="341" customWidth="1"/>
    <col min="7931" max="7931" width="15.5" style="341" customWidth="1"/>
    <col min="7932" max="7932" width="13.5" style="341" customWidth="1"/>
    <col min="7933" max="7933" width="14.796875" style="341" customWidth="1"/>
    <col min="7934" max="7935" width="14" style="341" customWidth="1"/>
    <col min="7936" max="7936" width="12" style="341" customWidth="1"/>
    <col min="7937" max="7937" width="5.796875" style="341" customWidth="1"/>
    <col min="7938" max="7939" width="7.69921875" style="341" customWidth="1"/>
    <col min="7940" max="7940" width="13.5" style="341" customWidth="1"/>
    <col min="7941" max="7941" width="7.69921875" style="341" customWidth="1"/>
    <col min="7942" max="7942" width="10.19921875" style="341" customWidth="1"/>
    <col min="7943" max="7943" width="18.796875" style="341" customWidth="1"/>
    <col min="7944" max="8184" width="7.69921875" style="341"/>
    <col min="8185" max="8185" width="7.69921875" style="341" customWidth="1"/>
    <col min="8186" max="8186" width="32.5" style="341" customWidth="1"/>
    <col min="8187" max="8187" width="15.5" style="341" customWidth="1"/>
    <col min="8188" max="8188" width="13.5" style="341" customWidth="1"/>
    <col min="8189" max="8189" width="14.796875" style="341" customWidth="1"/>
    <col min="8190" max="8191" width="14" style="341" customWidth="1"/>
    <col min="8192" max="8192" width="12" style="341" customWidth="1"/>
    <col min="8193" max="8193" width="5.796875" style="341" customWidth="1"/>
    <col min="8194" max="8195" width="7.69921875" style="341" customWidth="1"/>
    <col min="8196" max="8196" width="13.5" style="341" customWidth="1"/>
    <col min="8197" max="8197" width="7.69921875" style="341" customWidth="1"/>
    <col min="8198" max="8198" width="10.19921875" style="341" customWidth="1"/>
    <col min="8199" max="8199" width="18.796875" style="341" customWidth="1"/>
    <col min="8200" max="8440" width="7.69921875" style="341"/>
    <col min="8441" max="8441" width="7.69921875" style="341" customWidth="1"/>
    <col min="8442" max="8442" width="32.5" style="341" customWidth="1"/>
    <col min="8443" max="8443" width="15.5" style="341" customWidth="1"/>
    <col min="8444" max="8444" width="13.5" style="341" customWidth="1"/>
    <col min="8445" max="8445" width="14.796875" style="341" customWidth="1"/>
    <col min="8446" max="8447" width="14" style="341" customWidth="1"/>
    <col min="8448" max="8448" width="12" style="341" customWidth="1"/>
    <col min="8449" max="8449" width="5.796875" style="341" customWidth="1"/>
    <col min="8450" max="8451" width="7.69921875" style="341" customWidth="1"/>
    <col min="8452" max="8452" width="13.5" style="341" customWidth="1"/>
    <col min="8453" max="8453" width="7.69921875" style="341" customWidth="1"/>
    <col min="8454" max="8454" width="10.19921875" style="341" customWidth="1"/>
    <col min="8455" max="8455" width="18.796875" style="341" customWidth="1"/>
    <col min="8456" max="8696" width="7.69921875" style="341"/>
    <col min="8697" max="8697" width="7.69921875" style="341" customWidth="1"/>
    <col min="8698" max="8698" width="32.5" style="341" customWidth="1"/>
    <col min="8699" max="8699" width="15.5" style="341" customWidth="1"/>
    <col min="8700" max="8700" width="13.5" style="341" customWidth="1"/>
    <col min="8701" max="8701" width="14.796875" style="341" customWidth="1"/>
    <col min="8702" max="8703" width="14" style="341" customWidth="1"/>
    <col min="8704" max="8704" width="12" style="341" customWidth="1"/>
    <col min="8705" max="8705" width="5.796875" style="341" customWidth="1"/>
    <col min="8706" max="8707" width="7.69921875" style="341" customWidth="1"/>
    <col min="8708" max="8708" width="13.5" style="341" customWidth="1"/>
    <col min="8709" max="8709" width="7.69921875" style="341" customWidth="1"/>
    <col min="8710" max="8710" width="10.19921875" style="341" customWidth="1"/>
    <col min="8711" max="8711" width="18.796875" style="341" customWidth="1"/>
    <col min="8712" max="8952" width="7.69921875" style="341"/>
    <col min="8953" max="8953" width="7.69921875" style="341" customWidth="1"/>
    <col min="8954" max="8954" width="32.5" style="341" customWidth="1"/>
    <col min="8955" max="8955" width="15.5" style="341" customWidth="1"/>
    <col min="8956" max="8956" width="13.5" style="341" customWidth="1"/>
    <col min="8957" max="8957" width="14.796875" style="341" customWidth="1"/>
    <col min="8958" max="8959" width="14" style="341" customWidth="1"/>
    <col min="8960" max="8960" width="12" style="341" customWidth="1"/>
    <col min="8961" max="8961" width="5.796875" style="341" customWidth="1"/>
    <col min="8962" max="8963" width="7.69921875" style="341" customWidth="1"/>
    <col min="8964" max="8964" width="13.5" style="341" customWidth="1"/>
    <col min="8965" max="8965" width="7.69921875" style="341" customWidth="1"/>
    <col min="8966" max="8966" width="10.19921875" style="341" customWidth="1"/>
    <col min="8967" max="8967" width="18.796875" style="341" customWidth="1"/>
    <col min="8968" max="9208" width="7.69921875" style="341"/>
    <col min="9209" max="9209" width="7.69921875" style="341" customWidth="1"/>
    <col min="9210" max="9210" width="32.5" style="341" customWidth="1"/>
    <col min="9211" max="9211" width="15.5" style="341" customWidth="1"/>
    <col min="9212" max="9212" width="13.5" style="341" customWidth="1"/>
    <col min="9213" max="9213" width="14.796875" style="341" customWidth="1"/>
    <col min="9214" max="9215" width="14" style="341" customWidth="1"/>
    <col min="9216" max="9216" width="12" style="341" customWidth="1"/>
    <col min="9217" max="9217" width="5.796875" style="341" customWidth="1"/>
    <col min="9218" max="9219" width="7.69921875" style="341" customWidth="1"/>
    <col min="9220" max="9220" width="13.5" style="341" customWidth="1"/>
    <col min="9221" max="9221" width="7.69921875" style="341" customWidth="1"/>
    <col min="9222" max="9222" width="10.19921875" style="341" customWidth="1"/>
    <col min="9223" max="9223" width="18.796875" style="341" customWidth="1"/>
    <col min="9224" max="9464" width="7.69921875" style="341"/>
    <col min="9465" max="9465" width="7.69921875" style="341" customWidth="1"/>
    <col min="9466" max="9466" width="32.5" style="341" customWidth="1"/>
    <col min="9467" max="9467" width="15.5" style="341" customWidth="1"/>
    <col min="9468" max="9468" width="13.5" style="341" customWidth="1"/>
    <col min="9469" max="9469" width="14.796875" style="341" customWidth="1"/>
    <col min="9470" max="9471" width="14" style="341" customWidth="1"/>
    <col min="9472" max="9472" width="12" style="341" customWidth="1"/>
    <col min="9473" max="9473" width="5.796875" style="341" customWidth="1"/>
    <col min="9474" max="9475" width="7.69921875" style="341" customWidth="1"/>
    <col min="9476" max="9476" width="13.5" style="341" customWidth="1"/>
    <col min="9477" max="9477" width="7.69921875" style="341" customWidth="1"/>
    <col min="9478" max="9478" width="10.19921875" style="341" customWidth="1"/>
    <col min="9479" max="9479" width="18.796875" style="341" customWidth="1"/>
    <col min="9480" max="9720" width="7.69921875" style="341"/>
    <col min="9721" max="9721" width="7.69921875" style="341" customWidth="1"/>
    <col min="9722" max="9722" width="32.5" style="341" customWidth="1"/>
    <col min="9723" max="9723" width="15.5" style="341" customWidth="1"/>
    <col min="9724" max="9724" width="13.5" style="341" customWidth="1"/>
    <col min="9725" max="9725" width="14.796875" style="341" customWidth="1"/>
    <col min="9726" max="9727" width="14" style="341" customWidth="1"/>
    <col min="9728" max="9728" width="12" style="341" customWidth="1"/>
    <col min="9729" max="9729" width="5.796875" style="341" customWidth="1"/>
    <col min="9730" max="9731" width="7.69921875" style="341" customWidth="1"/>
    <col min="9732" max="9732" width="13.5" style="341" customWidth="1"/>
    <col min="9733" max="9733" width="7.69921875" style="341" customWidth="1"/>
    <col min="9734" max="9734" width="10.19921875" style="341" customWidth="1"/>
    <col min="9735" max="9735" width="18.796875" style="341" customWidth="1"/>
    <col min="9736" max="9976" width="7.69921875" style="341"/>
    <col min="9977" max="9977" width="7.69921875" style="341" customWidth="1"/>
    <col min="9978" max="9978" width="32.5" style="341" customWidth="1"/>
    <col min="9979" max="9979" width="15.5" style="341" customWidth="1"/>
    <col min="9980" max="9980" width="13.5" style="341" customWidth="1"/>
    <col min="9981" max="9981" width="14.796875" style="341" customWidth="1"/>
    <col min="9982" max="9983" width="14" style="341" customWidth="1"/>
    <col min="9984" max="9984" width="12" style="341" customWidth="1"/>
    <col min="9985" max="9985" width="5.796875" style="341" customWidth="1"/>
    <col min="9986" max="9987" width="7.69921875" style="341" customWidth="1"/>
    <col min="9988" max="9988" width="13.5" style="341" customWidth="1"/>
    <col min="9989" max="9989" width="7.69921875" style="341" customWidth="1"/>
    <col min="9990" max="9990" width="10.19921875" style="341" customWidth="1"/>
    <col min="9991" max="9991" width="18.796875" style="341" customWidth="1"/>
    <col min="9992" max="10232" width="7.69921875" style="341"/>
    <col min="10233" max="10233" width="7.69921875" style="341" customWidth="1"/>
    <col min="10234" max="10234" width="32.5" style="341" customWidth="1"/>
    <col min="10235" max="10235" width="15.5" style="341" customWidth="1"/>
    <col min="10236" max="10236" width="13.5" style="341" customWidth="1"/>
    <col min="10237" max="10237" width="14.796875" style="341" customWidth="1"/>
    <col min="10238" max="10239" width="14" style="341" customWidth="1"/>
    <col min="10240" max="10240" width="12" style="341" customWidth="1"/>
    <col min="10241" max="10241" width="5.796875" style="341" customWidth="1"/>
    <col min="10242" max="10243" width="7.69921875" style="341" customWidth="1"/>
    <col min="10244" max="10244" width="13.5" style="341" customWidth="1"/>
    <col min="10245" max="10245" width="7.69921875" style="341" customWidth="1"/>
    <col min="10246" max="10246" width="10.19921875" style="341" customWidth="1"/>
    <col min="10247" max="10247" width="18.796875" style="341" customWidth="1"/>
    <col min="10248" max="10488" width="7.69921875" style="341"/>
    <col min="10489" max="10489" width="7.69921875" style="341" customWidth="1"/>
    <col min="10490" max="10490" width="32.5" style="341" customWidth="1"/>
    <col min="10491" max="10491" width="15.5" style="341" customWidth="1"/>
    <col min="10492" max="10492" width="13.5" style="341" customWidth="1"/>
    <col min="10493" max="10493" width="14.796875" style="341" customWidth="1"/>
    <col min="10494" max="10495" width="14" style="341" customWidth="1"/>
    <col min="10496" max="10496" width="12" style="341" customWidth="1"/>
    <col min="10497" max="10497" width="5.796875" style="341" customWidth="1"/>
    <col min="10498" max="10499" width="7.69921875" style="341" customWidth="1"/>
    <col min="10500" max="10500" width="13.5" style="341" customWidth="1"/>
    <col min="10501" max="10501" width="7.69921875" style="341" customWidth="1"/>
    <col min="10502" max="10502" width="10.19921875" style="341" customWidth="1"/>
    <col min="10503" max="10503" width="18.796875" style="341" customWidth="1"/>
    <col min="10504" max="10744" width="7.69921875" style="341"/>
    <col min="10745" max="10745" width="7.69921875" style="341" customWidth="1"/>
    <col min="10746" max="10746" width="32.5" style="341" customWidth="1"/>
    <col min="10747" max="10747" width="15.5" style="341" customWidth="1"/>
    <col min="10748" max="10748" width="13.5" style="341" customWidth="1"/>
    <col min="10749" max="10749" width="14.796875" style="341" customWidth="1"/>
    <col min="10750" max="10751" width="14" style="341" customWidth="1"/>
    <col min="10752" max="10752" width="12" style="341" customWidth="1"/>
    <col min="10753" max="10753" width="5.796875" style="341" customWidth="1"/>
    <col min="10754" max="10755" width="7.69921875" style="341" customWidth="1"/>
    <col min="10756" max="10756" width="13.5" style="341" customWidth="1"/>
    <col min="10757" max="10757" width="7.69921875" style="341" customWidth="1"/>
    <col min="10758" max="10758" width="10.19921875" style="341" customWidth="1"/>
    <col min="10759" max="10759" width="18.796875" style="341" customWidth="1"/>
    <col min="10760" max="11000" width="7.69921875" style="341"/>
    <col min="11001" max="11001" width="7.69921875" style="341" customWidth="1"/>
    <col min="11002" max="11002" width="32.5" style="341" customWidth="1"/>
    <col min="11003" max="11003" width="15.5" style="341" customWidth="1"/>
    <col min="11004" max="11004" width="13.5" style="341" customWidth="1"/>
    <col min="11005" max="11005" width="14.796875" style="341" customWidth="1"/>
    <col min="11006" max="11007" width="14" style="341" customWidth="1"/>
    <col min="11008" max="11008" width="12" style="341" customWidth="1"/>
    <col min="11009" max="11009" width="5.796875" style="341" customWidth="1"/>
    <col min="11010" max="11011" width="7.69921875" style="341" customWidth="1"/>
    <col min="11012" max="11012" width="13.5" style="341" customWidth="1"/>
    <col min="11013" max="11013" width="7.69921875" style="341" customWidth="1"/>
    <col min="11014" max="11014" width="10.19921875" style="341" customWidth="1"/>
    <col min="11015" max="11015" width="18.796875" style="341" customWidth="1"/>
    <col min="11016" max="11256" width="7.69921875" style="341"/>
    <col min="11257" max="11257" width="7.69921875" style="341" customWidth="1"/>
    <col min="11258" max="11258" width="32.5" style="341" customWidth="1"/>
    <col min="11259" max="11259" width="15.5" style="341" customWidth="1"/>
    <col min="11260" max="11260" width="13.5" style="341" customWidth="1"/>
    <col min="11261" max="11261" width="14.796875" style="341" customWidth="1"/>
    <col min="11262" max="11263" width="14" style="341" customWidth="1"/>
    <col min="11264" max="11264" width="12" style="341" customWidth="1"/>
    <col min="11265" max="11265" width="5.796875" style="341" customWidth="1"/>
    <col min="11266" max="11267" width="7.69921875" style="341" customWidth="1"/>
    <col min="11268" max="11268" width="13.5" style="341" customWidth="1"/>
    <col min="11269" max="11269" width="7.69921875" style="341" customWidth="1"/>
    <col min="11270" max="11270" width="10.19921875" style="341" customWidth="1"/>
    <col min="11271" max="11271" width="18.796875" style="341" customWidth="1"/>
    <col min="11272" max="11512" width="7.69921875" style="341"/>
    <col min="11513" max="11513" width="7.69921875" style="341" customWidth="1"/>
    <col min="11514" max="11514" width="32.5" style="341" customWidth="1"/>
    <col min="11515" max="11515" width="15.5" style="341" customWidth="1"/>
    <col min="11516" max="11516" width="13.5" style="341" customWidth="1"/>
    <col min="11517" max="11517" width="14.796875" style="341" customWidth="1"/>
    <col min="11518" max="11519" width="14" style="341" customWidth="1"/>
    <col min="11520" max="11520" width="12" style="341" customWidth="1"/>
    <col min="11521" max="11521" width="5.796875" style="341" customWidth="1"/>
    <col min="11522" max="11523" width="7.69921875" style="341" customWidth="1"/>
    <col min="11524" max="11524" width="13.5" style="341" customWidth="1"/>
    <col min="11525" max="11525" width="7.69921875" style="341" customWidth="1"/>
    <col min="11526" max="11526" width="10.19921875" style="341" customWidth="1"/>
    <col min="11527" max="11527" width="18.796875" style="341" customWidth="1"/>
    <col min="11528" max="11768" width="7.69921875" style="341"/>
    <col min="11769" max="11769" width="7.69921875" style="341" customWidth="1"/>
    <col min="11770" max="11770" width="32.5" style="341" customWidth="1"/>
    <col min="11771" max="11771" width="15.5" style="341" customWidth="1"/>
    <col min="11772" max="11772" width="13.5" style="341" customWidth="1"/>
    <col min="11773" max="11773" width="14.796875" style="341" customWidth="1"/>
    <col min="11774" max="11775" width="14" style="341" customWidth="1"/>
    <col min="11776" max="11776" width="12" style="341" customWidth="1"/>
    <col min="11777" max="11777" width="5.796875" style="341" customWidth="1"/>
    <col min="11778" max="11779" width="7.69921875" style="341" customWidth="1"/>
    <col min="11780" max="11780" width="13.5" style="341" customWidth="1"/>
    <col min="11781" max="11781" width="7.69921875" style="341" customWidth="1"/>
    <col min="11782" max="11782" width="10.19921875" style="341" customWidth="1"/>
    <col min="11783" max="11783" width="18.796875" style="341" customWidth="1"/>
    <col min="11784" max="12024" width="7.69921875" style="341"/>
    <col min="12025" max="12025" width="7.69921875" style="341" customWidth="1"/>
    <col min="12026" max="12026" width="32.5" style="341" customWidth="1"/>
    <col min="12027" max="12027" width="15.5" style="341" customWidth="1"/>
    <col min="12028" max="12028" width="13.5" style="341" customWidth="1"/>
    <col min="12029" max="12029" width="14.796875" style="341" customWidth="1"/>
    <col min="12030" max="12031" width="14" style="341" customWidth="1"/>
    <col min="12032" max="12032" width="12" style="341" customWidth="1"/>
    <col min="12033" max="12033" width="5.796875" style="341" customWidth="1"/>
    <col min="12034" max="12035" width="7.69921875" style="341" customWidth="1"/>
    <col min="12036" max="12036" width="13.5" style="341" customWidth="1"/>
    <col min="12037" max="12037" width="7.69921875" style="341" customWidth="1"/>
    <col min="12038" max="12038" width="10.19921875" style="341" customWidth="1"/>
    <col min="12039" max="12039" width="18.796875" style="341" customWidth="1"/>
    <col min="12040" max="12280" width="7.69921875" style="341"/>
    <col min="12281" max="12281" width="7.69921875" style="341" customWidth="1"/>
    <col min="12282" max="12282" width="32.5" style="341" customWidth="1"/>
    <col min="12283" max="12283" width="15.5" style="341" customWidth="1"/>
    <col min="12284" max="12284" width="13.5" style="341" customWidth="1"/>
    <col min="12285" max="12285" width="14.796875" style="341" customWidth="1"/>
    <col min="12286" max="12287" width="14" style="341" customWidth="1"/>
    <col min="12288" max="12288" width="12" style="341" customWidth="1"/>
    <col min="12289" max="12289" width="5.796875" style="341" customWidth="1"/>
    <col min="12290" max="12291" width="7.69921875" style="341" customWidth="1"/>
    <col min="12292" max="12292" width="13.5" style="341" customWidth="1"/>
    <col min="12293" max="12293" width="7.69921875" style="341" customWidth="1"/>
    <col min="12294" max="12294" width="10.19921875" style="341" customWidth="1"/>
    <col min="12295" max="12295" width="18.796875" style="341" customWidth="1"/>
    <col min="12296" max="12536" width="7.69921875" style="341"/>
    <col min="12537" max="12537" width="7.69921875" style="341" customWidth="1"/>
    <col min="12538" max="12538" width="32.5" style="341" customWidth="1"/>
    <col min="12539" max="12539" width="15.5" style="341" customWidth="1"/>
    <col min="12540" max="12540" width="13.5" style="341" customWidth="1"/>
    <col min="12541" max="12541" width="14.796875" style="341" customWidth="1"/>
    <col min="12542" max="12543" width="14" style="341" customWidth="1"/>
    <col min="12544" max="12544" width="12" style="341" customWidth="1"/>
    <col min="12545" max="12545" width="5.796875" style="341" customWidth="1"/>
    <col min="12546" max="12547" width="7.69921875" style="341" customWidth="1"/>
    <col min="12548" max="12548" width="13.5" style="341" customWidth="1"/>
    <col min="12549" max="12549" width="7.69921875" style="341" customWidth="1"/>
    <col min="12550" max="12550" width="10.19921875" style="341" customWidth="1"/>
    <col min="12551" max="12551" width="18.796875" style="341" customWidth="1"/>
    <col min="12552" max="12792" width="7.69921875" style="341"/>
    <col min="12793" max="12793" width="7.69921875" style="341" customWidth="1"/>
    <col min="12794" max="12794" width="32.5" style="341" customWidth="1"/>
    <col min="12795" max="12795" width="15.5" style="341" customWidth="1"/>
    <col min="12796" max="12796" width="13.5" style="341" customWidth="1"/>
    <col min="12797" max="12797" width="14.796875" style="341" customWidth="1"/>
    <col min="12798" max="12799" width="14" style="341" customWidth="1"/>
    <col min="12800" max="12800" width="12" style="341" customWidth="1"/>
    <col min="12801" max="12801" width="5.796875" style="341" customWidth="1"/>
    <col min="12802" max="12803" width="7.69921875" style="341" customWidth="1"/>
    <col min="12804" max="12804" width="13.5" style="341" customWidth="1"/>
    <col min="12805" max="12805" width="7.69921875" style="341" customWidth="1"/>
    <col min="12806" max="12806" width="10.19921875" style="341" customWidth="1"/>
    <col min="12807" max="12807" width="18.796875" style="341" customWidth="1"/>
    <col min="12808" max="13048" width="7.69921875" style="341"/>
    <col min="13049" max="13049" width="7.69921875" style="341" customWidth="1"/>
    <col min="13050" max="13050" width="32.5" style="341" customWidth="1"/>
    <col min="13051" max="13051" width="15.5" style="341" customWidth="1"/>
    <col min="13052" max="13052" width="13.5" style="341" customWidth="1"/>
    <col min="13053" max="13053" width="14.796875" style="341" customWidth="1"/>
    <col min="13054" max="13055" width="14" style="341" customWidth="1"/>
    <col min="13056" max="13056" width="12" style="341" customWidth="1"/>
    <col min="13057" max="13057" width="5.796875" style="341" customWidth="1"/>
    <col min="13058" max="13059" width="7.69921875" style="341" customWidth="1"/>
    <col min="13060" max="13060" width="13.5" style="341" customWidth="1"/>
    <col min="13061" max="13061" width="7.69921875" style="341" customWidth="1"/>
    <col min="13062" max="13062" width="10.19921875" style="341" customWidth="1"/>
    <col min="13063" max="13063" width="18.796875" style="341" customWidth="1"/>
    <col min="13064" max="13304" width="7.69921875" style="341"/>
    <col min="13305" max="13305" width="7.69921875" style="341" customWidth="1"/>
    <col min="13306" max="13306" width="32.5" style="341" customWidth="1"/>
    <col min="13307" max="13307" width="15.5" style="341" customWidth="1"/>
    <col min="13308" max="13308" width="13.5" style="341" customWidth="1"/>
    <col min="13309" max="13309" width="14.796875" style="341" customWidth="1"/>
    <col min="13310" max="13311" width="14" style="341" customWidth="1"/>
    <col min="13312" max="13312" width="12" style="341" customWidth="1"/>
    <col min="13313" max="13313" width="5.796875" style="341" customWidth="1"/>
    <col min="13314" max="13315" width="7.69921875" style="341" customWidth="1"/>
    <col min="13316" max="13316" width="13.5" style="341" customWidth="1"/>
    <col min="13317" max="13317" width="7.69921875" style="341" customWidth="1"/>
    <col min="13318" max="13318" width="10.19921875" style="341" customWidth="1"/>
    <col min="13319" max="13319" width="18.796875" style="341" customWidth="1"/>
    <col min="13320" max="13560" width="7.69921875" style="341"/>
    <col min="13561" max="13561" width="7.69921875" style="341" customWidth="1"/>
    <col min="13562" max="13562" width="32.5" style="341" customWidth="1"/>
    <col min="13563" max="13563" width="15.5" style="341" customWidth="1"/>
    <col min="13564" max="13564" width="13.5" style="341" customWidth="1"/>
    <col min="13565" max="13565" width="14.796875" style="341" customWidth="1"/>
    <col min="13566" max="13567" width="14" style="341" customWidth="1"/>
    <col min="13568" max="13568" width="12" style="341" customWidth="1"/>
    <col min="13569" max="13569" width="5.796875" style="341" customWidth="1"/>
    <col min="13570" max="13571" width="7.69921875" style="341" customWidth="1"/>
    <col min="13572" max="13572" width="13.5" style="341" customWidth="1"/>
    <col min="13573" max="13573" width="7.69921875" style="341" customWidth="1"/>
    <col min="13574" max="13574" width="10.19921875" style="341" customWidth="1"/>
    <col min="13575" max="13575" width="18.796875" style="341" customWidth="1"/>
    <col min="13576" max="13816" width="7.69921875" style="341"/>
    <col min="13817" max="13817" width="7.69921875" style="341" customWidth="1"/>
    <col min="13818" max="13818" width="32.5" style="341" customWidth="1"/>
    <col min="13819" max="13819" width="15.5" style="341" customWidth="1"/>
    <col min="13820" max="13820" width="13.5" style="341" customWidth="1"/>
    <col min="13821" max="13821" width="14.796875" style="341" customWidth="1"/>
    <col min="13822" max="13823" width="14" style="341" customWidth="1"/>
    <col min="13824" max="13824" width="12" style="341" customWidth="1"/>
    <col min="13825" max="13825" width="5.796875" style="341" customWidth="1"/>
    <col min="13826" max="13827" width="7.69921875" style="341" customWidth="1"/>
    <col min="13828" max="13828" width="13.5" style="341" customWidth="1"/>
    <col min="13829" max="13829" width="7.69921875" style="341" customWidth="1"/>
    <col min="13830" max="13830" width="10.19921875" style="341" customWidth="1"/>
    <col min="13831" max="13831" width="18.796875" style="341" customWidth="1"/>
    <col min="13832" max="14072" width="7.69921875" style="341"/>
    <col min="14073" max="14073" width="7.69921875" style="341" customWidth="1"/>
    <col min="14074" max="14074" width="32.5" style="341" customWidth="1"/>
    <col min="14075" max="14075" width="15.5" style="341" customWidth="1"/>
    <col min="14076" max="14076" width="13.5" style="341" customWidth="1"/>
    <col min="14077" max="14077" width="14.796875" style="341" customWidth="1"/>
    <col min="14078" max="14079" width="14" style="341" customWidth="1"/>
    <col min="14080" max="14080" width="12" style="341" customWidth="1"/>
    <col min="14081" max="14081" width="5.796875" style="341" customWidth="1"/>
    <col min="14082" max="14083" width="7.69921875" style="341" customWidth="1"/>
    <col min="14084" max="14084" width="13.5" style="341" customWidth="1"/>
    <col min="14085" max="14085" width="7.69921875" style="341" customWidth="1"/>
    <col min="14086" max="14086" width="10.19921875" style="341" customWidth="1"/>
    <col min="14087" max="14087" width="18.796875" style="341" customWidth="1"/>
    <col min="14088" max="14328" width="7.69921875" style="341"/>
    <col min="14329" max="14329" width="7.69921875" style="341" customWidth="1"/>
    <col min="14330" max="14330" width="32.5" style="341" customWidth="1"/>
    <col min="14331" max="14331" width="15.5" style="341" customWidth="1"/>
    <col min="14332" max="14332" width="13.5" style="341" customWidth="1"/>
    <col min="14333" max="14333" width="14.796875" style="341" customWidth="1"/>
    <col min="14334" max="14335" width="14" style="341" customWidth="1"/>
    <col min="14336" max="14336" width="12" style="341" customWidth="1"/>
    <col min="14337" max="14337" width="5.796875" style="341" customWidth="1"/>
    <col min="14338" max="14339" width="7.69921875" style="341" customWidth="1"/>
    <col min="14340" max="14340" width="13.5" style="341" customWidth="1"/>
    <col min="14341" max="14341" width="7.69921875" style="341" customWidth="1"/>
    <col min="14342" max="14342" width="10.19921875" style="341" customWidth="1"/>
    <col min="14343" max="14343" width="18.796875" style="341" customWidth="1"/>
    <col min="14344" max="14584" width="7.69921875" style="341"/>
    <col min="14585" max="14585" width="7.69921875" style="341" customWidth="1"/>
    <col min="14586" max="14586" width="32.5" style="341" customWidth="1"/>
    <col min="14587" max="14587" width="15.5" style="341" customWidth="1"/>
    <col min="14588" max="14588" width="13.5" style="341" customWidth="1"/>
    <col min="14589" max="14589" width="14.796875" style="341" customWidth="1"/>
    <col min="14590" max="14591" width="14" style="341" customWidth="1"/>
    <col min="14592" max="14592" width="12" style="341" customWidth="1"/>
    <col min="14593" max="14593" width="5.796875" style="341" customWidth="1"/>
    <col min="14594" max="14595" width="7.69921875" style="341" customWidth="1"/>
    <col min="14596" max="14596" width="13.5" style="341" customWidth="1"/>
    <col min="14597" max="14597" width="7.69921875" style="341" customWidth="1"/>
    <col min="14598" max="14598" width="10.19921875" style="341" customWidth="1"/>
    <col min="14599" max="14599" width="18.796875" style="341" customWidth="1"/>
    <col min="14600" max="14840" width="7.69921875" style="341"/>
    <col min="14841" max="14841" width="7.69921875" style="341" customWidth="1"/>
    <col min="14842" max="14842" width="32.5" style="341" customWidth="1"/>
    <col min="14843" max="14843" width="15.5" style="341" customWidth="1"/>
    <col min="14844" max="14844" width="13.5" style="341" customWidth="1"/>
    <col min="14845" max="14845" width="14.796875" style="341" customWidth="1"/>
    <col min="14846" max="14847" width="14" style="341" customWidth="1"/>
    <col min="14848" max="14848" width="12" style="341" customWidth="1"/>
    <col min="14849" max="14849" width="5.796875" style="341" customWidth="1"/>
    <col min="14850" max="14851" width="7.69921875" style="341" customWidth="1"/>
    <col min="14852" max="14852" width="13.5" style="341" customWidth="1"/>
    <col min="14853" max="14853" width="7.69921875" style="341" customWidth="1"/>
    <col min="14854" max="14854" width="10.19921875" style="341" customWidth="1"/>
    <col min="14855" max="14855" width="18.796875" style="341" customWidth="1"/>
    <col min="14856" max="15096" width="7.69921875" style="341"/>
    <col min="15097" max="15097" width="7.69921875" style="341" customWidth="1"/>
    <col min="15098" max="15098" width="32.5" style="341" customWidth="1"/>
    <col min="15099" max="15099" width="15.5" style="341" customWidth="1"/>
    <col min="15100" max="15100" width="13.5" style="341" customWidth="1"/>
    <col min="15101" max="15101" width="14.796875" style="341" customWidth="1"/>
    <col min="15102" max="15103" width="14" style="341" customWidth="1"/>
    <col min="15104" max="15104" width="12" style="341" customWidth="1"/>
    <col min="15105" max="15105" width="5.796875" style="341" customWidth="1"/>
    <col min="15106" max="15107" width="7.69921875" style="341" customWidth="1"/>
    <col min="15108" max="15108" width="13.5" style="341" customWidth="1"/>
    <col min="15109" max="15109" width="7.69921875" style="341" customWidth="1"/>
    <col min="15110" max="15110" width="10.19921875" style="341" customWidth="1"/>
    <col min="15111" max="15111" width="18.796875" style="341" customWidth="1"/>
    <col min="15112" max="15352" width="7.69921875" style="341"/>
    <col min="15353" max="15353" width="7.69921875" style="341" customWidth="1"/>
    <col min="15354" max="15354" width="32.5" style="341" customWidth="1"/>
    <col min="15355" max="15355" width="15.5" style="341" customWidth="1"/>
    <col min="15356" max="15356" width="13.5" style="341" customWidth="1"/>
    <col min="15357" max="15357" width="14.796875" style="341" customWidth="1"/>
    <col min="15358" max="15359" width="14" style="341" customWidth="1"/>
    <col min="15360" max="15360" width="12" style="341" customWidth="1"/>
    <col min="15361" max="15361" width="5.796875" style="341" customWidth="1"/>
    <col min="15362" max="15363" width="7.69921875" style="341" customWidth="1"/>
    <col min="15364" max="15364" width="13.5" style="341" customWidth="1"/>
    <col min="15365" max="15365" width="7.69921875" style="341" customWidth="1"/>
    <col min="15366" max="15366" width="10.19921875" style="341" customWidth="1"/>
    <col min="15367" max="15367" width="18.796875" style="341" customWidth="1"/>
    <col min="15368" max="15608" width="7.69921875" style="341"/>
    <col min="15609" max="15609" width="7.69921875" style="341" customWidth="1"/>
    <col min="15610" max="15610" width="32.5" style="341" customWidth="1"/>
    <col min="15611" max="15611" width="15.5" style="341" customWidth="1"/>
    <col min="15612" max="15612" width="13.5" style="341" customWidth="1"/>
    <col min="15613" max="15613" width="14.796875" style="341" customWidth="1"/>
    <col min="15614" max="15615" width="14" style="341" customWidth="1"/>
    <col min="15616" max="15616" width="12" style="341" customWidth="1"/>
    <col min="15617" max="15617" width="5.796875" style="341" customWidth="1"/>
    <col min="15618" max="15619" width="7.69921875" style="341" customWidth="1"/>
    <col min="15620" max="15620" width="13.5" style="341" customWidth="1"/>
    <col min="15621" max="15621" width="7.69921875" style="341" customWidth="1"/>
    <col min="15622" max="15622" width="10.19921875" style="341" customWidth="1"/>
    <col min="15623" max="15623" width="18.796875" style="341" customWidth="1"/>
    <col min="15624" max="15864" width="7.69921875" style="341"/>
    <col min="15865" max="15865" width="7.69921875" style="341" customWidth="1"/>
    <col min="15866" max="15866" width="32.5" style="341" customWidth="1"/>
    <col min="15867" max="15867" width="15.5" style="341" customWidth="1"/>
    <col min="15868" max="15868" width="13.5" style="341" customWidth="1"/>
    <col min="15869" max="15869" width="14.796875" style="341" customWidth="1"/>
    <col min="15870" max="15871" width="14" style="341" customWidth="1"/>
    <col min="15872" max="15872" width="12" style="341" customWidth="1"/>
    <col min="15873" max="15873" width="5.796875" style="341" customWidth="1"/>
    <col min="15874" max="15875" width="7.69921875" style="341" customWidth="1"/>
    <col min="15876" max="15876" width="13.5" style="341" customWidth="1"/>
    <col min="15877" max="15877" width="7.69921875" style="341" customWidth="1"/>
    <col min="15878" max="15878" width="10.19921875" style="341" customWidth="1"/>
    <col min="15879" max="15879" width="18.796875" style="341" customWidth="1"/>
    <col min="15880" max="16120" width="7.69921875" style="341"/>
    <col min="16121" max="16121" width="7.69921875" style="341" customWidth="1"/>
    <col min="16122" max="16122" width="32.5" style="341" customWidth="1"/>
    <col min="16123" max="16123" width="15.5" style="341" customWidth="1"/>
    <col min="16124" max="16124" width="13.5" style="341" customWidth="1"/>
    <col min="16125" max="16125" width="14.796875" style="341" customWidth="1"/>
    <col min="16126" max="16127" width="14" style="341" customWidth="1"/>
    <col min="16128" max="16128" width="12" style="341" customWidth="1"/>
    <col min="16129" max="16129" width="5.796875" style="341" customWidth="1"/>
    <col min="16130" max="16131" width="7.69921875" style="341" customWidth="1"/>
    <col min="16132" max="16132" width="13.5" style="341" customWidth="1"/>
    <col min="16133" max="16133" width="7.69921875" style="341" customWidth="1"/>
    <col min="16134" max="16134" width="10.19921875" style="341" customWidth="1"/>
    <col min="16135" max="16135" width="18.796875" style="341" customWidth="1"/>
    <col min="16136" max="16384" width="7.69921875" style="341"/>
  </cols>
  <sheetData>
    <row r="1" spans="1:60">
      <c r="A1" s="221"/>
      <c r="B1" s="222"/>
      <c r="C1" s="221"/>
      <c r="D1" s="221"/>
      <c r="E1" s="221"/>
      <c r="F1" s="221"/>
      <c r="G1" s="221"/>
      <c r="H1" s="401" t="s">
        <v>1608</v>
      </c>
      <c r="I1" s="402"/>
      <c r="J1" s="402"/>
      <c r="K1" s="403"/>
      <c r="L1" s="401" t="s">
        <v>1609</v>
      </c>
      <c r="M1" s="402"/>
      <c r="N1" s="402"/>
      <c r="O1" s="403"/>
      <c r="P1" s="401" t="s">
        <v>1610</v>
      </c>
      <c r="Q1" s="402"/>
      <c r="R1" s="402"/>
      <c r="S1" s="403"/>
      <c r="T1" s="401" t="s">
        <v>1611</v>
      </c>
      <c r="U1" s="402"/>
      <c r="V1" s="402"/>
      <c r="W1" s="403"/>
      <c r="X1" s="401" t="s">
        <v>1612</v>
      </c>
      <c r="Y1" s="402"/>
      <c r="Z1" s="402"/>
      <c r="AA1" s="403"/>
      <c r="AB1" s="401" t="s">
        <v>1613</v>
      </c>
      <c r="AC1" s="402"/>
      <c r="AD1" s="402"/>
      <c r="AE1" s="403"/>
      <c r="AF1" s="401" t="s">
        <v>1614</v>
      </c>
      <c r="AG1" s="402"/>
      <c r="AH1" s="402"/>
      <c r="AI1" s="403"/>
      <c r="AJ1" s="401" t="s">
        <v>1615</v>
      </c>
      <c r="AK1" s="402"/>
      <c r="AL1" s="402"/>
      <c r="AM1" s="403"/>
      <c r="AN1" s="401" t="s">
        <v>1616</v>
      </c>
      <c r="AO1" s="402"/>
      <c r="AP1" s="402"/>
      <c r="AQ1" s="403"/>
      <c r="AR1" s="401" t="s">
        <v>1617</v>
      </c>
      <c r="AS1" s="402"/>
      <c r="AT1" s="402"/>
      <c r="AU1" s="403"/>
      <c r="AV1" s="401" t="s">
        <v>1618</v>
      </c>
      <c r="AW1" s="402"/>
      <c r="AX1" s="402"/>
      <c r="AY1" s="403"/>
      <c r="AZ1" s="401" t="s">
        <v>1619</v>
      </c>
      <c r="BA1" s="402"/>
      <c r="BB1" s="402"/>
      <c r="BC1" s="403"/>
      <c r="BD1" s="340" t="s">
        <v>1657</v>
      </c>
      <c r="BE1" s="398" t="s">
        <v>1669</v>
      </c>
      <c r="BF1" s="399"/>
      <c r="BG1" s="399"/>
      <c r="BH1" s="400"/>
    </row>
    <row r="2" spans="1:60" ht="18" customHeight="1">
      <c r="A2" s="221"/>
      <c r="B2" s="222" t="s">
        <v>1620</v>
      </c>
      <c r="C2" s="221"/>
      <c r="D2" s="221"/>
      <c r="E2" s="221"/>
      <c r="F2" s="221"/>
      <c r="G2" s="221"/>
      <c r="H2" s="223">
        <f>H22</f>
        <v>501.4</v>
      </c>
      <c r="I2" s="342"/>
      <c r="J2" s="342"/>
      <c r="K2" s="343"/>
      <c r="L2" s="223">
        <f>I22</f>
        <v>503.45</v>
      </c>
      <c r="M2" s="342"/>
      <c r="N2" s="342"/>
      <c r="O2" s="343"/>
      <c r="P2" s="223">
        <f>J22</f>
        <v>506.65</v>
      </c>
      <c r="Q2" s="342"/>
      <c r="R2" s="342"/>
      <c r="S2" s="343"/>
      <c r="T2" s="223">
        <f>K22</f>
        <v>510.09999999999997</v>
      </c>
      <c r="U2" s="342"/>
      <c r="V2" s="342"/>
      <c r="W2" s="343"/>
      <c r="X2" s="223">
        <f>L22</f>
        <v>516.29999999999995</v>
      </c>
      <c r="Y2" s="342"/>
      <c r="Z2" s="342"/>
      <c r="AA2" s="343"/>
      <c r="AB2" s="223">
        <f>M22</f>
        <v>521.15</v>
      </c>
      <c r="AC2" s="342"/>
      <c r="AD2" s="342"/>
      <c r="AE2" s="343"/>
      <c r="AF2" s="223">
        <f>N22</f>
        <v>528.04999999999995</v>
      </c>
      <c r="AG2" s="342"/>
      <c r="AH2" s="342"/>
      <c r="AI2" s="343"/>
      <c r="AJ2" s="223">
        <f>O22</f>
        <v>527.5</v>
      </c>
      <c r="AK2" s="342"/>
      <c r="AL2" s="342"/>
      <c r="AM2" s="343"/>
      <c r="AN2" s="223">
        <f>P22</f>
        <v>522.95000000000005</v>
      </c>
      <c r="AO2" s="342"/>
      <c r="AP2" s="342"/>
      <c r="AQ2" s="343"/>
      <c r="AR2" s="344">
        <f>Q22</f>
        <v>513.25</v>
      </c>
      <c r="AS2" s="342"/>
      <c r="AT2" s="342"/>
      <c r="AU2" s="343"/>
      <c r="AV2" s="344">
        <f>R22</f>
        <v>505.5</v>
      </c>
      <c r="AW2" s="342"/>
      <c r="AX2" s="342"/>
      <c r="AY2" s="343"/>
      <c r="AZ2" s="344">
        <f>S22</f>
        <v>500.85</v>
      </c>
      <c r="BA2" s="342"/>
      <c r="BB2" s="342"/>
      <c r="BC2" s="343"/>
      <c r="BD2" s="345"/>
      <c r="BE2" s="344">
        <f>T22</f>
        <v>554.67000000000007</v>
      </c>
      <c r="BF2" s="342"/>
      <c r="BG2" s="342"/>
      <c r="BH2" s="343"/>
    </row>
    <row r="3" spans="1:60" ht="59.4">
      <c r="A3" s="224" t="s">
        <v>24</v>
      </c>
      <c r="B3" s="224" t="s">
        <v>1621</v>
      </c>
      <c r="C3" s="225" t="s">
        <v>1622</v>
      </c>
      <c r="D3" s="225" t="s">
        <v>1623</v>
      </c>
      <c r="E3" s="224" t="s">
        <v>1624</v>
      </c>
      <c r="F3" s="225" t="s">
        <v>1625</v>
      </c>
      <c r="G3" s="225" t="s">
        <v>1626</v>
      </c>
      <c r="H3" s="225" t="s">
        <v>1627</v>
      </c>
      <c r="I3" s="225" t="s">
        <v>1628</v>
      </c>
      <c r="J3" s="225" t="s">
        <v>1629</v>
      </c>
      <c r="K3" s="225" t="s">
        <v>1630</v>
      </c>
      <c r="L3" s="225" t="s">
        <v>1627</v>
      </c>
      <c r="M3" s="225" t="s">
        <v>1628</v>
      </c>
      <c r="N3" s="225" t="s">
        <v>1629</v>
      </c>
      <c r="O3" s="225" t="s">
        <v>1630</v>
      </c>
      <c r="P3" s="225" t="s">
        <v>1627</v>
      </c>
      <c r="Q3" s="225" t="s">
        <v>1628</v>
      </c>
      <c r="R3" s="225" t="s">
        <v>1629</v>
      </c>
      <c r="S3" s="225" t="s">
        <v>1630</v>
      </c>
      <c r="T3" s="225" t="s">
        <v>1627</v>
      </c>
      <c r="U3" s="225" t="s">
        <v>1628</v>
      </c>
      <c r="V3" s="225" t="s">
        <v>1629</v>
      </c>
      <c r="W3" s="225" t="s">
        <v>1630</v>
      </c>
      <c r="X3" s="225" t="s">
        <v>1627</v>
      </c>
      <c r="Y3" s="225" t="s">
        <v>1628</v>
      </c>
      <c r="Z3" s="225" t="s">
        <v>1629</v>
      </c>
      <c r="AA3" s="225" t="s">
        <v>1630</v>
      </c>
      <c r="AB3" s="225" t="s">
        <v>1627</v>
      </c>
      <c r="AC3" s="225" t="s">
        <v>1628</v>
      </c>
      <c r="AD3" s="225" t="s">
        <v>1629</v>
      </c>
      <c r="AE3" s="225" t="s">
        <v>1630</v>
      </c>
      <c r="AF3" s="225" t="s">
        <v>1627</v>
      </c>
      <c r="AG3" s="225" t="s">
        <v>1628</v>
      </c>
      <c r="AH3" s="225" t="s">
        <v>1629</v>
      </c>
      <c r="AI3" s="225" t="s">
        <v>1630</v>
      </c>
      <c r="AJ3" s="225" t="s">
        <v>1627</v>
      </c>
      <c r="AK3" s="225" t="s">
        <v>1628</v>
      </c>
      <c r="AL3" s="225" t="s">
        <v>1629</v>
      </c>
      <c r="AM3" s="225" t="s">
        <v>1630</v>
      </c>
      <c r="AN3" s="225" t="s">
        <v>1627</v>
      </c>
      <c r="AO3" s="225" t="s">
        <v>1628</v>
      </c>
      <c r="AP3" s="225" t="s">
        <v>1629</v>
      </c>
      <c r="AQ3" s="225" t="s">
        <v>1630</v>
      </c>
      <c r="AR3" s="225" t="s">
        <v>1627</v>
      </c>
      <c r="AS3" s="225" t="s">
        <v>1628</v>
      </c>
      <c r="AT3" s="225" t="s">
        <v>1629</v>
      </c>
      <c r="AU3" s="225" t="s">
        <v>1630</v>
      </c>
      <c r="AV3" s="225" t="s">
        <v>1627</v>
      </c>
      <c r="AW3" s="225" t="s">
        <v>1628</v>
      </c>
      <c r="AX3" s="225" t="s">
        <v>1629</v>
      </c>
      <c r="AY3" s="225" t="s">
        <v>1630</v>
      </c>
      <c r="AZ3" s="225" t="s">
        <v>1627</v>
      </c>
      <c r="BA3" s="225" t="s">
        <v>1628</v>
      </c>
      <c r="BB3" s="225" t="s">
        <v>1629</v>
      </c>
      <c r="BC3" s="225" t="s">
        <v>1630</v>
      </c>
      <c r="BD3" s="346" t="s">
        <v>1658</v>
      </c>
      <c r="BE3" s="225" t="s">
        <v>1627</v>
      </c>
      <c r="BF3" s="225" t="s">
        <v>1628</v>
      </c>
      <c r="BG3" s="225" t="s">
        <v>1629</v>
      </c>
      <c r="BH3" s="225" t="s">
        <v>1630</v>
      </c>
    </row>
    <row r="4" spans="1:60">
      <c r="A4" s="226" t="s">
        <v>1687</v>
      </c>
      <c r="B4" s="226" t="s">
        <v>507</v>
      </c>
      <c r="C4" s="271">
        <v>0.55000000000000004</v>
      </c>
      <c r="D4" s="228">
        <v>62.067799999999998</v>
      </c>
      <c r="E4" s="229">
        <f>C4/D4</f>
        <v>8.8612775062109506E-3</v>
      </c>
      <c r="F4" s="230">
        <f t="shared" ref="F4:F16" si="0">E4/$E$17</f>
        <v>0.94951324553570493</v>
      </c>
      <c r="G4" s="228">
        <f t="shared" ref="G4:G17" si="1">F4</f>
        <v>0.94951324553570493</v>
      </c>
      <c r="H4" s="231">
        <f>$G4*$H29</f>
        <v>1.1331265355057712E-3</v>
      </c>
      <c r="I4" s="228">
        <f t="shared" ref="I4:I16" si="2">H4/($H$17)</f>
        <v>0.99950112561798476</v>
      </c>
      <c r="J4" s="232">
        <f>I4*$D4</f>
        <v>62.036835964631955</v>
      </c>
      <c r="K4" s="233">
        <f t="shared" ref="K4:K16" si="3">J4/$J$17</f>
        <v>0.99914735480796146</v>
      </c>
      <c r="L4" s="231">
        <f t="shared" ref="L4:L16" si="4">$G4*I29</f>
        <v>1.2946415312180797E-3</v>
      </c>
      <c r="M4" s="228">
        <f t="shared" ref="M4:M16" si="5">L4/($L$17)</f>
        <v>0.99947127682387837</v>
      </c>
      <c r="N4" s="232">
        <f>M4*$D4</f>
        <v>62.034983315649114</v>
      </c>
      <c r="O4" s="233">
        <f t="shared" ref="O4:O16" si="6">N4/$N$17</f>
        <v>0.99909635823485021</v>
      </c>
      <c r="P4" s="231">
        <f t="shared" ref="P4:P16" si="7">G4*J29</f>
        <v>1.5890732993378588E-3</v>
      </c>
      <c r="Q4" s="228">
        <f>P4/($P$17)</f>
        <v>0.99942245951023989</v>
      </c>
      <c r="R4" s="232">
        <f t="shared" ref="R4:R14" si="8">Q4*$D4</f>
        <v>62.031953332389669</v>
      </c>
      <c r="S4" s="233">
        <f t="shared" ref="S4:S16" si="9">R4/$R$17</f>
        <v>0.99901295865911999</v>
      </c>
      <c r="T4" s="231">
        <f>$G4*K29</f>
        <v>1.9738052515928584E-3</v>
      </c>
      <c r="U4" s="228">
        <f>T4/($T$17)</f>
        <v>0.99936676476788555</v>
      </c>
      <c r="V4" s="232">
        <f t="shared" ref="V4:V16" si="10">U4*$D4</f>
        <v>62.028496482260167</v>
      </c>
      <c r="W4" s="233">
        <f t="shared" ref="W4:W16" si="11">V4/$V$17</f>
        <v>0.99891781672797786</v>
      </c>
      <c r="X4" s="231">
        <f t="shared" ref="X4:X16" si="12">G4*L29</f>
        <v>2.8842002216457525E-3</v>
      </c>
      <c r="Y4" s="228">
        <f t="shared" ref="Y4:Y16" si="13">X4/($X$17)</f>
        <v>0.99925861610220235</v>
      </c>
      <c r="Z4" s="232">
        <f t="shared" ref="Z4:Z16" si="14">Y4*$D4</f>
        <v>62.021783932508271</v>
      </c>
      <c r="AA4" s="233">
        <f t="shared" ref="AA4:AA16" si="15">Z4/$Z$17</f>
        <v>0.99873309054793602</v>
      </c>
      <c r="AB4" s="231">
        <f t="shared" ref="AB4:AB16" si="16">G4*M29</f>
        <v>3.8460270770384417E-3</v>
      </c>
      <c r="AC4" s="228">
        <f t="shared" ref="AC4:AC16" si="17">AB4/($AB$17)</f>
        <v>0.99916676218477452</v>
      </c>
      <c r="AD4" s="232">
        <f t="shared" ref="AD4:AD16" si="18">AC4*$D4</f>
        <v>62.016082761932147</v>
      </c>
      <c r="AE4" s="233">
        <f t="shared" ref="AE4:AE16" si="19">AD4/$AD$17</f>
        <v>0.99857621930025064</v>
      </c>
      <c r="AF4" s="231">
        <f t="shared" ref="AF4:AF16" si="20">G4*N29</f>
        <v>5.718183185585932E-3</v>
      </c>
      <c r="AG4" s="234">
        <f t="shared" ref="AG4:AG16" si="21">AF4/($AF$17)</f>
        <v>0.99902512540844346</v>
      </c>
      <c r="AH4" s="231">
        <f t="shared" ref="AH4:AH16" si="22">AG4*$D4</f>
        <v>62.007291678826185</v>
      </c>
      <c r="AI4" s="233">
        <f t="shared" ref="AI4:AI16" si="23">AH4/$AH$17</f>
        <v>0.9983343672493562</v>
      </c>
      <c r="AJ4" s="231">
        <f t="shared" ref="AJ4:AJ16" si="24">G4*O29</f>
        <v>5.5432074033230491E-3</v>
      </c>
      <c r="AK4" s="234">
        <f t="shared" ref="AK4:AK16" si="25">AJ4/($AJ$17)</f>
        <v>0.99903688524235468</v>
      </c>
      <c r="AL4" s="231">
        <f t="shared" ref="AL4:AL16" si="26">AK4*$D4</f>
        <v>62.00802158584542</v>
      </c>
      <c r="AM4" s="233">
        <f t="shared" ref="AM4:AM16" si="27">AL4/$AL$17</f>
        <v>0.99835444591841072</v>
      </c>
      <c r="AN4" s="231">
        <f t="shared" ref="AN4:AN16" si="28">G4*P29</f>
        <v>4.2713526885605783E-3</v>
      </c>
      <c r="AO4" s="234">
        <f t="shared" ref="AO4:AO16" si="29">AN4/($AN$17)</f>
        <v>0.99913105161357818</v>
      </c>
      <c r="AP4" s="231">
        <f t="shared" ref="AP4:AP16" si="30">AO4*$D4</f>
        <v>62.013866285341244</v>
      </c>
      <c r="AQ4" s="233">
        <f t="shared" ref="AQ4:AQ16" si="31">AP4/$AP$17</f>
        <v>0.99851523708917045</v>
      </c>
      <c r="AR4" s="231">
        <f t="shared" ref="AR4:AR16" si="32">G4*Q29</f>
        <v>2.3971862292097544E-3</v>
      </c>
      <c r="AS4" s="234">
        <f t="shared" ref="AS4:AS16" si="33">AR4/($AR$17)</f>
        <v>0.99931311660022104</v>
      </c>
      <c r="AT4" s="231">
        <f t="shared" ref="AT4:AT16" si="34">AS4*$D4</f>
        <v>62.025166658519197</v>
      </c>
      <c r="AU4" s="233">
        <f t="shared" ref="AU4:AU16" si="35">AT4/$AT$17</f>
        <v>0.99882617801777906</v>
      </c>
      <c r="AV4" s="231">
        <f t="shared" ref="AV4:AV16" si="36">G4*R29</f>
        <v>1.4768880020770828E-3</v>
      </c>
      <c r="AW4" s="234">
        <f t="shared" ref="AW4:AW16" si="37">AV4/($AV$17)</f>
        <v>0.99944031672722677</v>
      </c>
      <c r="AX4" s="231">
        <f t="shared" ref="AX4:AX16" si="38">AW4*$D4</f>
        <v>62.033061690562164</v>
      </c>
      <c r="AY4" s="233">
        <f t="shared" ref="AY4:AY16" si="39">AX4/$AX$17</f>
        <v>0.99904346528673449</v>
      </c>
      <c r="AZ4" s="231">
        <f>G4*S29</f>
        <v>1.0930397629934647E-3</v>
      </c>
      <c r="BA4" s="234">
        <f t="shared" ref="BA4:BA16" si="40">AZ4/($AZ$17)</f>
        <v>0.99950894582404759</v>
      </c>
      <c r="BB4" s="231">
        <f t="shared" ref="BB4:BB16" si="41">BA4*$D4</f>
        <v>62.037321347617819</v>
      </c>
      <c r="BC4" s="233">
        <f t="shared" ref="BC4:BC16" si="42">BB4/$BB$17</f>
        <v>0.99916071596309664</v>
      </c>
      <c r="BD4" s="347">
        <f t="shared" ref="BD4:BD16" si="43">MAX(K4,O4,S4,W4,AA4,AE4,AI4,AM4,AQ4,AU4,AY4,BC4)</f>
        <v>0.99916071596309664</v>
      </c>
      <c r="BE4" s="231">
        <f>G4*T29</f>
        <v>2.3244644602284224E-2</v>
      </c>
      <c r="BF4" s="234">
        <f>BE4/($BE$17)</f>
        <v>0.9983619675603056</v>
      </c>
      <c r="BG4" s="231">
        <f>BF4*$D4</f>
        <v>61.966130930139535</v>
      </c>
      <c r="BH4" s="233">
        <f t="shared" ref="BH4:BH16" si="44">BG4/$BG$17</f>
        <v>0.9972026373128311</v>
      </c>
    </row>
    <row r="5" spans="1:60">
      <c r="A5" s="226"/>
      <c r="B5" s="226" t="s">
        <v>420</v>
      </c>
      <c r="C5" s="271">
        <v>0.05</v>
      </c>
      <c r="D5" s="228">
        <v>106.12</v>
      </c>
      <c r="E5" s="229">
        <f>C5/D5</f>
        <v>4.7116471918582736E-4</v>
      </c>
      <c r="F5" s="230">
        <f t="shared" si="0"/>
        <v>5.0486754464295153E-2</v>
      </c>
      <c r="G5" s="228">
        <f t="shared" si="1"/>
        <v>5.0486754464295153E-2</v>
      </c>
      <c r="H5" s="231">
        <f>$G5*$H30</f>
        <v>5.6556994850399876E-7</v>
      </c>
      <c r="I5" s="228">
        <f>H5/($H$17)</f>
        <v>4.9887438201518788E-4</v>
      </c>
      <c r="J5" s="232">
        <f>I5*$D5</f>
        <v>5.2940549419451741E-2</v>
      </c>
      <c r="K5" s="233">
        <f t="shared" si="3"/>
        <v>8.5264519203851342E-4</v>
      </c>
      <c r="L5" s="231">
        <f t="shared" si="4"/>
        <v>6.8486908848432358E-7</v>
      </c>
      <c r="M5" s="228">
        <f t="shared" si="5"/>
        <v>5.2872317612166026E-4</v>
      </c>
      <c r="N5" s="232">
        <f>M5*$D5</f>
        <v>5.6108103450030589E-2</v>
      </c>
      <c r="O5" s="233">
        <f t="shared" si="6"/>
        <v>9.0364176514977162E-4</v>
      </c>
      <c r="P5" s="231">
        <f t="shared" si="7"/>
        <v>9.1828451805460294E-7</v>
      </c>
      <c r="Q5" s="228">
        <f t="shared" ref="Q5:Q16" si="45">P5/($P$17)</f>
        <v>5.7754048976011352E-4</v>
      </c>
      <c r="R5" s="232">
        <f t="shared" si="8"/>
        <v>6.1288596773343251E-2</v>
      </c>
      <c r="S5" s="233">
        <f t="shared" si="9"/>
        <v>9.8704134087993487E-4</v>
      </c>
      <c r="T5" s="231">
        <f t="shared" ref="T5:T16" si="46">$G5*K30</f>
        <v>1.2506749981136124E-6</v>
      </c>
      <c r="U5" s="228">
        <f>T5/($T$17)</f>
        <v>6.3323523211432744E-4</v>
      </c>
      <c r="V5" s="232">
        <f t="shared" si="10"/>
        <v>6.719892283197243E-2</v>
      </c>
      <c r="W5" s="233">
        <f t="shared" si="11"/>
        <v>1.0821832720221344E-3</v>
      </c>
      <c r="X5" s="231">
        <f t="shared" si="12"/>
        <v>2.1398860794350976E-6</v>
      </c>
      <c r="Y5" s="228">
        <f t="shared" si="13"/>
        <v>7.4138389779768773E-4</v>
      </c>
      <c r="Z5" s="232">
        <f t="shared" si="14"/>
        <v>7.8675659234290624E-2</v>
      </c>
      <c r="AA5" s="233">
        <f t="shared" si="15"/>
        <v>1.2669094520638951E-3</v>
      </c>
      <c r="AB5" s="231">
        <f t="shared" si="16"/>
        <v>3.2073276656664087E-6</v>
      </c>
      <c r="AC5" s="228">
        <f t="shared" si="17"/>
        <v>8.3323781522548165E-4</v>
      </c>
      <c r="AD5" s="232">
        <f t="shared" si="18"/>
        <v>8.8423196951728122E-2</v>
      </c>
      <c r="AE5" s="233">
        <f t="shared" si="19"/>
        <v>1.4237806997493623E-3</v>
      </c>
      <c r="AF5" s="231">
        <f t="shared" si="20"/>
        <v>5.5799512501889408E-6</v>
      </c>
      <c r="AG5" s="234">
        <f t="shared" si="21"/>
        <v>9.748745915564434E-4</v>
      </c>
      <c r="AH5" s="231">
        <f t="shared" si="22"/>
        <v>0.10345369165596978</v>
      </c>
      <c r="AI5" s="233">
        <f t="shared" si="23"/>
        <v>1.6656327506437503E-3</v>
      </c>
      <c r="AJ5" s="231">
        <f t="shared" si="24"/>
        <v>5.3438916357268068E-6</v>
      </c>
      <c r="AK5" s="234">
        <f t="shared" si="25"/>
        <v>9.6311475764531264E-4</v>
      </c>
      <c r="AL5" s="231">
        <f t="shared" si="26"/>
        <v>0.10220573808132058</v>
      </c>
      <c r="AM5" s="233">
        <f t="shared" si="27"/>
        <v>1.6455540815891979E-3</v>
      </c>
      <c r="AN5" s="231">
        <f t="shared" si="28"/>
        <v>3.7148130073314201E-6</v>
      </c>
      <c r="AO5" s="234">
        <f t="shared" si="29"/>
        <v>8.6894838642173188E-4</v>
      </c>
      <c r="AP5" s="231">
        <f t="shared" si="30"/>
        <v>9.2212802767074192E-2</v>
      </c>
      <c r="AQ5" s="233">
        <f t="shared" si="31"/>
        <v>1.4847629108296183E-3</v>
      </c>
      <c r="AR5" s="231">
        <f t="shared" si="32"/>
        <v>1.6477192180011106E-6</v>
      </c>
      <c r="AS5" s="234">
        <f t="shared" si="33"/>
        <v>6.8688339977890475E-4</v>
      </c>
      <c r="AT5" s="231">
        <f t="shared" si="34"/>
        <v>7.289206638453738E-2</v>
      </c>
      <c r="AU5" s="233">
        <f t="shared" si="35"/>
        <v>1.1738219822209164E-3</v>
      </c>
      <c r="AV5" s="231">
        <f t="shared" si="36"/>
        <v>8.2705239791495218E-7</v>
      </c>
      <c r="AW5" s="234">
        <f t="shared" si="37"/>
        <v>5.5968327277330682E-4</v>
      </c>
      <c r="AX5" s="231">
        <f t="shared" si="38"/>
        <v>5.9393588906703321E-2</v>
      </c>
      <c r="AY5" s="233">
        <f t="shared" si="39"/>
        <v>9.5653471326559165E-4</v>
      </c>
      <c r="AZ5" s="231">
        <f t="shared" ref="AZ5:AZ16" si="47">G5*S30</f>
        <v>5.3700543886322243E-7</v>
      </c>
      <c r="BA5" s="234">
        <f t="shared" si="40"/>
        <v>4.9105417595239728E-4</v>
      </c>
      <c r="BB5" s="231">
        <f t="shared" si="41"/>
        <v>5.2110669152068405E-2</v>
      </c>
      <c r="BC5" s="233">
        <f t="shared" si="42"/>
        <v>8.3928403690331237E-4</v>
      </c>
      <c r="BD5" s="347">
        <f t="shared" si="43"/>
        <v>1.6656327506437503E-3</v>
      </c>
      <c r="BE5" s="231">
        <f t="shared" ref="BE5:BE16" si="48">G5*T30</f>
        <v>3.8137953112090856E-5</v>
      </c>
      <c r="BF5" s="234">
        <f t="shared" ref="BF5:BF16" si="49">BE5/($BE$17)</f>
        <v>1.6380324396944349E-3</v>
      </c>
      <c r="BG5" s="231">
        <f t="shared" ref="BG5:BG16" si="50">BF5*$D5</f>
        <v>0.17382800250037345</v>
      </c>
      <c r="BH5" s="233">
        <f t="shared" si="44"/>
        <v>2.7973626871688807E-3</v>
      </c>
    </row>
    <row r="6" spans="1:60">
      <c r="A6" s="226"/>
      <c r="B6" s="226" t="s">
        <v>1684</v>
      </c>
      <c r="C6" s="271">
        <f>1-C4-C5</f>
        <v>0.39999999999999997</v>
      </c>
      <c r="D6" s="228">
        <v>18.02</v>
      </c>
      <c r="E6" s="348">
        <v>0</v>
      </c>
      <c r="F6" s="230">
        <f t="shared" si="0"/>
        <v>0</v>
      </c>
      <c r="G6" s="228">
        <f t="shared" si="1"/>
        <v>0</v>
      </c>
      <c r="H6" s="231">
        <f t="shared" ref="H6:H16" si="51">$G6*$H31</f>
        <v>0</v>
      </c>
      <c r="I6" s="228">
        <f t="shared" si="2"/>
        <v>0</v>
      </c>
      <c r="J6" s="232">
        <f>I6*$D6</f>
        <v>0</v>
      </c>
      <c r="K6" s="233">
        <f t="shared" si="3"/>
        <v>0</v>
      </c>
      <c r="L6" s="231">
        <f t="shared" si="4"/>
        <v>0</v>
      </c>
      <c r="M6" s="228">
        <f t="shared" si="5"/>
        <v>0</v>
      </c>
      <c r="N6" s="232">
        <f t="shared" ref="N6:N7" si="52">M6*$D6</f>
        <v>0</v>
      </c>
      <c r="O6" s="233">
        <f t="shared" si="6"/>
        <v>0</v>
      </c>
      <c r="P6" s="231">
        <f t="shared" si="7"/>
        <v>0</v>
      </c>
      <c r="Q6" s="228">
        <f t="shared" si="45"/>
        <v>0</v>
      </c>
      <c r="R6" s="232">
        <f t="shared" si="8"/>
        <v>0</v>
      </c>
      <c r="S6" s="233">
        <f t="shared" si="9"/>
        <v>0</v>
      </c>
      <c r="T6" s="231">
        <f t="shared" si="46"/>
        <v>0</v>
      </c>
      <c r="U6" s="228">
        <f t="shared" ref="U6:U16" si="53">T6/($T$17)</f>
        <v>0</v>
      </c>
      <c r="V6" s="232">
        <f t="shared" si="10"/>
        <v>0</v>
      </c>
      <c r="W6" s="233">
        <f t="shared" si="11"/>
        <v>0</v>
      </c>
      <c r="X6" s="231">
        <f t="shared" si="12"/>
        <v>0</v>
      </c>
      <c r="Y6" s="228">
        <f t="shared" si="13"/>
        <v>0</v>
      </c>
      <c r="Z6" s="232">
        <f t="shared" si="14"/>
        <v>0</v>
      </c>
      <c r="AA6" s="233">
        <f t="shared" si="15"/>
        <v>0</v>
      </c>
      <c r="AB6" s="231">
        <f t="shared" si="16"/>
        <v>0</v>
      </c>
      <c r="AC6" s="228">
        <f t="shared" si="17"/>
        <v>0</v>
      </c>
      <c r="AD6" s="232">
        <f t="shared" si="18"/>
        <v>0</v>
      </c>
      <c r="AE6" s="233">
        <f t="shared" si="19"/>
        <v>0</v>
      </c>
      <c r="AF6" s="231">
        <f t="shared" si="20"/>
        <v>0</v>
      </c>
      <c r="AG6" s="234">
        <f t="shared" si="21"/>
        <v>0</v>
      </c>
      <c r="AH6" s="231">
        <f t="shared" si="22"/>
        <v>0</v>
      </c>
      <c r="AI6" s="233">
        <f t="shared" si="23"/>
        <v>0</v>
      </c>
      <c r="AJ6" s="231">
        <f t="shared" si="24"/>
        <v>0</v>
      </c>
      <c r="AK6" s="234">
        <f t="shared" si="25"/>
        <v>0</v>
      </c>
      <c r="AL6" s="231">
        <f t="shared" si="26"/>
        <v>0</v>
      </c>
      <c r="AM6" s="233">
        <f t="shared" si="27"/>
        <v>0</v>
      </c>
      <c r="AN6" s="231">
        <f t="shared" si="28"/>
        <v>0</v>
      </c>
      <c r="AO6" s="234">
        <f t="shared" si="29"/>
        <v>0</v>
      </c>
      <c r="AP6" s="231">
        <f t="shared" si="30"/>
        <v>0</v>
      </c>
      <c r="AQ6" s="233">
        <f t="shared" si="31"/>
        <v>0</v>
      </c>
      <c r="AR6" s="231">
        <f t="shared" si="32"/>
        <v>0</v>
      </c>
      <c r="AS6" s="234">
        <f t="shared" si="33"/>
        <v>0</v>
      </c>
      <c r="AT6" s="231">
        <f t="shared" si="34"/>
        <v>0</v>
      </c>
      <c r="AU6" s="233">
        <f t="shared" si="35"/>
        <v>0</v>
      </c>
      <c r="AV6" s="231">
        <f t="shared" si="36"/>
        <v>0</v>
      </c>
      <c r="AW6" s="234">
        <f t="shared" si="37"/>
        <v>0</v>
      </c>
      <c r="AX6" s="231">
        <f t="shared" si="38"/>
        <v>0</v>
      </c>
      <c r="AY6" s="233">
        <f t="shared" si="39"/>
        <v>0</v>
      </c>
      <c r="AZ6" s="231">
        <f t="shared" si="47"/>
        <v>0</v>
      </c>
      <c r="BA6" s="234">
        <f t="shared" si="40"/>
        <v>0</v>
      </c>
      <c r="BB6" s="231">
        <f t="shared" si="41"/>
        <v>0</v>
      </c>
      <c r="BC6" s="233">
        <f t="shared" si="42"/>
        <v>0</v>
      </c>
      <c r="BD6" s="347">
        <f t="shared" si="43"/>
        <v>0</v>
      </c>
      <c r="BE6" s="231">
        <f t="shared" si="48"/>
        <v>0</v>
      </c>
      <c r="BF6" s="234">
        <f t="shared" si="49"/>
        <v>0</v>
      </c>
      <c r="BG6" s="231">
        <f t="shared" si="50"/>
        <v>0</v>
      </c>
      <c r="BH6" s="233">
        <f t="shared" si="44"/>
        <v>0</v>
      </c>
    </row>
    <row r="7" spans="1:60" s="349" customFormat="1">
      <c r="A7" s="226"/>
      <c r="B7" s="226"/>
      <c r="C7" s="271">
        <v>0</v>
      </c>
      <c r="D7" s="348">
        <v>0</v>
      </c>
      <c r="E7" s="348">
        <v>0</v>
      </c>
      <c r="F7" s="230">
        <f t="shared" si="0"/>
        <v>0</v>
      </c>
      <c r="G7" s="228">
        <f>F7</f>
        <v>0</v>
      </c>
      <c r="H7" s="231">
        <f t="shared" si="51"/>
        <v>0</v>
      </c>
      <c r="I7" s="228">
        <f t="shared" si="2"/>
        <v>0</v>
      </c>
      <c r="J7" s="232">
        <f t="shared" ref="J7:J16" si="54">I7*$D7</f>
        <v>0</v>
      </c>
      <c r="K7" s="233">
        <f t="shared" si="3"/>
        <v>0</v>
      </c>
      <c r="L7" s="231">
        <f t="shared" si="4"/>
        <v>0</v>
      </c>
      <c r="M7" s="228">
        <f t="shared" si="5"/>
        <v>0</v>
      </c>
      <c r="N7" s="232">
        <f t="shared" si="52"/>
        <v>0</v>
      </c>
      <c r="O7" s="233">
        <f t="shared" si="6"/>
        <v>0</v>
      </c>
      <c r="P7" s="231">
        <f t="shared" si="7"/>
        <v>0</v>
      </c>
      <c r="Q7" s="228">
        <f t="shared" si="45"/>
        <v>0</v>
      </c>
      <c r="R7" s="232">
        <f t="shared" si="8"/>
        <v>0</v>
      </c>
      <c r="S7" s="233">
        <f t="shared" si="9"/>
        <v>0</v>
      </c>
      <c r="T7" s="231">
        <f t="shared" si="46"/>
        <v>0</v>
      </c>
      <c r="U7" s="228">
        <f t="shared" si="53"/>
        <v>0</v>
      </c>
      <c r="V7" s="232">
        <f t="shared" si="10"/>
        <v>0</v>
      </c>
      <c r="W7" s="233">
        <f t="shared" si="11"/>
        <v>0</v>
      </c>
      <c r="X7" s="231">
        <f t="shared" si="12"/>
        <v>0</v>
      </c>
      <c r="Y7" s="228">
        <f t="shared" si="13"/>
        <v>0</v>
      </c>
      <c r="Z7" s="232">
        <f t="shared" si="14"/>
        <v>0</v>
      </c>
      <c r="AA7" s="233">
        <f t="shared" si="15"/>
        <v>0</v>
      </c>
      <c r="AB7" s="231">
        <f t="shared" si="16"/>
        <v>0</v>
      </c>
      <c r="AC7" s="228">
        <f t="shared" si="17"/>
        <v>0</v>
      </c>
      <c r="AD7" s="232">
        <f t="shared" si="18"/>
        <v>0</v>
      </c>
      <c r="AE7" s="233">
        <f t="shared" si="19"/>
        <v>0</v>
      </c>
      <c r="AF7" s="231">
        <f t="shared" si="20"/>
        <v>0</v>
      </c>
      <c r="AG7" s="234">
        <f t="shared" si="21"/>
        <v>0</v>
      </c>
      <c r="AH7" s="231">
        <f t="shared" si="22"/>
        <v>0</v>
      </c>
      <c r="AI7" s="233">
        <f t="shared" si="23"/>
        <v>0</v>
      </c>
      <c r="AJ7" s="231">
        <f t="shared" si="24"/>
        <v>0</v>
      </c>
      <c r="AK7" s="234">
        <f t="shared" si="25"/>
        <v>0</v>
      </c>
      <c r="AL7" s="231">
        <f t="shared" si="26"/>
        <v>0</v>
      </c>
      <c r="AM7" s="233">
        <f t="shared" si="27"/>
        <v>0</v>
      </c>
      <c r="AN7" s="231">
        <f t="shared" si="28"/>
        <v>0</v>
      </c>
      <c r="AO7" s="234">
        <f t="shared" si="29"/>
        <v>0</v>
      </c>
      <c r="AP7" s="231">
        <f t="shared" si="30"/>
        <v>0</v>
      </c>
      <c r="AQ7" s="233">
        <f t="shared" si="31"/>
        <v>0</v>
      </c>
      <c r="AR7" s="231">
        <f t="shared" si="32"/>
        <v>0</v>
      </c>
      <c r="AS7" s="234">
        <f t="shared" si="33"/>
        <v>0</v>
      </c>
      <c r="AT7" s="231">
        <f t="shared" si="34"/>
        <v>0</v>
      </c>
      <c r="AU7" s="233">
        <f t="shared" si="35"/>
        <v>0</v>
      </c>
      <c r="AV7" s="231">
        <f t="shared" si="36"/>
        <v>0</v>
      </c>
      <c r="AW7" s="234">
        <f t="shared" si="37"/>
        <v>0</v>
      </c>
      <c r="AX7" s="231">
        <f t="shared" si="38"/>
        <v>0</v>
      </c>
      <c r="AY7" s="233">
        <f t="shared" si="39"/>
        <v>0</v>
      </c>
      <c r="AZ7" s="231">
        <f t="shared" si="47"/>
        <v>0</v>
      </c>
      <c r="BA7" s="234">
        <f t="shared" si="40"/>
        <v>0</v>
      </c>
      <c r="BB7" s="231">
        <f t="shared" si="41"/>
        <v>0</v>
      </c>
      <c r="BC7" s="233">
        <f t="shared" si="42"/>
        <v>0</v>
      </c>
      <c r="BD7" s="347">
        <f t="shared" si="43"/>
        <v>0</v>
      </c>
      <c r="BE7" s="231">
        <f t="shared" si="48"/>
        <v>0</v>
      </c>
      <c r="BF7" s="234">
        <f t="shared" si="49"/>
        <v>0</v>
      </c>
      <c r="BG7" s="231">
        <f t="shared" si="50"/>
        <v>0</v>
      </c>
      <c r="BH7" s="233">
        <f t="shared" si="44"/>
        <v>0</v>
      </c>
    </row>
    <row r="8" spans="1:60" s="349" customFormat="1">
      <c r="A8" s="226"/>
      <c r="B8" s="226"/>
      <c r="C8" s="271">
        <v>0</v>
      </c>
      <c r="D8" s="348">
        <v>0</v>
      </c>
      <c r="E8" s="348">
        <v>0</v>
      </c>
      <c r="F8" s="230">
        <f t="shared" si="0"/>
        <v>0</v>
      </c>
      <c r="G8" s="228">
        <f t="shared" ref="G8:G13" si="55">F8</f>
        <v>0</v>
      </c>
      <c r="H8" s="231">
        <f t="shared" si="51"/>
        <v>0</v>
      </c>
      <c r="I8" s="228">
        <f t="shared" si="2"/>
        <v>0</v>
      </c>
      <c r="J8" s="232">
        <f>I8*$D8</f>
        <v>0</v>
      </c>
      <c r="K8" s="233">
        <f t="shared" si="3"/>
        <v>0</v>
      </c>
      <c r="L8" s="231">
        <f t="shared" si="4"/>
        <v>0</v>
      </c>
      <c r="M8" s="228">
        <f t="shared" si="5"/>
        <v>0</v>
      </c>
      <c r="N8" s="232">
        <f>M8*$D8</f>
        <v>0</v>
      </c>
      <c r="O8" s="233">
        <f t="shared" si="6"/>
        <v>0</v>
      </c>
      <c r="P8" s="231">
        <f t="shared" si="7"/>
        <v>0</v>
      </c>
      <c r="Q8" s="228">
        <f t="shared" si="45"/>
        <v>0</v>
      </c>
      <c r="R8" s="232">
        <f t="shared" si="8"/>
        <v>0</v>
      </c>
      <c r="S8" s="233">
        <f t="shared" si="9"/>
        <v>0</v>
      </c>
      <c r="T8" s="231">
        <f t="shared" si="46"/>
        <v>0</v>
      </c>
      <c r="U8" s="228">
        <f t="shared" si="53"/>
        <v>0</v>
      </c>
      <c r="V8" s="232">
        <f t="shared" si="10"/>
        <v>0</v>
      </c>
      <c r="W8" s="233">
        <f t="shared" si="11"/>
        <v>0</v>
      </c>
      <c r="X8" s="231">
        <f t="shared" si="12"/>
        <v>0</v>
      </c>
      <c r="Y8" s="228">
        <f t="shared" si="13"/>
        <v>0</v>
      </c>
      <c r="Z8" s="232">
        <f t="shared" si="14"/>
        <v>0</v>
      </c>
      <c r="AA8" s="233">
        <f t="shared" si="15"/>
        <v>0</v>
      </c>
      <c r="AB8" s="231">
        <f t="shared" si="16"/>
        <v>0</v>
      </c>
      <c r="AC8" s="228">
        <f t="shared" si="17"/>
        <v>0</v>
      </c>
      <c r="AD8" s="232">
        <f t="shared" si="18"/>
        <v>0</v>
      </c>
      <c r="AE8" s="233">
        <f t="shared" si="19"/>
        <v>0</v>
      </c>
      <c r="AF8" s="231">
        <f t="shared" si="20"/>
        <v>0</v>
      </c>
      <c r="AG8" s="234">
        <f t="shared" si="21"/>
        <v>0</v>
      </c>
      <c r="AH8" s="231">
        <f t="shared" si="22"/>
        <v>0</v>
      </c>
      <c r="AI8" s="233">
        <f t="shared" si="23"/>
        <v>0</v>
      </c>
      <c r="AJ8" s="231">
        <f t="shared" si="24"/>
        <v>0</v>
      </c>
      <c r="AK8" s="234">
        <f t="shared" si="25"/>
        <v>0</v>
      </c>
      <c r="AL8" s="231">
        <f t="shared" si="26"/>
        <v>0</v>
      </c>
      <c r="AM8" s="233">
        <f t="shared" si="27"/>
        <v>0</v>
      </c>
      <c r="AN8" s="231">
        <f t="shared" si="28"/>
        <v>0</v>
      </c>
      <c r="AO8" s="234">
        <f t="shared" si="29"/>
        <v>0</v>
      </c>
      <c r="AP8" s="231">
        <f t="shared" si="30"/>
        <v>0</v>
      </c>
      <c r="AQ8" s="233">
        <f t="shared" si="31"/>
        <v>0</v>
      </c>
      <c r="AR8" s="231">
        <f t="shared" si="32"/>
        <v>0</v>
      </c>
      <c r="AS8" s="234">
        <f t="shared" si="33"/>
        <v>0</v>
      </c>
      <c r="AT8" s="231">
        <f t="shared" si="34"/>
        <v>0</v>
      </c>
      <c r="AU8" s="233">
        <f t="shared" si="35"/>
        <v>0</v>
      </c>
      <c r="AV8" s="231">
        <f t="shared" si="36"/>
        <v>0</v>
      </c>
      <c r="AW8" s="234">
        <f t="shared" si="37"/>
        <v>0</v>
      </c>
      <c r="AX8" s="231">
        <f t="shared" si="38"/>
        <v>0</v>
      </c>
      <c r="AY8" s="233">
        <f t="shared" si="39"/>
        <v>0</v>
      </c>
      <c r="AZ8" s="231">
        <f t="shared" si="47"/>
        <v>0</v>
      </c>
      <c r="BA8" s="234">
        <f t="shared" si="40"/>
        <v>0</v>
      </c>
      <c r="BB8" s="231">
        <f t="shared" si="41"/>
        <v>0</v>
      </c>
      <c r="BC8" s="233">
        <f t="shared" si="42"/>
        <v>0</v>
      </c>
      <c r="BD8" s="347">
        <f t="shared" si="43"/>
        <v>0</v>
      </c>
      <c r="BE8" s="231">
        <f t="shared" si="48"/>
        <v>0</v>
      </c>
      <c r="BF8" s="234">
        <f t="shared" si="49"/>
        <v>0</v>
      </c>
      <c r="BG8" s="231">
        <f t="shared" si="50"/>
        <v>0</v>
      </c>
      <c r="BH8" s="233">
        <f t="shared" si="44"/>
        <v>0</v>
      </c>
    </row>
    <row r="9" spans="1:60" s="349" customFormat="1">
      <c r="A9" s="226"/>
      <c r="B9" s="226"/>
      <c r="C9" s="271">
        <v>0</v>
      </c>
      <c r="D9" s="348">
        <v>0</v>
      </c>
      <c r="E9" s="348">
        <v>0</v>
      </c>
      <c r="F9" s="230">
        <f t="shared" si="0"/>
        <v>0</v>
      </c>
      <c r="G9" s="228">
        <f t="shared" si="55"/>
        <v>0</v>
      </c>
      <c r="H9" s="231">
        <f t="shared" si="51"/>
        <v>0</v>
      </c>
      <c r="I9" s="228">
        <f t="shared" si="2"/>
        <v>0</v>
      </c>
      <c r="J9" s="232">
        <f t="shared" ref="J9:J15" si="56">I9*$D9</f>
        <v>0</v>
      </c>
      <c r="K9" s="233">
        <f t="shared" si="3"/>
        <v>0</v>
      </c>
      <c r="L9" s="231">
        <f t="shared" si="4"/>
        <v>0</v>
      </c>
      <c r="M9" s="228">
        <f t="shared" si="5"/>
        <v>0</v>
      </c>
      <c r="N9" s="232">
        <f t="shared" ref="N9:N14" si="57">M9*$D9</f>
        <v>0</v>
      </c>
      <c r="O9" s="233">
        <f t="shared" si="6"/>
        <v>0</v>
      </c>
      <c r="P9" s="231">
        <f t="shared" si="7"/>
        <v>0</v>
      </c>
      <c r="Q9" s="228">
        <f t="shared" si="45"/>
        <v>0</v>
      </c>
      <c r="R9" s="232">
        <f t="shared" si="8"/>
        <v>0</v>
      </c>
      <c r="S9" s="233">
        <f t="shared" si="9"/>
        <v>0</v>
      </c>
      <c r="T9" s="231">
        <f t="shared" si="46"/>
        <v>0</v>
      </c>
      <c r="U9" s="228">
        <f t="shared" si="53"/>
        <v>0</v>
      </c>
      <c r="V9" s="232">
        <f t="shared" si="10"/>
        <v>0</v>
      </c>
      <c r="W9" s="233">
        <f t="shared" si="11"/>
        <v>0</v>
      </c>
      <c r="X9" s="231">
        <f t="shared" si="12"/>
        <v>0</v>
      </c>
      <c r="Y9" s="228">
        <f t="shared" si="13"/>
        <v>0</v>
      </c>
      <c r="Z9" s="232">
        <f t="shared" si="14"/>
        <v>0</v>
      </c>
      <c r="AA9" s="233">
        <f t="shared" si="15"/>
        <v>0</v>
      </c>
      <c r="AB9" s="231">
        <f t="shared" si="16"/>
        <v>0</v>
      </c>
      <c r="AC9" s="228">
        <f t="shared" si="17"/>
        <v>0</v>
      </c>
      <c r="AD9" s="232">
        <f t="shared" si="18"/>
        <v>0</v>
      </c>
      <c r="AE9" s="233">
        <f t="shared" si="19"/>
        <v>0</v>
      </c>
      <c r="AF9" s="231">
        <f t="shared" si="20"/>
        <v>0</v>
      </c>
      <c r="AG9" s="234">
        <f t="shared" si="21"/>
        <v>0</v>
      </c>
      <c r="AH9" s="231">
        <f t="shared" si="22"/>
        <v>0</v>
      </c>
      <c r="AI9" s="233">
        <f t="shared" si="23"/>
        <v>0</v>
      </c>
      <c r="AJ9" s="231">
        <f t="shared" si="24"/>
        <v>0</v>
      </c>
      <c r="AK9" s="234">
        <f t="shared" si="25"/>
        <v>0</v>
      </c>
      <c r="AL9" s="231">
        <f t="shared" si="26"/>
        <v>0</v>
      </c>
      <c r="AM9" s="233">
        <f t="shared" si="27"/>
        <v>0</v>
      </c>
      <c r="AN9" s="231">
        <f t="shared" si="28"/>
        <v>0</v>
      </c>
      <c r="AO9" s="234">
        <f t="shared" si="29"/>
        <v>0</v>
      </c>
      <c r="AP9" s="231">
        <f t="shared" si="30"/>
        <v>0</v>
      </c>
      <c r="AQ9" s="233">
        <f t="shared" si="31"/>
        <v>0</v>
      </c>
      <c r="AR9" s="231">
        <f t="shared" si="32"/>
        <v>0</v>
      </c>
      <c r="AS9" s="234">
        <f t="shared" si="33"/>
        <v>0</v>
      </c>
      <c r="AT9" s="231">
        <f t="shared" si="34"/>
        <v>0</v>
      </c>
      <c r="AU9" s="233">
        <f t="shared" si="35"/>
        <v>0</v>
      </c>
      <c r="AV9" s="231">
        <f t="shared" si="36"/>
        <v>0</v>
      </c>
      <c r="AW9" s="234">
        <f t="shared" si="37"/>
        <v>0</v>
      </c>
      <c r="AX9" s="231">
        <f t="shared" si="38"/>
        <v>0</v>
      </c>
      <c r="AY9" s="233">
        <f t="shared" si="39"/>
        <v>0</v>
      </c>
      <c r="AZ9" s="231">
        <f t="shared" si="47"/>
        <v>0</v>
      </c>
      <c r="BA9" s="234">
        <f t="shared" si="40"/>
        <v>0</v>
      </c>
      <c r="BB9" s="231">
        <f t="shared" si="41"/>
        <v>0</v>
      </c>
      <c r="BC9" s="233">
        <f t="shared" si="42"/>
        <v>0</v>
      </c>
      <c r="BD9" s="347">
        <f t="shared" si="43"/>
        <v>0</v>
      </c>
      <c r="BE9" s="231">
        <f t="shared" si="48"/>
        <v>0</v>
      </c>
      <c r="BF9" s="234">
        <f t="shared" si="49"/>
        <v>0</v>
      </c>
      <c r="BG9" s="231">
        <f t="shared" si="50"/>
        <v>0</v>
      </c>
      <c r="BH9" s="233">
        <f t="shared" si="44"/>
        <v>0</v>
      </c>
    </row>
    <row r="10" spans="1:60" s="349" customFormat="1">
      <c r="A10" s="226"/>
      <c r="B10" s="226"/>
      <c r="C10" s="271">
        <v>0</v>
      </c>
      <c r="D10" s="348">
        <v>0</v>
      </c>
      <c r="E10" s="348">
        <v>0</v>
      </c>
      <c r="F10" s="230">
        <f t="shared" si="0"/>
        <v>0</v>
      </c>
      <c r="G10" s="228">
        <f t="shared" si="55"/>
        <v>0</v>
      </c>
      <c r="H10" s="231">
        <f t="shared" si="51"/>
        <v>0</v>
      </c>
      <c r="I10" s="228">
        <f t="shared" si="2"/>
        <v>0</v>
      </c>
      <c r="J10" s="232">
        <f t="shared" si="56"/>
        <v>0</v>
      </c>
      <c r="K10" s="233">
        <f t="shared" si="3"/>
        <v>0</v>
      </c>
      <c r="L10" s="231">
        <f t="shared" si="4"/>
        <v>0</v>
      </c>
      <c r="M10" s="228">
        <f t="shared" si="5"/>
        <v>0</v>
      </c>
      <c r="N10" s="232">
        <f t="shared" si="57"/>
        <v>0</v>
      </c>
      <c r="O10" s="233">
        <f t="shared" si="6"/>
        <v>0</v>
      </c>
      <c r="P10" s="231">
        <f t="shared" si="7"/>
        <v>0</v>
      </c>
      <c r="Q10" s="228">
        <f t="shared" si="45"/>
        <v>0</v>
      </c>
      <c r="R10" s="232">
        <f t="shared" si="8"/>
        <v>0</v>
      </c>
      <c r="S10" s="233">
        <f t="shared" si="9"/>
        <v>0</v>
      </c>
      <c r="T10" s="231">
        <f t="shared" si="46"/>
        <v>0</v>
      </c>
      <c r="U10" s="228">
        <f t="shared" si="53"/>
        <v>0</v>
      </c>
      <c r="V10" s="232">
        <f t="shared" si="10"/>
        <v>0</v>
      </c>
      <c r="W10" s="233">
        <f t="shared" si="11"/>
        <v>0</v>
      </c>
      <c r="X10" s="231">
        <f t="shared" si="12"/>
        <v>0</v>
      </c>
      <c r="Y10" s="228">
        <f t="shared" si="13"/>
        <v>0</v>
      </c>
      <c r="Z10" s="232">
        <f t="shared" si="14"/>
        <v>0</v>
      </c>
      <c r="AA10" s="233">
        <f t="shared" si="15"/>
        <v>0</v>
      </c>
      <c r="AB10" s="231">
        <f t="shared" si="16"/>
        <v>0</v>
      </c>
      <c r="AC10" s="228">
        <f t="shared" si="17"/>
        <v>0</v>
      </c>
      <c r="AD10" s="232">
        <f t="shared" si="18"/>
        <v>0</v>
      </c>
      <c r="AE10" s="233">
        <f t="shared" si="19"/>
        <v>0</v>
      </c>
      <c r="AF10" s="231">
        <f t="shared" si="20"/>
        <v>0</v>
      </c>
      <c r="AG10" s="234">
        <f t="shared" si="21"/>
        <v>0</v>
      </c>
      <c r="AH10" s="231">
        <f t="shared" si="22"/>
        <v>0</v>
      </c>
      <c r="AI10" s="233">
        <f t="shared" si="23"/>
        <v>0</v>
      </c>
      <c r="AJ10" s="231">
        <f t="shared" si="24"/>
        <v>0</v>
      </c>
      <c r="AK10" s="234">
        <f t="shared" si="25"/>
        <v>0</v>
      </c>
      <c r="AL10" s="231">
        <f t="shared" si="26"/>
        <v>0</v>
      </c>
      <c r="AM10" s="233">
        <f t="shared" si="27"/>
        <v>0</v>
      </c>
      <c r="AN10" s="231">
        <f t="shared" si="28"/>
        <v>0</v>
      </c>
      <c r="AO10" s="234">
        <f t="shared" si="29"/>
        <v>0</v>
      </c>
      <c r="AP10" s="231">
        <f t="shared" si="30"/>
        <v>0</v>
      </c>
      <c r="AQ10" s="233">
        <f t="shared" si="31"/>
        <v>0</v>
      </c>
      <c r="AR10" s="231">
        <f t="shared" si="32"/>
        <v>0</v>
      </c>
      <c r="AS10" s="234">
        <f t="shared" si="33"/>
        <v>0</v>
      </c>
      <c r="AT10" s="231">
        <f t="shared" si="34"/>
        <v>0</v>
      </c>
      <c r="AU10" s="233">
        <f t="shared" si="35"/>
        <v>0</v>
      </c>
      <c r="AV10" s="231">
        <f t="shared" si="36"/>
        <v>0</v>
      </c>
      <c r="AW10" s="234">
        <f t="shared" si="37"/>
        <v>0</v>
      </c>
      <c r="AX10" s="231">
        <f t="shared" si="38"/>
        <v>0</v>
      </c>
      <c r="AY10" s="233">
        <f t="shared" si="39"/>
        <v>0</v>
      </c>
      <c r="AZ10" s="231">
        <f t="shared" si="47"/>
        <v>0</v>
      </c>
      <c r="BA10" s="234">
        <f t="shared" si="40"/>
        <v>0</v>
      </c>
      <c r="BB10" s="231">
        <f t="shared" si="41"/>
        <v>0</v>
      </c>
      <c r="BC10" s="233">
        <f t="shared" si="42"/>
        <v>0</v>
      </c>
      <c r="BD10" s="347">
        <f t="shared" si="43"/>
        <v>0</v>
      </c>
      <c r="BE10" s="231">
        <f t="shared" si="48"/>
        <v>0</v>
      </c>
      <c r="BF10" s="234">
        <f t="shared" si="49"/>
        <v>0</v>
      </c>
      <c r="BG10" s="231">
        <f t="shared" si="50"/>
        <v>0</v>
      </c>
      <c r="BH10" s="233">
        <f t="shared" si="44"/>
        <v>0</v>
      </c>
    </row>
    <row r="11" spans="1:60" s="349" customFormat="1">
      <c r="A11" s="226"/>
      <c r="B11" s="226"/>
      <c r="C11" s="271">
        <v>0</v>
      </c>
      <c r="D11" s="348">
        <v>0</v>
      </c>
      <c r="E11" s="348">
        <v>0</v>
      </c>
      <c r="F11" s="230">
        <f t="shared" si="0"/>
        <v>0</v>
      </c>
      <c r="G11" s="228">
        <f t="shared" si="55"/>
        <v>0</v>
      </c>
      <c r="H11" s="231">
        <f t="shared" si="51"/>
        <v>0</v>
      </c>
      <c r="I11" s="228">
        <f t="shared" si="2"/>
        <v>0</v>
      </c>
      <c r="J11" s="232">
        <f t="shared" si="56"/>
        <v>0</v>
      </c>
      <c r="K11" s="233">
        <f t="shared" si="3"/>
        <v>0</v>
      </c>
      <c r="L11" s="231">
        <f t="shared" si="4"/>
        <v>0</v>
      </c>
      <c r="M11" s="228">
        <f t="shared" si="5"/>
        <v>0</v>
      </c>
      <c r="N11" s="232">
        <f t="shared" si="57"/>
        <v>0</v>
      </c>
      <c r="O11" s="233">
        <f t="shared" si="6"/>
        <v>0</v>
      </c>
      <c r="P11" s="231">
        <f t="shared" si="7"/>
        <v>0</v>
      </c>
      <c r="Q11" s="228">
        <f t="shared" si="45"/>
        <v>0</v>
      </c>
      <c r="R11" s="232">
        <f t="shared" si="8"/>
        <v>0</v>
      </c>
      <c r="S11" s="233">
        <f t="shared" si="9"/>
        <v>0</v>
      </c>
      <c r="T11" s="231">
        <f t="shared" si="46"/>
        <v>0</v>
      </c>
      <c r="U11" s="228">
        <f t="shared" si="53"/>
        <v>0</v>
      </c>
      <c r="V11" s="232">
        <f t="shared" si="10"/>
        <v>0</v>
      </c>
      <c r="W11" s="233">
        <f t="shared" si="11"/>
        <v>0</v>
      </c>
      <c r="X11" s="231">
        <f t="shared" si="12"/>
        <v>0</v>
      </c>
      <c r="Y11" s="228">
        <f t="shared" si="13"/>
        <v>0</v>
      </c>
      <c r="Z11" s="232">
        <f t="shared" si="14"/>
        <v>0</v>
      </c>
      <c r="AA11" s="233">
        <f t="shared" si="15"/>
        <v>0</v>
      </c>
      <c r="AB11" s="231">
        <f t="shared" si="16"/>
        <v>0</v>
      </c>
      <c r="AC11" s="228">
        <f t="shared" si="17"/>
        <v>0</v>
      </c>
      <c r="AD11" s="232">
        <f t="shared" si="18"/>
        <v>0</v>
      </c>
      <c r="AE11" s="233">
        <f t="shared" si="19"/>
        <v>0</v>
      </c>
      <c r="AF11" s="231">
        <f t="shared" si="20"/>
        <v>0</v>
      </c>
      <c r="AG11" s="234">
        <f t="shared" si="21"/>
        <v>0</v>
      </c>
      <c r="AH11" s="231">
        <f t="shared" si="22"/>
        <v>0</v>
      </c>
      <c r="AI11" s="233">
        <f t="shared" si="23"/>
        <v>0</v>
      </c>
      <c r="AJ11" s="231">
        <f t="shared" si="24"/>
        <v>0</v>
      </c>
      <c r="AK11" s="234">
        <f t="shared" si="25"/>
        <v>0</v>
      </c>
      <c r="AL11" s="231">
        <f t="shared" si="26"/>
        <v>0</v>
      </c>
      <c r="AM11" s="233">
        <f t="shared" si="27"/>
        <v>0</v>
      </c>
      <c r="AN11" s="231">
        <f t="shared" si="28"/>
        <v>0</v>
      </c>
      <c r="AO11" s="234">
        <f t="shared" si="29"/>
        <v>0</v>
      </c>
      <c r="AP11" s="231">
        <f t="shared" si="30"/>
        <v>0</v>
      </c>
      <c r="AQ11" s="233">
        <f t="shared" si="31"/>
        <v>0</v>
      </c>
      <c r="AR11" s="231">
        <f t="shared" si="32"/>
        <v>0</v>
      </c>
      <c r="AS11" s="234">
        <f t="shared" si="33"/>
        <v>0</v>
      </c>
      <c r="AT11" s="231">
        <f t="shared" si="34"/>
        <v>0</v>
      </c>
      <c r="AU11" s="233">
        <f t="shared" si="35"/>
        <v>0</v>
      </c>
      <c r="AV11" s="231">
        <f t="shared" si="36"/>
        <v>0</v>
      </c>
      <c r="AW11" s="234">
        <f t="shared" si="37"/>
        <v>0</v>
      </c>
      <c r="AX11" s="231">
        <f t="shared" si="38"/>
        <v>0</v>
      </c>
      <c r="AY11" s="233">
        <f t="shared" si="39"/>
        <v>0</v>
      </c>
      <c r="AZ11" s="231">
        <f t="shared" si="47"/>
        <v>0</v>
      </c>
      <c r="BA11" s="234">
        <f t="shared" si="40"/>
        <v>0</v>
      </c>
      <c r="BB11" s="231">
        <f t="shared" si="41"/>
        <v>0</v>
      </c>
      <c r="BC11" s="233">
        <f t="shared" si="42"/>
        <v>0</v>
      </c>
      <c r="BD11" s="347">
        <f t="shared" si="43"/>
        <v>0</v>
      </c>
      <c r="BE11" s="231">
        <f t="shared" si="48"/>
        <v>0</v>
      </c>
      <c r="BF11" s="234">
        <f t="shared" si="49"/>
        <v>0</v>
      </c>
      <c r="BG11" s="231">
        <f t="shared" si="50"/>
        <v>0</v>
      </c>
      <c r="BH11" s="233">
        <f t="shared" si="44"/>
        <v>0</v>
      </c>
    </row>
    <row r="12" spans="1:60" s="349" customFormat="1">
      <c r="A12" s="226"/>
      <c r="B12" s="226"/>
      <c r="C12" s="271">
        <v>0</v>
      </c>
      <c r="D12" s="348">
        <v>0</v>
      </c>
      <c r="E12" s="348">
        <v>0</v>
      </c>
      <c r="F12" s="230">
        <f t="shared" si="0"/>
        <v>0</v>
      </c>
      <c r="G12" s="228">
        <f t="shared" si="55"/>
        <v>0</v>
      </c>
      <c r="H12" s="231">
        <f t="shared" si="51"/>
        <v>0</v>
      </c>
      <c r="I12" s="228">
        <f t="shared" si="2"/>
        <v>0</v>
      </c>
      <c r="J12" s="232">
        <f t="shared" si="56"/>
        <v>0</v>
      </c>
      <c r="K12" s="233">
        <f t="shared" si="3"/>
        <v>0</v>
      </c>
      <c r="L12" s="231">
        <f t="shared" si="4"/>
        <v>0</v>
      </c>
      <c r="M12" s="228">
        <f t="shared" si="5"/>
        <v>0</v>
      </c>
      <c r="N12" s="232">
        <f t="shared" si="57"/>
        <v>0</v>
      </c>
      <c r="O12" s="233">
        <f t="shared" si="6"/>
        <v>0</v>
      </c>
      <c r="P12" s="231">
        <f t="shared" si="7"/>
        <v>0</v>
      </c>
      <c r="Q12" s="228">
        <f t="shared" si="45"/>
        <v>0</v>
      </c>
      <c r="R12" s="232">
        <f t="shared" si="8"/>
        <v>0</v>
      </c>
      <c r="S12" s="233">
        <f t="shared" si="9"/>
        <v>0</v>
      </c>
      <c r="T12" s="231">
        <f t="shared" si="46"/>
        <v>0</v>
      </c>
      <c r="U12" s="228">
        <f t="shared" si="53"/>
        <v>0</v>
      </c>
      <c r="V12" s="232">
        <f t="shared" si="10"/>
        <v>0</v>
      </c>
      <c r="W12" s="233">
        <f t="shared" si="11"/>
        <v>0</v>
      </c>
      <c r="X12" s="231">
        <f t="shared" si="12"/>
        <v>0</v>
      </c>
      <c r="Y12" s="228">
        <f t="shared" si="13"/>
        <v>0</v>
      </c>
      <c r="Z12" s="232">
        <f t="shared" si="14"/>
        <v>0</v>
      </c>
      <c r="AA12" s="233">
        <f t="shared" si="15"/>
        <v>0</v>
      </c>
      <c r="AB12" s="231">
        <f t="shared" si="16"/>
        <v>0</v>
      </c>
      <c r="AC12" s="228">
        <f t="shared" si="17"/>
        <v>0</v>
      </c>
      <c r="AD12" s="232">
        <f t="shared" si="18"/>
        <v>0</v>
      </c>
      <c r="AE12" s="233">
        <f t="shared" si="19"/>
        <v>0</v>
      </c>
      <c r="AF12" s="231">
        <f t="shared" si="20"/>
        <v>0</v>
      </c>
      <c r="AG12" s="234">
        <f t="shared" si="21"/>
        <v>0</v>
      </c>
      <c r="AH12" s="231">
        <f t="shared" si="22"/>
        <v>0</v>
      </c>
      <c r="AI12" s="233">
        <f t="shared" si="23"/>
        <v>0</v>
      </c>
      <c r="AJ12" s="231">
        <f t="shared" si="24"/>
        <v>0</v>
      </c>
      <c r="AK12" s="234">
        <f t="shared" si="25"/>
        <v>0</v>
      </c>
      <c r="AL12" s="231">
        <f t="shared" si="26"/>
        <v>0</v>
      </c>
      <c r="AM12" s="233">
        <f t="shared" si="27"/>
        <v>0</v>
      </c>
      <c r="AN12" s="231">
        <f t="shared" si="28"/>
        <v>0</v>
      </c>
      <c r="AO12" s="234">
        <f t="shared" si="29"/>
        <v>0</v>
      </c>
      <c r="AP12" s="231">
        <f t="shared" si="30"/>
        <v>0</v>
      </c>
      <c r="AQ12" s="233">
        <f t="shared" si="31"/>
        <v>0</v>
      </c>
      <c r="AR12" s="231">
        <f t="shared" si="32"/>
        <v>0</v>
      </c>
      <c r="AS12" s="234">
        <f t="shared" si="33"/>
        <v>0</v>
      </c>
      <c r="AT12" s="231">
        <f t="shared" si="34"/>
        <v>0</v>
      </c>
      <c r="AU12" s="233">
        <f t="shared" si="35"/>
        <v>0</v>
      </c>
      <c r="AV12" s="231">
        <f t="shared" si="36"/>
        <v>0</v>
      </c>
      <c r="AW12" s="234">
        <f t="shared" si="37"/>
        <v>0</v>
      </c>
      <c r="AX12" s="231">
        <f t="shared" si="38"/>
        <v>0</v>
      </c>
      <c r="AY12" s="233">
        <f t="shared" si="39"/>
        <v>0</v>
      </c>
      <c r="AZ12" s="231">
        <f t="shared" si="47"/>
        <v>0</v>
      </c>
      <c r="BA12" s="234">
        <f t="shared" si="40"/>
        <v>0</v>
      </c>
      <c r="BB12" s="231">
        <f t="shared" si="41"/>
        <v>0</v>
      </c>
      <c r="BC12" s="233">
        <f t="shared" si="42"/>
        <v>0</v>
      </c>
      <c r="BD12" s="347">
        <f t="shared" si="43"/>
        <v>0</v>
      </c>
      <c r="BE12" s="231">
        <f t="shared" si="48"/>
        <v>0</v>
      </c>
      <c r="BF12" s="234">
        <f t="shared" si="49"/>
        <v>0</v>
      </c>
      <c r="BG12" s="231">
        <f t="shared" si="50"/>
        <v>0</v>
      </c>
      <c r="BH12" s="233">
        <f t="shared" si="44"/>
        <v>0</v>
      </c>
    </row>
    <row r="13" spans="1:60" s="349" customFormat="1">
      <c r="A13" s="226"/>
      <c r="B13" s="226"/>
      <c r="C13" s="271">
        <v>0</v>
      </c>
      <c r="D13" s="348">
        <v>0</v>
      </c>
      <c r="E13" s="348">
        <v>0</v>
      </c>
      <c r="F13" s="230">
        <f t="shared" si="0"/>
        <v>0</v>
      </c>
      <c r="G13" s="228">
        <f t="shared" si="55"/>
        <v>0</v>
      </c>
      <c r="H13" s="231">
        <f t="shared" si="51"/>
        <v>0</v>
      </c>
      <c r="I13" s="228">
        <f t="shared" si="2"/>
        <v>0</v>
      </c>
      <c r="J13" s="232">
        <f t="shared" si="56"/>
        <v>0</v>
      </c>
      <c r="K13" s="233">
        <f t="shared" si="3"/>
        <v>0</v>
      </c>
      <c r="L13" s="231">
        <f t="shared" si="4"/>
        <v>0</v>
      </c>
      <c r="M13" s="228">
        <f t="shared" si="5"/>
        <v>0</v>
      </c>
      <c r="N13" s="232">
        <f t="shared" si="57"/>
        <v>0</v>
      </c>
      <c r="O13" s="233">
        <f t="shared" si="6"/>
        <v>0</v>
      </c>
      <c r="P13" s="231">
        <f t="shared" si="7"/>
        <v>0</v>
      </c>
      <c r="Q13" s="228">
        <f t="shared" si="45"/>
        <v>0</v>
      </c>
      <c r="R13" s="232">
        <f t="shared" si="8"/>
        <v>0</v>
      </c>
      <c r="S13" s="233">
        <f t="shared" si="9"/>
        <v>0</v>
      </c>
      <c r="T13" s="231">
        <f t="shared" si="46"/>
        <v>0</v>
      </c>
      <c r="U13" s="228">
        <f t="shared" si="53"/>
        <v>0</v>
      </c>
      <c r="V13" s="232">
        <f t="shared" si="10"/>
        <v>0</v>
      </c>
      <c r="W13" s="233">
        <f t="shared" si="11"/>
        <v>0</v>
      </c>
      <c r="X13" s="231">
        <f t="shared" si="12"/>
        <v>0</v>
      </c>
      <c r="Y13" s="228">
        <f t="shared" si="13"/>
        <v>0</v>
      </c>
      <c r="Z13" s="232">
        <f t="shared" si="14"/>
        <v>0</v>
      </c>
      <c r="AA13" s="233">
        <f t="shared" si="15"/>
        <v>0</v>
      </c>
      <c r="AB13" s="231">
        <f t="shared" si="16"/>
        <v>0</v>
      </c>
      <c r="AC13" s="228">
        <f t="shared" si="17"/>
        <v>0</v>
      </c>
      <c r="AD13" s="232">
        <f t="shared" si="18"/>
        <v>0</v>
      </c>
      <c r="AE13" s="233">
        <f t="shared" si="19"/>
        <v>0</v>
      </c>
      <c r="AF13" s="231">
        <f t="shared" si="20"/>
        <v>0</v>
      </c>
      <c r="AG13" s="234">
        <f t="shared" si="21"/>
        <v>0</v>
      </c>
      <c r="AH13" s="231">
        <f t="shared" si="22"/>
        <v>0</v>
      </c>
      <c r="AI13" s="233">
        <f t="shared" si="23"/>
        <v>0</v>
      </c>
      <c r="AJ13" s="231">
        <f t="shared" si="24"/>
        <v>0</v>
      </c>
      <c r="AK13" s="234">
        <f t="shared" si="25"/>
        <v>0</v>
      </c>
      <c r="AL13" s="231">
        <f t="shared" si="26"/>
        <v>0</v>
      </c>
      <c r="AM13" s="233">
        <f t="shared" si="27"/>
        <v>0</v>
      </c>
      <c r="AN13" s="231">
        <f t="shared" si="28"/>
        <v>0</v>
      </c>
      <c r="AO13" s="234">
        <f t="shared" si="29"/>
        <v>0</v>
      </c>
      <c r="AP13" s="231">
        <f t="shared" si="30"/>
        <v>0</v>
      </c>
      <c r="AQ13" s="233">
        <f t="shared" si="31"/>
        <v>0</v>
      </c>
      <c r="AR13" s="231">
        <f t="shared" si="32"/>
        <v>0</v>
      </c>
      <c r="AS13" s="234">
        <f t="shared" si="33"/>
        <v>0</v>
      </c>
      <c r="AT13" s="231">
        <f t="shared" si="34"/>
        <v>0</v>
      </c>
      <c r="AU13" s="233">
        <f t="shared" si="35"/>
        <v>0</v>
      </c>
      <c r="AV13" s="231">
        <f t="shared" si="36"/>
        <v>0</v>
      </c>
      <c r="AW13" s="234">
        <f t="shared" si="37"/>
        <v>0</v>
      </c>
      <c r="AX13" s="231">
        <f t="shared" si="38"/>
        <v>0</v>
      </c>
      <c r="AY13" s="233">
        <f t="shared" si="39"/>
        <v>0</v>
      </c>
      <c r="AZ13" s="231">
        <f t="shared" si="47"/>
        <v>0</v>
      </c>
      <c r="BA13" s="234">
        <f t="shared" si="40"/>
        <v>0</v>
      </c>
      <c r="BB13" s="231">
        <f t="shared" si="41"/>
        <v>0</v>
      </c>
      <c r="BC13" s="233">
        <f t="shared" si="42"/>
        <v>0</v>
      </c>
      <c r="BD13" s="347">
        <f t="shared" si="43"/>
        <v>0</v>
      </c>
      <c r="BE13" s="231">
        <f t="shared" si="48"/>
        <v>0</v>
      </c>
      <c r="BF13" s="234">
        <f t="shared" si="49"/>
        <v>0</v>
      </c>
      <c r="BG13" s="231">
        <f t="shared" si="50"/>
        <v>0</v>
      </c>
      <c r="BH13" s="233">
        <f t="shared" si="44"/>
        <v>0</v>
      </c>
    </row>
    <row r="14" spans="1:60" s="349" customFormat="1">
      <c r="A14" s="226"/>
      <c r="B14" s="226"/>
      <c r="C14" s="271">
        <v>0</v>
      </c>
      <c r="D14" s="348">
        <v>0</v>
      </c>
      <c r="E14" s="348">
        <v>0</v>
      </c>
      <c r="F14" s="230">
        <f t="shared" si="0"/>
        <v>0</v>
      </c>
      <c r="G14" s="228">
        <f>F14</f>
        <v>0</v>
      </c>
      <c r="H14" s="231">
        <f t="shared" si="51"/>
        <v>0</v>
      </c>
      <c r="I14" s="228">
        <f t="shared" si="2"/>
        <v>0</v>
      </c>
      <c r="J14" s="232">
        <f t="shared" si="56"/>
        <v>0</v>
      </c>
      <c r="K14" s="233">
        <f t="shared" si="3"/>
        <v>0</v>
      </c>
      <c r="L14" s="231">
        <f t="shared" si="4"/>
        <v>0</v>
      </c>
      <c r="M14" s="228">
        <f t="shared" si="5"/>
        <v>0</v>
      </c>
      <c r="N14" s="232">
        <f t="shared" si="57"/>
        <v>0</v>
      </c>
      <c r="O14" s="233">
        <f t="shared" si="6"/>
        <v>0</v>
      </c>
      <c r="P14" s="231">
        <f t="shared" si="7"/>
        <v>0</v>
      </c>
      <c r="Q14" s="228">
        <f t="shared" si="45"/>
        <v>0</v>
      </c>
      <c r="R14" s="232">
        <f t="shared" si="8"/>
        <v>0</v>
      </c>
      <c r="S14" s="233">
        <f t="shared" si="9"/>
        <v>0</v>
      </c>
      <c r="T14" s="231">
        <f t="shared" si="46"/>
        <v>0</v>
      </c>
      <c r="U14" s="228">
        <f t="shared" si="53"/>
        <v>0</v>
      </c>
      <c r="V14" s="232">
        <f t="shared" si="10"/>
        <v>0</v>
      </c>
      <c r="W14" s="233">
        <f t="shared" si="11"/>
        <v>0</v>
      </c>
      <c r="X14" s="231">
        <f t="shared" si="12"/>
        <v>0</v>
      </c>
      <c r="Y14" s="228">
        <f t="shared" si="13"/>
        <v>0</v>
      </c>
      <c r="Z14" s="232">
        <f t="shared" si="14"/>
        <v>0</v>
      </c>
      <c r="AA14" s="233">
        <f t="shared" si="15"/>
        <v>0</v>
      </c>
      <c r="AB14" s="231">
        <f t="shared" si="16"/>
        <v>0</v>
      </c>
      <c r="AC14" s="228">
        <f t="shared" si="17"/>
        <v>0</v>
      </c>
      <c r="AD14" s="232">
        <f t="shared" si="18"/>
        <v>0</v>
      </c>
      <c r="AE14" s="233">
        <f t="shared" si="19"/>
        <v>0</v>
      </c>
      <c r="AF14" s="231">
        <f t="shared" si="20"/>
        <v>0</v>
      </c>
      <c r="AG14" s="234">
        <f t="shared" si="21"/>
        <v>0</v>
      </c>
      <c r="AH14" s="231">
        <f t="shared" si="22"/>
        <v>0</v>
      </c>
      <c r="AI14" s="233">
        <f t="shared" si="23"/>
        <v>0</v>
      </c>
      <c r="AJ14" s="231">
        <f t="shared" si="24"/>
        <v>0</v>
      </c>
      <c r="AK14" s="234">
        <f t="shared" si="25"/>
        <v>0</v>
      </c>
      <c r="AL14" s="231">
        <f t="shared" si="26"/>
        <v>0</v>
      </c>
      <c r="AM14" s="233">
        <f t="shared" si="27"/>
        <v>0</v>
      </c>
      <c r="AN14" s="231">
        <f t="shared" si="28"/>
        <v>0</v>
      </c>
      <c r="AO14" s="234">
        <f t="shared" si="29"/>
        <v>0</v>
      </c>
      <c r="AP14" s="231">
        <f t="shared" si="30"/>
        <v>0</v>
      </c>
      <c r="AQ14" s="233">
        <f t="shared" si="31"/>
        <v>0</v>
      </c>
      <c r="AR14" s="231">
        <f t="shared" si="32"/>
        <v>0</v>
      </c>
      <c r="AS14" s="234">
        <f t="shared" si="33"/>
        <v>0</v>
      </c>
      <c r="AT14" s="231">
        <f t="shared" si="34"/>
        <v>0</v>
      </c>
      <c r="AU14" s="233">
        <f t="shared" si="35"/>
        <v>0</v>
      </c>
      <c r="AV14" s="231">
        <f t="shared" si="36"/>
        <v>0</v>
      </c>
      <c r="AW14" s="234">
        <f t="shared" si="37"/>
        <v>0</v>
      </c>
      <c r="AX14" s="231">
        <f t="shared" si="38"/>
        <v>0</v>
      </c>
      <c r="AY14" s="233">
        <f t="shared" si="39"/>
        <v>0</v>
      </c>
      <c r="AZ14" s="231">
        <f t="shared" si="47"/>
        <v>0</v>
      </c>
      <c r="BA14" s="234">
        <f t="shared" si="40"/>
        <v>0</v>
      </c>
      <c r="BB14" s="231">
        <f t="shared" si="41"/>
        <v>0</v>
      </c>
      <c r="BC14" s="233">
        <f t="shared" si="42"/>
        <v>0</v>
      </c>
      <c r="BD14" s="347">
        <f t="shared" si="43"/>
        <v>0</v>
      </c>
      <c r="BE14" s="231">
        <f t="shared" si="48"/>
        <v>0</v>
      </c>
      <c r="BF14" s="234">
        <f t="shared" si="49"/>
        <v>0</v>
      </c>
      <c r="BG14" s="231">
        <f t="shared" si="50"/>
        <v>0</v>
      </c>
      <c r="BH14" s="233">
        <f t="shared" si="44"/>
        <v>0</v>
      </c>
    </row>
    <row r="15" spans="1:60" s="349" customFormat="1">
      <c r="A15" s="226"/>
      <c r="B15" s="226"/>
      <c r="C15" s="271">
        <v>0</v>
      </c>
      <c r="D15" s="348">
        <v>0</v>
      </c>
      <c r="E15" s="348">
        <v>0</v>
      </c>
      <c r="F15" s="230">
        <f t="shared" si="0"/>
        <v>0</v>
      </c>
      <c r="G15" s="228">
        <f>F15</f>
        <v>0</v>
      </c>
      <c r="H15" s="231">
        <f t="shared" si="51"/>
        <v>0</v>
      </c>
      <c r="I15" s="228">
        <f t="shared" si="2"/>
        <v>0</v>
      </c>
      <c r="J15" s="232">
        <f t="shared" si="56"/>
        <v>0</v>
      </c>
      <c r="K15" s="233">
        <f t="shared" si="3"/>
        <v>0</v>
      </c>
      <c r="L15" s="231">
        <f t="shared" si="4"/>
        <v>0</v>
      </c>
      <c r="M15" s="228">
        <f t="shared" si="5"/>
        <v>0</v>
      </c>
      <c r="N15" s="232">
        <f>M15*$D15</f>
        <v>0</v>
      </c>
      <c r="O15" s="233">
        <f t="shared" si="6"/>
        <v>0</v>
      </c>
      <c r="P15" s="231">
        <f t="shared" si="7"/>
        <v>0</v>
      </c>
      <c r="Q15" s="228">
        <f t="shared" si="45"/>
        <v>0</v>
      </c>
      <c r="R15" s="232">
        <f>Q15*$D15</f>
        <v>0</v>
      </c>
      <c r="S15" s="233">
        <f t="shared" si="9"/>
        <v>0</v>
      </c>
      <c r="T15" s="231">
        <f t="shared" si="46"/>
        <v>0</v>
      </c>
      <c r="U15" s="228">
        <f t="shared" si="53"/>
        <v>0</v>
      </c>
      <c r="V15" s="232">
        <f t="shared" si="10"/>
        <v>0</v>
      </c>
      <c r="W15" s="233">
        <f t="shared" si="11"/>
        <v>0</v>
      </c>
      <c r="X15" s="231">
        <f t="shared" si="12"/>
        <v>0</v>
      </c>
      <c r="Y15" s="228">
        <f t="shared" si="13"/>
        <v>0</v>
      </c>
      <c r="Z15" s="232">
        <f t="shared" si="14"/>
        <v>0</v>
      </c>
      <c r="AA15" s="233">
        <f t="shared" si="15"/>
        <v>0</v>
      </c>
      <c r="AB15" s="231">
        <f t="shared" si="16"/>
        <v>0</v>
      </c>
      <c r="AC15" s="228">
        <f t="shared" si="17"/>
        <v>0</v>
      </c>
      <c r="AD15" s="232">
        <f t="shared" si="18"/>
        <v>0</v>
      </c>
      <c r="AE15" s="233">
        <f t="shared" si="19"/>
        <v>0</v>
      </c>
      <c r="AF15" s="231">
        <f t="shared" si="20"/>
        <v>0</v>
      </c>
      <c r="AG15" s="234">
        <f t="shared" si="21"/>
        <v>0</v>
      </c>
      <c r="AH15" s="231">
        <f t="shared" si="22"/>
        <v>0</v>
      </c>
      <c r="AI15" s="233">
        <f t="shared" si="23"/>
        <v>0</v>
      </c>
      <c r="AJ15" s="231">
        <f t="shared" si="24"/>
        <v>0</v>
      </c>
      <c r="AK15" s="234">
        <f t="shared" si="25"/>
        <v>0</v>
      </c>
      <c r="AL15" s="231">
        <f t="shared" si="26"/>
        <v>0</v>
      </c>
      <c r="AM15" s="233">
        <f t="shared" si="27"/>
        <v>0</v>
      </c>
      <c r="AN15" s="231">
        <f t="shared" si="28"/>
        <v>0</v>
      </c>
      <c r="AO15" s="234">
        <f t="shared" si="29"/>
        <v>0</v>
      </c>
      <c r="AP15" s="231">
        <f t="shared" si="30"/>
        <v>0</v>
      </c>
      <c r="AQ15" s="233">
        <f t="shared" si="31"/>
        <v>0</v>
      </c>
      <c r="AR15" s="231">
        <f t="shared" si="32"/>
        <v>0</v>
      </c>
      <c r="AS15" s="234">
        <f t="shared" si="33"/>
        <v>0</v>
      </c>
      <c r="AT15" s="231">
        <f t="shared" si="34"/>
        <v>0</v>
      </c>
      <c r="AU15" s="233">
        <f t="shared" si="35"/>
        <v>0</v>
      </c>
      <c r="AV15" s="231">
        <f t="shared" si="36"/>
        <v>0</v>
      </c>
      <c r="AW15" s="234">
        <f t="shared" si="37"/>
        <v>0</v>
      </c>
      <c r="AX15" s="231">
        <f t="shared" si="38"/>
        <v>0</v>
      </c>
      <c r="AY15" s="233">
        <f t="shared" si="39"/>
        <v>0</v>
      </c>
      <c r="AZ15" s="231">
        <f t="shared" si="47"/>
        <v>0</v>
      </c>
      <c r="BA15" s="234">
        <f t="shared" si="40"/>
        <v>0</v>
      </c>
      <c r="BB15" s="231">
        <f t="shared" si="41"/>
        <v>0</v>
      </c>
      <c r="BC15" s="233">
        <f t="shared" si="42"/>
        <v>0</v>
      </c>
      <c r="BD15" s="347">
        <f t="shared" si="43"/>
        <v>0</v>
      </c>
      <c r="BE15" s="231">
        <f t="shared" si="48"/>
        <v>0</v>
      </c>
      <c r="BF15" s="234">
        <f t="shared" si="49"/>
        <v>0</v>
      </c>
      <c r="BG15" s="231">
        <f>BF15*$D15</f>
        <v>0</v>
      </c>
      <c r="BH15" s="233">
        <f t="shared" si="44"/>
        <v>0</v>
      </c>
    </row>
    <row r="16" spans="1:60" s="349" customFormat="1">
      <c r="A16" s="226"/>
      <c r="B16" s="226"/>
      <c r="C16" s="271">
        <v>0</v>
      </c>
      <c r="D16" s="348">
        <v>0</v>
      </c>
      <c r="E16" s="348">
        <v>0</v>
      </c>
      <c r="F16" s="230">
        <f t="shared" si="0"/>
        <v>0</v>
      </c>
      <c r="G16" s="228">
        <f>F16</f>
        <v>0</v>
      </c>
      <c r="H16" s="231">
        <f t="shared" si="51"/>
        <v>0</v>
      </c>
      <c r="I16" s="228">
        <f t="shared" si="2"/>
        <v>0</v>
      </c>
      <c r="J16" s="232">
        <f t="shared" si="54"/>
        <v>0</v>
      </c>
      <c r="K16" s="233">
        <f t="shared" si="3"/>
        <v>0</v>
      </c>
      <c r="L16" s="231">
        <f t="shared" si="4"/>
        <v>0</v>
      </c>
      <c r="M16" s="228">
        <f t="shared" si="5"/>
        <v>0</v>
      </c>
      <c r="N16" s="232">
        <f>M16*$D16</f>
        <v>0</v>
      </c>
      <c r="O16" s="233">
        <f t="shared" si="6"/>
        <v>0</v>
      </c>
      <c r="P16" s="231">
        <f t="shared" si="7"/>
        <v>0</v>
      </c>
      <c r="Q16" s="228">
        <f t="shared" si="45"/>
        <v>0</v>
      </c>
      <c r="R16" s="232">
        <f>Q16*$D16</f>
        <v>0</v>
      </c>
      <c r="S16" s="233">
        <f t="shared" si="9"/>
        <v>0</v>
      </c>
      <c r="T16" s="231">
        <f t="shared" si="46"/>
        <v>0</v>
      </c>
      <c r="U16" s="228">
        <f t="shared" si="53"/>
        <v>0</v>
      </c>
      <c r="V16" s="232">
        <f t="shared" si="10"/>
        <v>0</v>
      </c>
      <c r="W16" s="233">
        <f t="shared" si="11"/>
        <v>0</v>
      </c>
      <c r="X16" s="231">
        <f t="shared" si="12"/>
        <v>0</v>
      </c>
      <c r="Y16" s="228">
        <f t="shared" si="13"/>
        <v>0</v>
      </c>
      <c r="Z16" s="232">
        <f t="shared" si="14"/>
        <v>0</v>
      </c>
      <c r="AA16" s="233">
        <f t="shared" si="15"/>
        <v>0</v>
      </c>
      <c r="AB16" s="231">
        <f t="shared" si="16"/>
        <v>0</v>
      </c>
      <c r="AC16" s="228">
        <f t="shared" si="17"/>
        <v>0</v>
      </c>
      <c r="AD16" s="232">
        <f t="shared" si="18"/>
        <v>0</v>
      </c>
      <c r="AE16" s="233">
        <f t="shared" si="19"/>
        <v>0</v>
      </c>
      <c r="AF16" s="231">
        <f t="shared" si="20"/>
        <v>0</v>
      </c>
      <c r="AG16" s="234">
        <f t="shared" si="21"/>
        <v>0</v>
      </c>
      <c r="AH16" s="231">
        <f t="shared" si="22"/>
        <v>0</v>
      </c>
      <c r="AI16" s="233">
        <f t="shared" si="23"/>
        <v>0</v>
      </c>
      <c r="AJ16" s="231">
        <f t="shared" si="24"/>
        <v>0</v>
      </c>
      <c r="AK16" s="234">
        <f t="shared" si="25"/>
        <v>0</v>
      </c>
      <c r="AL16" s="231">
        <f t="shared" si="26"/>
        <v>0</v>
      </c>
      <c r="AM16" s="233">
        <f t="shared" si="27"/>
        <v>0</v>
      </c>
      <c r="AN16" s="231">
        <f t="shared" si="28"/>
        <v>0</v>
      </c>
      <c r="AO16" s="234">
        <f t="shared" si="29"/>
        <v>0</v>
      </c>
      <c r="AP16" s="231">
        <f t="shared" si="30"/>
        <v>0</v>
      </c>
      <c r="AQ16" s="233">
        <f t="shared" si="31"/>
        <v>0</v>
      </c>
      <c r="AR16" s="231">
        <f t="shared" si="32"/>
        <v>0</v>
      </c>
      <c r="AS16" s="234">
        <f t="shared" si="33"/>
        <v>0</v>
      </c>
      <c r="AT16" s="231">
        <f t="shared" si="34"/>
        <v>0</v>
      </c>
      <c r="AU16" s="233">
        <f t="shared" si="35"/>
        <v>0</v>
      </c>
      <c r="AV16" s="231">
        <f t="shared" si="36"/>
        <v>0</v>
      </c>
      <c r="AW16" s="234">
        <f t="shared" si="37"/>
        <v>0</v>
      </c>
      <c r="AX16" s="231">
        <f t="shared" si="38"/>
        <v>0</v>
      </c>
      <c r="AY16" s="233">
        <f t="shared" si="39"/>
        <v>0</v>
      </c>
      <c r="AZ16" s="231">
        <f t="shared" si="47"/>
        <v>0</v>
      </c>
      <c r="BA16" s="234">
        <f t="shared" si="40"/>
        <v>0</v>
      </c>
      <c r="BB16" s="231">
        <f t="shared" si="41"/>
        <v>0</v>
      </c>
      <c r="BC16" s="233">
        <f t="shared" si="42"/>
        <v>0</v>
      </c>
      <c r="BD16" s="347">
        <f t="shared" si="43"/>
        <v>0</v>
      </c>
      <c r="BE16" s="231">
        <f t="shared" si="48"/>
        <v>0</v>
      </c>
      <c r="BF16" s="234">
        <f t="shared" si="49"/>
        <v>0</v>
      </c>
      <c r="BG16" s="231">
        <f t="shared" si="50"/>
        <v>0</v>
      </c>
      <c r="BH16" s="233">
        <f t="shared" si="44"/>
        <v>0</v>
      </c>
    </row>
    <row r="17" spans="1:60" s="349" customFormat="1">
      <c r="A17" s="237"/>
      <c r="B17" s="237"/>
      <c r="C17" s="238"/>
      <c r="D17" s="239"/>
      <c r="E17" s="240">
        <f>SUM(E4:E16)</f>
        <v>9.3324422253967775E-3</v>
      </c>
      <c r="F17" s="241">
        <f>SUM(F4:F16)</f>
        <v>1</v>
      </c>
      <c r="G17" s="239">
        <f t="shared" si="1"/>
        <v>1</v>
      </c>
      <c r="H17" s="242">
        <f>SUM(H4:H16)</f>
        <v>1.1336921054542752E-3</v>
      </c>
      <c r="I17" s="239">
        <f>SUM(I4:I16)</f>
        <v>1</v>
      </c>
      <c r="J17" s="243">
        <f t="shared" ref="J17:S17" si="58">SUM(J4:J16)</f>
        <v>62.089776514051408</v>
      </c>
      <c r="K17" s="241">
        <f t="shared" si="58"/>
        <v>1</v>
      </c>
      <c r="L17" s="242">
        <f t="shared" si="58"/>
        <v>1.295326400306564E-3</v>
      </c>
      <c r="M17" s="239">
        <f t="shared" si="58"/>
        <v>1</v>
      </c>
      <c r="N17" s="243">
        <f>SUM(N4:N16)</f>
        <v>62.091091419099143</v>
      </c>
      <c r="O17" s="241">
        <f t="shared" si="58"/>
        <v>1</v>
      </c>
      <c r="P17" s="242">
        <f t="shared" si="58"/>
        <v>1.5899915838559135E-3</v>
      </c>
      <c r="Q17" s="239">
        <f t="shared" si="58"/>
        <v>1</v>
      </c>
      <c r="R17" s="243">
        <f t="shared" si="58"/>
        <v>62.093241929163014</v>
      </c>
      <c r="S17" s="241">
        <f t="shared" si="58"/>
        <v>0.99999999999999989</v>
      </c>
      <c r="T17" s="242">
        <f>SUM(T4:T16)</f>
        <v>1.9750559265909722E-3</v>
      </c>
      <c r="U17" s="239">
        <f>SUM(U4:U16)</f>
        <v>0.99999999999999989</v>
      </c>
      <c r="V17" s="243">
        <f t="shared" ref="V17:BC17" si="59">SUM(V4:V16)</f>
        <v>62.095695405092137</v>
      </c>
      <c r="W17" s="241">
        <f t="shared" si="59"/>
        <v>1</v>
      </c>
      <c r="X17" s="242">
        <f t="shared" si="59"/>
        <v>2.8863401077251875E-3</v>
      </c>
      <c r="Y17" s="239">
        <f t="shared" si="59"/>
        <v>1</v>
      </c>
      <c r="Z17" s="243">
        <f t="shared" si="59"/>
        <v>62.100459591742563</v>
      </c>
      <c r="AA17" s="241">
        <f t="shared" si="59"/>
        <v>0.99999999999999989</v>
      </c>
      <c r="AB17" s="242">
        <f t="shared" si="59"/>
        <v>3.8492344047041083E-3</v>
      </c>
      <c r="AC17" s="239">
        <f t="shared" si="59"/>
        <v>1</v>
      </c>
      <c r="AD17" s="243">
        <f t="shared" si="59"/>
        <v>62.104505958883877</v>
      </c>
      <c r="AE17" s="241">
        <f t="shared" si="59"/>
        <v>1</v>
      </c>
      <c r="AF17" s="242">
        <f t="shared" si="59"/>
        <v>5.7237631368361212E-3</v>
      </c>
      <c r="AG17" s="239">
        <f t="shared" si="59"/>
        <v>0.99999999999999989</v>
      </c>
      <c r="AH17" s="243">
        <f t="shared" si="59"/>
        <v>62.110745370482157</v>
      </c>
      <c r="AI17" s="241">
        <f t="shared" si="59"/>
        <v>1</v>
      </c>
      <c r="AJ17" s="242">
        <f t="shared" si="59"/>
        <v>5.5485512949587758E-3</v>
      </c>
      <c r="AK17" s="239">
        <f t="shared" si="59"/>
        <v>1</v>
      </c>
      <c r="AL17" s="243">
        <f t="shared" si="59"/>
        <v>62.110227323926743</v>
      </c>
      <c r="AM17" s="241">
        <f t="shared" si="59"/>
        <v>0.99999999999999989</v>
      </c>
      <c r="AN17" s="242">
        <f t="shared" si="59"/>
        <v>4.2750675015679101E-3</v>
      </c>
      <c r="AO17" s="239">
        <f t="shared" si="59"/>
        <v>0.99999999999999989</v>
      </c>
      <c r="AP17" s="243">
        <f t="shared" si="59"/>
        <v>62.106079088108316</v>
      </c>
      <c r="AQ17" s="241">
        <f t="shared" si="59"/>
        <v>1</v>
      </c>
      <c r="AR17" s="242">
        <f t="shared" si="59"/>
        <v>2.3988339484277556E-3</v>
      </c>
      <c r="AS17" s="239">
        <f t="shared" si="59"/>
        <v>1</v>
      </c>
      <c r="AT17" s="243">
        <f t="shared" si="59"/>
        <v>62.098058724903737</v>
      </c>
      <c r="AU17" s="241">
        <f t="shared" si="59"/>
        <v>1</v>
      </c>
      <c r="AV17" s="242">
        <f t="shared" si="59"/>
        <v>1.4777150544749978E-3</v>
      </c>
      <c r="AW17" s="239">
        <f t="shared" si="59"/>
        <v>1</v>
      </c>
      <c r="AX17" s="243">
        <f t="shared" si="59"/>
        <v>62.092455279468865</v>
      </c>
      <c r="AY17" s="241">
        <f t="shared" si="59"/>
        <v>1</v>
      </c>
      <c r="AZ17" s="242">
        <f t="shared" si="59"/>
        <v>1.0935767684323279E-3</v>
      </c>
      <c r="BA17" s="239">
        <f t="shared" si="59"/>
        <v>1</v>
      </c>
      <c r="BB17" s="243">
        <f t="shared" si="59"/>
        <v>62.089432016769891</v>
      </c>
      <c r="BC17" s="241">
        <f t="shared" si="59"/>
        <v>1</v>
      </c>
      <c r="BD17" s="238">
        <f>SUM(BD4:BD16)</f>
        <v>1.0008263487137403</v>
      </c>
      <c r="BE17" s="242">
        <f t="shared" ref="BE17:BH17" si="60">SUM(BE4:BE16)</f>
        <v>2.3282782555396314E-2</v>
      </c>
      <c r="BF17" s="239">
        <f t="shared" si="60"/>
        <v>1</v>
      </c>
      <c r="BG17" s="243">
        <f t="shared" si="60"/>
        <v>62.139958932639907</v>
      </c>
      <c r="BH17" s="241">
        <f t="shared" si="60"/>
        <v>1</v>
      </c>
    </row>
    <row r="18" spans="1:60" s="349" customFormat="1">
      <c r="A18" s="221"/>
      <c r="B18" s="244"/>
      <c r="C18" s="221"/>
      <c r="D18" s="221"/>
      <c r="E18" s="221"/>
      <c r="F18" s="221"/>
      <c r="G18" s="221"/>
      <c r="H18" s="350">
        <f>H17/101.325*14.696</f>
        <v>1.644287113916213E-4</v>
      </c>
      <c r="I18" s="246" t="s">
        <v>1634</v>
      </c>
      <c r="J18" s="247"/>
      <c r="K18" s="248"/>
      <c r="L18" s="350">
        <f>L17/101.325*14.696</f>
        <v>1.8787186557024687E-4</v>
      </c>
      <c r="M18" s="246" t="s">
        <v>1634</v>
      </c>
      <c r="N18" s="247"/>
      <c r="O18" s="248"/>
      <c r="P18" s="350">
        <f>P17/101.325*14.696</f>
        <v>2.3060958614701705E-4</v>
      </c>
      <c r="Q18" s="246" t="s">
        <v>1634</v>
      </c>
      <c r="R18" s="247"/>
      <c r="S18" s="248"/>
      <c r="T18" s="350">
        <f>T17/101.325*14.696</f>
        <v>2.864586419657629E-4</v>
      </c>
      <c r="U18" s="246" t="s">
        <v>1634</v>
      </c>
      <c r="V18" s="247"/>
      <c r="W18" s="248"/>
      <c r="X18" s="350">
        <f>X17/101.325*14.696</f>
        <v>4.1862969872321102E-4</v>
      </c>
      <c r="Y18" s="246" t="s">
        <v>1634</v>
      </c>
      <c r="Z18" s="247"/>
      <c r="AA18" s="248"/>
      <c r="AB18" s="350">
        <f>AB17/101.325*14.696</f>
        <v>5.5828619601807619E-4</v>
      </c>
      <c r="AC18" s="246" t="s">
        <v>1634</v>
      </c>
      <c r="AD18" s="247"/>
      <c r="AE18" s="248"/>
      <c r="AF18" s="350">
        <f>AF17/101.325*14.696</f>
        <v>8.3016455029798794E-4</v>
      </c>
      <c r="AG18" s="246" t="s">
        <v>1634</v>
      </c>
      <c r="AH18" s="247"/>
      <c r="AI18" s="248"/>
      <c r="AJ18" s="350">
        <f>AJ17/101.325*14.696</f>
        <v>8.0475213255084296E-4</v>
      </c>
      <c r="AK18" s="246" t="s">
        <v>1634</v>
      </c>
      <c r="AL18" s="247"/>
      <c r="AM18" s="248"/>
      <c r="AN18" s="350">
        <f>AN17/101.325*14.696</f>
        <v>6.2004828031622997E-4</v>
      </c>
      <c r="AO18" s="246" t="s">
        <v>1634</v>
      </c>
      <c r="AP18" s="247"/>
      <c r="AQ18" s="248"/>
      <c r="AR18" s="350">
        <f>AR17/101.325*14.696</f>
        <v>3.4792266179219631E-4</v>
      </c>
      <c r="AS18" s="246" t="s">
        <v>1634</v>
      </c>
      <c r="AT18" s="247"/>
      <c r="AU18" s="248"/>
      <c r="AV18" s="350">
        <f>AV17/101.325*14.696</f>
        <v>2.1432519556441714E-4</v>
      </c>
      <c r="AW18" s="246" t="s">
        <v>1634</v>
      </c>
      <c r="AX18" s="247"/>
      <c r="AY18" s="248"/>
      <c r="AZ18" s="350">
        <f>AZ17/101.325*14.696</f>
        <v>1.5861045338150988E-4</v>
      </c>
      <c r="BA18" s="246" t="s">
        <v>1634</v>
      </c>
      <c r="BB18" s="247"/>
      <c r="BC18" s="248"/>
      <c r="BD18" s="247"/>
      <c r="BE18" s="350">
        <f>BE17/101.325*14.696</f>
        <v>3.3768938804254055E-3</v>
      </c>
      <c r="BF18" s="246" t="s">
        <v>1634</v>
      </c>
      <c r="BG18" s="247"/>
      <c r="BH18" s="248"/>
    </row>
    <row r="19" spans="1:60" s="349" customFormat="1">
      <c r="A19" s="221"/>
      <c r="B19" s="221"/>
      <c r="C19" s="221"/>
      <c r="D19" s="221"/>
      <c r="E19" s="221"/>
      <c r="F19" s="221"/>
      <c r="G19" s="221"/>
      <c r="H19" s="221"/>
      <c r="I19" s="221"/>
      <c r="J19" s="221"/>
      <c r="K19" s="221"/>
      <c r="L19" s="221"/>
      <c r="M19" s="221"/>
      <c r="N19" s="221"/>
    </row>
    <row r="20" spans="1:60" s="349" customFormat="1">
      <c r="A20" s="221"/>
      <c r="B20" s="221"/>
      <c r="C20" s="221"/>
      <c r="D20" s="221"/>
      <c r="E20" s="221"/>
      <c r="F20" s="221"/>
      <c r="G20" s="221"/>
      <c r="H20" s="221"/>
      <c r="I20" s="221"/>
      <c r="J20" s="221"/>
      <c r="K20" s="221"/>
      <c r="L20" s="221"/>
      <c r="M20" s="221"/>
      <c r="N20" s="221"/>
    </row>
    <row r="21" spans="1:60" s="349" customFormat="1">
      <c r="A21" s="221"/>
      <c r="B21" s="221"/>
      <c r="C21" s="221"/>
      <c r="D21" s="221"/>
      <c r="E21" s="221"/>
      <c r="F21" s="221"/>
      <c r="G21" s="221"/>
      <c r="H21" s="221"/>
      <c r="I21" s="221"/>
      <c r="J21" s="221"/>
      <c r="K21" s="221"/>
      <c r="L21" s="221"/>
      <c r="M21" s="221"/>
      <c r="N21" s="221"/>
      <c r="T21" s="349" t="s">
        <v>1659</v>
      </c>
    </row>
    <row r="22" spans="1:60" s="349" customFormat="1" ht="18" customHeight="1">
      <c r="A22" s="221"/>
      <c r="B22" s="222" t="s">
        <v>1636</v>
      </c>
      <c r="C22" s="349">
        <f>CONVERT(C23,"C","Rank")</f>
        <v>536.66999999999996</v>
      </c>
      <c r="D22" s="221" t="s">
        <v>1637</v>
      </c>
      <c r="E22" s="221"/>
      <c r="F22" s="221"/>
      <c r="G22" s="221" t="s">
        <v>1637</v>
      </c>
      <c r="H22" s="351">
        <v>501.4</v>
      </c>
      <c r="I22" s="352">
        <v>503.45</v>
      </c>
      <c r="J22" s="352">
        <v>506.65</v>
      </c>
      <c r="K22" s="352">
        <v>510.09999999999997</v>
      </c>
      <c r="L22" s="352">
        <v>516.29999999999995</v>
      </c>
      <c r="M22" s="352">
        <v>521.15</v>
      </c>
      <c r="N22" s="352">
        <v>528.04999999999995</v>
      </c>
      <c r="O22" s="352">
        <v>527.5</v>
      </c>
      <c r="P22" s="352">
        <v>522.95000000000005</v>
      </c>
      <c r="Q22" s="352">
        <v>513.25</v>
      </c>
      <c r="R22" s="352">
        <v>505.5</v>
      </c>
      <c r="S22" s="352">
        <v>500.85</v>
      </c>
      <c r="T22" s="353">
        <f>459.67+95</f>
        <v>554.67000000000007</v>
      </c>
    </row>
    <row r="23" spans="1:60" s="349" customFormat="1">
      <c r="A23" s="221"/>
      <c r="B23" s="226" t="s">
        <v>1638</v>
      </c>
      <c r="C23" s="228">
        <v>25</v>
      </c>
      <c r="D23" s="354" t="s">
        <v>1639</v>
      </c>
      <c r="E23" s="221"/>
      <c r="F23" s="221"/>
      <c r="G23" s="221" t="s">
        <v>1640</v>
      </c>
      <c r="H23" s="355">
        <f>CONVERT(H22,"Rank", "C")</f>
        <v>5.4055555555555657</v>
      </c>
      <c r="I23" s="355">
        <f t="shared" ref="I23:P23" si="61">CONVERT(I22,"Rank", "C")</f>
        <v>6.5444444444444798</v>
      </c>
      <c r="J23" s="355">
        <f t="shared" si="61"/>
        <v>8.3222222222222513</v>
      </c>
      <c r="K23" s="355">
        <f t="shared" si="61"/>
        <v>10.23888888888888</v>
      </c>
      <c r="L23" s="355">
        <f t="shared" si="61"/>
        <v>13.683333333333337</v>
      </c>
      <c r="M23" s="355">
        <f t="shared" si="61"/>
        <v>16.377777777777794</v>
      </c>
      <c r="N23" s="355">
        <f t="shared" si="61"/>
        <v>20.211111111111109</v>
      </c>
      <c r="O23" s="355">
        <f t="shared" si="61"/>
        <v>19.905555555555566</v>
      </c>
      <c r="P23" s="355">
        <f t="shared" si="61"/>
        <v>17.377777777777794</v>
      </c>
      <c r="Q23" s="355">
        <f>CONVERT(Q22,"Rank", "C")</f>
        <v>11.98888888888888</v>
      </c>
      <c r="R23" s="355">
        <f>CONVERT(R22,"Rank", "C")</f>
        <v>7.6833333333333371</v>
      </c>
      <c r="S23" s="355">
        <f>CONVERT(S22,"Rank", "C")</f>
        <v>5.1000000000000227</v>
      </c>
      <c r="T23" s="355">
        <f>CONVERT(T22,"Rank", "C")</f>
        <v>35.000000000000057</v>
      </c>
    </row>
    <row r="24" spans="1:60" s="349" customFormat="1">
      <c r="A24" s="221"/>
      <c r="B24" s="226" t="s">
        <v>1641</v>
      </c>
      <c r="C24" s="354">
        <f>760*(1/760)*101.325</f>
        <v>101.325</v>
      </c>
      <c r="D24" s="354" t="s">
        <v>1642</v>
      </c>
      <c r="E24" s="221"/>
      <c r="F24" s="221"/>
      <c r="G24" s="221" t="s">
        <v>1634</v>
      </c>
      <c r="H24" s="360">
        <f>H18</f>
        <v>1.644287113916213E-4</v>
      </c>
      <c r="I24" s="360">
        <f>L18</f>
        <v>1.8787186557024687E-4</v>
      </c>
      <c r="J24" s="360">
        <f>P18</f>
        <v>2.3060958614701705E-4</v>
      </c>
      <c r="K24" s="360">
        <f>T18</f>
        <v>2.864586419657629E-4</v>
      </c>
      <c r="L24" s="360">
        <f>X18</f>
        <v>4.1862969872321102E-4</v>
      </c>
      <c r="M24" s="360">
        <f>AB18</f>
        <v>5.5828619601807619E-4</v>
      </c>
      <c r="N24" s="360">
        <f>AF18</f>
        <v>8.3016455029798794E-4</v>
      </c>
      <c r="O24" s="360">
        <f>AJ18</f>
        <v>8.0475213255084296E-4</v>
      </c>
      <c r="P24" s="360">
        <f>AN18</f>
        <v>6.2004828031622997E-4</v>
      </c>
      <c r="Q24" s="360">
        <f>AR18</f>
        <v>3.4792266179219631E-4</v>
      </c>
      <c r="R24" s="360">
        <f>AV18</f>
        <v>2.1432519556441714E-4</v>
      </c>
      <c r="S24" s="360">
        <f>AZ18</f>
        <v>1.5861045338150988E-4</v>
      </c>
      <c r="T24" s="360">
        <f>BE18</f>
        <v>3.3768938804254055E-3</v>
      </c>
    </row>
    <row r="25" spans="1:60" s="349" customFormat="1">
      <c r="A25" s="221"/>
      <c r="B25" s="221"/>
      <c r="C25" s="221"/>
      <c r="D25" s="221"/>
      <c r="E25" s="221"/>
      <c r="F25" s="221"/>
      <c r="G25" s="221" t="s">
        <v>1643</v>
      </c>
      <c r="H25" s="357">
        <f>J17</f>
        <v>62.089776514051408</v>
      </c>
      <c r="I25" s="357">
        <f>N17</f>
        <v>62.091091419099143</v>
      </c>
      <c r="J25" s="357">
        <f>R17</f>
        <v>62.093241929163014</v>
      </c>
      <c r="K25" s="357">
        <f>V17</f>
        <v>62.095695405092137</v>
      </c>
      <c r="L25" s="357">
        <f>Z17</f>
        <v>62.100459591742563</v>
      </c>
      <c r="M25" s="357">
        <f>AD17</f>
        <v>62.104505958883877</v>
      </c>
      <c r="N25" s="357">
        <f>AH17</f>
        <v>62.110745370482157</v>
      </c>
      <c r="O25" s="357">
        <f>AL17</f>
        <v>62.110227323926743</v>
      </c>
      <c r="P25" s="357">
        <f>AP17</f>
        <v>62.106079088108316</v>
      </c>
      <c r="Q25" s="357">
        <f>AT17</f>
        <v>62.098058724903737</v>
      </c>
      <c r="R25" s="357">
        <f>AX17</f>
        <v>62.092455279468865</v>
      </c>
      <c r="S25" s="358">
        <f>BB17</f>
        <v>62.089432016769891</v>
      </c>
      <c r="T25" s="358">
        <f>BC17</f>
        <v>1</v>
      </c>
    </row>
    <row r="26" spans="1:60" s="349" customFormat="1" ht="18" customHeight="1">
      <c r="A26" s="221"/>
      <c r="B26" s="222" t="s">
        <v>1644</v>
      </c>
      <c r="C26" s="221"/>
      <c r="D26" s="221"/>
      <c r="E26" s="221"/>
      <c r="F26" s="221"/>
      <c r="G26" s="221"/>
      <c r="H26" s="221"/>
      <c r="I26" s="221"/>
      <c r="J26" s="221"/>
      <c r="K26" s="221"/>
      <c r="L26" s="221"/>
      <c r="M26" s="221"/>
      <c r="N26" s="221"/>
    </row>
    <row r="27" spans="1:60" s="349" customFormat="1" ht="16.2">
      <c r="A27" s="393" t="s">
        <v>24</v>
      </c>
      <c r="B27" s="393" t="s">
        <v>1621</v>
      </c>
      <c r="C27" s="395" t="s">
        <v>1645</v>
      </c>
      <c r="D27" s="396"/>
      <c r="E27" s="397"/>
      <c r="F27" s="395" t="s">
        <v>1685</v>
      </c>
      <c r="G27" s="397"/>
      <c r="H27" s="221"/>
      <c r="I27" s="221"/>
      <c r="J27" s="221"/>
      <c r="K27" s="221"/>
      <c r="L27" s="221"/>
      <c r="M27" s="221"/>
      <c r="N27" s="221"/>
    </row>
    <row r="28" spans="1:60" s="349" customFormat="1">
      <c r="A28" s="394"/>
      <c r="B28" s="394"/>
      <c r="C28" s="224" t="s">
        <v>1646</v>
      </c>
      <c r="D28" s="224" t="s">
        <v>1647</v>
      </c>
      <c r="E28" s="224" t="s">
        <v>1640</v>
      </c>
      <c r="F28" s="224" t="s">
        <v>1642</v>
      </c>
      <c r="G28" s="224" t="s">
        <v>1686</v>
      </c>
      <c r="H28" s="249" t="s">
        <v>1642</v>
      </c>
      <c r="I28" s="249" t="s">
        <v>1642</v>
      </c>
      <c r="J28" s="249" t="s">
        <v>1642</v>
      </c>
      <c r="K28" s="249" t="s">
        <v>1642</v>
      </c>
      <c r="L28" s="249" t="s">
        <v>1642</v>
      </c>
      <c r="M28" s="249" t="s">
        <v>1642</v>
      </c>
      <c r="N28" s="249" t="s">
        <v>1642</v>
      </c>
      <c r="O28" s="249" t="s">
        <v>1642</v>
      </c>
      <c r="P28" s="249" t="s">
        <v>1642</v>
      </c>
      <c r="Q28" s="249" t="s">
        <v>1642</v>
      </c>
      <c r="R28" s="249" t="s">
        <v>1642</v>
      </c>
      <c r="S28" s="249" t="s">
        <v>1642</v>
      </c>
      <c r="T28" s="249" t="s">
        <v>1642</v>
      </c>
    </row>
    <row r="29" spans="1:60" s="349" customFormat="1">
      <c r="A29" s="226" t="s">
        <v>1687</v>
      </c>
      <c r="B29" s="226" t="s">
        <v>507</v>
      </c>
      <c r="C29" s="228">
        <v>4.9701199999999996</v>
      </c>
      <c r="D29" s="228">
        <v>1914.951</v>
      </c>
      <c r="E29" s="228">
        <v>-84.995999999999995</v>
      </c>
      <c r="F29" s="250">
        <f>(10^($C29-($D29/($E29+$C$23+273.15))))*100</f>
        <v>9.6880218418842513E-3</v>
      </c>
      <c r="G29" s="251">
        <f t="shared" ref="G29" si="62">F29*(1/101.325)*760</f>
        <v>7.2666139647984518E-2</v>
      </c>
      <c r="H29" s="361">
        <f>(10^($C29-($D29/($E29+H$23+273.15))))*100</f>
        <v>1.1933762281183067E-3</v>
      </c>
      <c r="I29" s="361">
        <f t="shared" ref="I29:S29" si="63">(10^($C29-($D29/($E29+I$23+273.15))))*100</f>
        <v>1.3634791692533549E-3</v>
      </c>
      <c r="J29" s="361">
        <f t="shared" si="63"/>
        <v>1.6735662264946302E-3</v>
      </c>
      <c r="K29" s="361">
        <f t="shared" si="63"/>
        <v>2.0787548366207986E-3</v>
      </c>
      <c r="L29" s="361">
        <f t="shared" si="63"/>
        <v>3.0375565956623578E-3</v>
      </c>
      <c r="M29" s="361">
        <f t="shared" si="63"/>
        <v>4.0505249348770861E-3</v>
      </c>
      <c r="N29" s="361">
        <f t="shared" si="63"/>
        <v>6.0222258219892405E-3</v>
      </c>
      <c r="O29" s="361">
        <f t="shared" si="63"/>
        <v>5.8379463681895588E-3</v>
      </c>
      <c r="P29" s="361">
        <f t="shared" si="63"/>
        <v>4.4984656176657424E-3</v>
      </c>
      <c r="Q29" s="361">
        <f t="shared" si="63"/>
        <v>2.5246474869945476E-3</v>
      </c>
      <c r="R29" s="361">
        <f t="shared" si="63"/>
        <v>1.5554159028543502E-3</v>
      </c>
      <c r="S29" s="361">
        <f t="shared" si="63"/>
        <v>1.1511579939854169E-3</v>
      </c>
      <c r="T29" s="361">
        <f>(10^($C29-($D29/($E29+T$23+273.15))))*100</f>
        <v>2.4480590146133088E-2</v>
      </c>
    </row>
    <row r="30" spans="1:60" s="349" customFormat="1">
      <c r="A30" s="226"/>
      <c r="B30" s="226" t="s">
        <v>420</v>
      </c>
      <c r="C30" s="228">
        <v>17.032599999999999</v>
      </c>
      <c r="D30" s="228">
        <v>4122.5200000000004</v>
      </c>
      <c r="E30" s="228">
        <v>-122.5</v>
      </c>
      <c r="F30" s="362">
        <f>(EXP(($C30-($D30/($E30+$C$23+273.15)))))*0.13332239</f>
        <v>2.1337323484393203E-4</v>
      </c>
      <c r="G30" s="234">
        <f>F30*(1/101.325)*760</f>
        <v>1.6004308757107163E-3</v>
      </c>
      <c r="H30" s="362">
        <f>(EXP($C30-($D30/($E30+H23+273.15))))*0.13332239</f>
        <v>1.1202343159213704E-5</v>
      </c>
      <c r="I30" s="362">
        <f t="shared" ref="I30:T30" si="64">(EXP($C30-($D30/($E30+I23+273.15))))*0.13332239</f>
        <v>1.3565322147389597E-5</v>
      </c>
      <c r="J30" s="362">
        <f t="shared" si="64"/>
        <v>1.8188622497095252E-5</v>
      </c>
      <c r="K30" s="362">
        <f t="shared" si="64"/>
        <v>2.4772339029994589E-5</v>
      </c>
      <c r="L30" s="362">
        <f t="shared" si="64"/>
        <v>4.2385098866841419E-5</v>
      </c>
      <c r="M30" s="362">
        <f t="shared" si="64"/>
        <v>6.3528101572357356E-5</v>
      </c>
      <c r="N30" s="362">
        <f t="shared" si="64"/>
        <v>1.1052307301977889E-4</v>
      </c>
      <c r="O30" s="362">
        <f t="shared" si="64"/>
        <v>1.0584739883618527E-4</v>
      </c>
      <c r="P30" s="362">
        <f t="shared" si="64"/>
        <v>7.3579952737080399E-5</v>
      </c>
      <c r="Q30" s="362">
        <f t="shared" si="64"/>
        <v>3.2636663526596817E-5</v>
      </c>
      <c r="R30" s="362">
        <f t="shared" si="64"/>
        <v>1.6381571893274576E-5</v>
      </c>
      <c r="S30" s="362">
        <f t="shared" si="64"/>
        <v>1.063656090713851E-5</v>
      </c>
      <c r="T30" s="362">
        <f t="shared" si="64"/>
        <v>7.5540512589420815E-4</v>
      </c>
    </row>
    <row r="31" spans="1:60" s="349" customFormat="1">
      <c r="A31" s="226"/>
      <c r="B31" s="226" t="s">
        <v>1684</v>
      </c>
      <c r="C31" s="228">
        <v>16.288599999999999</v>
      </c>
      <c r="D31" s="228">
        <v>-3816.44</v>
      </c>
      <c r="E31" s="228">
        <v>-46.13</v>
      </c>
      <c r="F31" s="251">
        <f>EXP(C31+(D31/($C$23+273.15+E31)))</f>
        <v>3.1430657674250053</v>
      </c>
      <c r="G31" s="251">
        <f>F31*(1/101.325)*760</f>
        <v>23.574931983646721</v>
      </c>
      <c r="H31" s="251">
        <f>EXP($C31+($D31/(H$23+273.15+$E31)))</f>
        <v>0.87682026131340229</v>
      </c>
      <c r="I31" s="251">
        <f t="shared" ref="I31:T31" si="65">EXP($C31+($D31/(I$23+273.15+$E31)))</f>
        <v>0.94991092643066777</v>
      </c>
      <c r="J31" s="251">
        <f t="shared" si="65"/>
        <v>1.0747041178651626</v>
      </c>
      <c r="K31" s="251">
        <f t="shared" si="65"/>
        <v>1.2251322784277454</v>
      </c>
      <c r="L31" s="251">
        <f t="shared" si="65"/>
        <v>1.5422335214604233</v>
      </c>
      <c r="M31" s="251">
        <f t="shared" si="65"/>
        <v>1.8381371745101498</v>
      </c>
      <c r="N31" s="251">
        <f t="shared" si="65"/>
        <v>2.3440252298601809</v>
      </c>
      <c r="O31" s="251">
        <f t="shared" si="65"/>
        <v>2.2996745383820021</v>
      </c>
      <c r="P31" s="251">
        <f t="shared" si="65"/>
        <v>1.9599319080691389</v>
      </c>
      <c r="Q31" s="251">
        <f t="shared" si="65"/>
        <v>1.3782652906627835</v>
      </c>
      <c r="R31" s="251">
        <f t="shared" si="65"/>
        <v>1.0282950070300969</v>
      </c>
      <c r="S31" s="251">
        <f t="shared" si="65"/>
        <v>0.85807128284561973</v>
      </c>
      <c r="T31" s="251">
        <f t="shared" si="65"/>
        <v>5.6021305522577673</v>
      </c>
    </row>
    <row r="32" spans="1:60" s="349" customFormat="1">
      <c r="A32" s="226"/>
      <c r="B32" s="226"/>
      <c r="C32" s="228"/>
      <c r="D32" s="228"/>
      <c r="E32" s="228"/>
      <c r="F32" s="251"/>
      <c r="G32" s="251"/>
      <c r="H32" s="251"/>
      <c r="I32" s="251"/>
      <c r="J32" s="251"/>
      <c r="K32" s="251"/>
      <c r="L32" s="251"/>
      <c r="M32" s="251"/>
      <c r="N32" s="251"/>
      <c r="O32" s="251"/>
      <c r="P32" s="251"/>
      <c r="Q32" s="251"/>
      <c r="R32" s="251"/>
      <c r="S32" s="251"/>
      <c r="T32" s="251"/>
    </row>
    <row r="33" spans="1:55" s="349" customFormat="1">
      <c r="A33" s="226"/>
      <c r="B33" s="226"/>
      <c r="C33" s="228"/>
      <c r="D33" s="228"/>
      <c r="E33" s="228"/>
      <c r="F33" s="251"/>
      <c r="G33" s="251"/>
      <c r="H33" s="251"/>
      <c r="I33" s="251"/>
      <c r="J33" s="251"/>
      <c r="K33" s="251"/>
      <c r="L33" s="251"/>
      <c r="M33" s="251"/>
      <c r="N33" s="251"/>
      <c r="O33" s="251"/>
      <c r="P33" s="251"/>
      <c r="Q33" s="251"/>
      <c r="R33" s="251"/>
      <c r="S33" s="251"/>
      <c r="T33" s="251"/>
    </row>
    <row r="34" spans="1:55" s="349" customFormat="1">
      <c r="A34" s="226"/>
      <c r="B34" s="226"/>
      <c r="C34" s="228"/>
      <c r="D34" s="228"/>
      <c r="E34" s="228"/>
      <c r="F34" s="251"/>
      <c r="G34" s="251"/>
      <c r="H34" s="251"/>
      <c r="I34" s="251"/>
      <c r="J34" s="251"/>
      <c r="K34" s="251"/>
      <c r="L34" s="251"/>
      <c r="M34" s="251"/>
      <c r="N34" s="251"/>
      <c r="O34" s="251"/>
      <c r="P34" s="251"/>
      <c r="Q34" s="251"/>
      <c r="R34" s="251"/>
      <c r="S34" s="251"/>
      <c r="T34" s="251"/>
    </row>
    <row r="35" spans="1:55" s="349" customFormat="1">
      <c r="A35" s="226"/>
      <c r="B35" s="226"/>
      <c r="C35" s="228"/>
      <c r="D35" s="228"/>
      <c r="E35" s="228"/>
      <c r="F35" s="251"/>
      <c r="G35" s="251"/>
      <c r="H35" s="251"/>
      <c r="I35" s="251"/>
      <c r="J35" s="251"/>
      <c r="K35" s="251"/>
      <c r="L35" s="251"/>
      <c r="M35" s="251"/>
      <c r="N35" s="251"/>
      <c r="O35" s="251"/>
      <c r="P35" s="251"/>
      <c r="Q35" s="251"/>
      <c r="R35" s="251"/>
      <c r="S35" s="251"/>
      <c r="T35" s="251"/>
    </row>
    <row r="36" spans="1:55" s="349" customFormat="1">
      <c r="A36" s="226"/>
      <c r="B36" s="226"/>
      <c r="C36" s="228"/>
      <c r="D36" s="228"/>
      <c r="E36" s="228"/>
      <c r="F36" s="251"/>
      <c r="G36" s="251"/>
      <c r="H36" s="251"/>
      <c r="I36" s="251"/>
      <c r="J36" s="251"/>
      <c r="K36" s="251"/>
      <c r="L36" s="251"/>
      <c r="M36" s="251"/>
      <c r="N36" s="251"/>
      <c r="O36" s="251"/>
      <c r="P36" s="251"/>
      <c r="Q36" s="251"/>
      <c r="R36" s="251"/>
      <c r="S36" s="251"/>
      <c r="T36" s="251"/>
    </row>
    <row r="37" spans="1:55" s="349" customFormat="1">
      <c r="A37" s="226"/>
      <c r="B37" s="226"/>
      <c r="C37" s="228"/>
      <c r="D37" s="228"/>
      <c r="E37" s="228"/>
      <c r="F37" s="251"/>
      <c r="G37" s="251"/>
      <c r="H37" s="251"/>
      <c r="I37" s="251"/>
      <c r="J37" s="251"/>
      <c r="K37" s="251"/>
      <c r="L37" s="251"/>
      <c r="M37" s="251"/>
      <c r="N37" s="251"/>
      <c r="O37" s="251"/>
      <c r="P37" s="251"/>
      <c r="Q37" s="251"/>
      <c r="R37" s="251"/>
      <c r="S37" s="251"/>
      <c r="T37" s="251"/>
    </row>
    <row r="38" spans="1:55" s="349" customFormat="1">
      <c r="A38" s="226"/>
      <c r="B38" s="226"/>
      <c r="C38" s="228"/>
      <c r="D38" s="228"/>
      <c r="E38" s="228"/>
      <c r="F38" s="251"/>
      <c r="G38" s="251"/>
      <c r="H38" s="251"/>
      <c r="I38" s="251"/>
      <c r="J38" s="251"/>
      <c r="K38" s="251"/>
      <c r="L38" s="251"/>
      <c r="M38" s="251"/>
      <c r="N38" s="251"/>
      <c r="O38" s="251"/>
      <c r="P38" s="251"/>
      <c r="Q38" s="251"/>
      <c r="R38" s="251"/>
      <c r="S38" s="251"/>
      <c r="T38" s="251"/>
    </row>
    <row r="39" spans="1:55" s="349" customFormat="1">
      <c r="A39" s="226"/>
      <c r="B39" s="226"/>
      <c r="C39" s="228"/>
      <c r="D39" s="228"/>
      <c r="E39" s="228"/>
      <c r="F39" s="250"/>
      <c r="G39" s="251"/>
      <c r="H39" s="250"/>
      <c r="I39" s="250"/>
      <c r="J39" s="250"/>
      <c r="K39" s="250"/>
      <c r="L39" s="250"/>
      <c r="M39" s="250"/>
      <c r="N39" s="250"/>
      <c r="O39" s="250"/>
      <c r="P39" s="250"/>
      <c r="Q39" s="250"/>
      <c r="R39" s="250"/>
      <c r="S39" s="250"/>
      <c r="T39" s="250"/>
    </row>
    <row r="40" spans="1:55" s="349" customFormat="1">
      <c r="A40" s="226"/>
      <c r="B40" s="226"/>
      <c r="C40" s="228"/>
      <c r="D40" s="228"/>
      <c r="E40" s="228"/>
      <c r="F40" s="236"/>
      <c r="G40" s="359"/>
      <c r="H40" s="236"/>
      <c r="I40" s="236"/>
      <c r="J40" s="236"/>
      <c r="K40" s="236"/>
      <c r="L40" s="236"/>
      <c r="M40" s="236"/>
      <c r="N40" s="236"/>
      <c r="O40" s="236"/>
      <c r="P40" s="236"/>
      <c r="Q40" s="236"/>
      <c r="R40" s="236"/>
      <c r="S40" s="236"/>
      <c r="T40" s="236"/>
    </row>
    <row r="41" spans="1:55" s="349" customFormat="1">
      <c r="A41" s="226"/>
      <c r="B41" s="226"/>
      <c r="C41" s="251"/>
      <c r="D41" s="251"/>
      <c r="E41" s="251"/>
      <c r="F41" s="236"/>
      <c r="G41" s="359"/>
      <c r="H41" s="236"/>
      <c r="I41" s="236"/>
      <c r="J41" s="236"/>
      <c r="K41" s="236"/>
      <c r="L41" s="236"/>
      <c r="M41" s="236"/>
      <c r="N41" s="236"/>
      <c r="O41" s="236"/>
      <c r="P41" s="236"/>
      <c r="Q41" s="236"/>
      <c r="R41" s="236"/>
      <c r="S41" s="236"/>
      <c r="T41" s="236"/>
    </row>
    <row r="42" spans="1:55" s="349" customFormat="1">
      <c r="A42" s="221"/>
      <c r="B42" s="252"/>
      <c r="C42" s="253"/>
      <c r="D42" s="221"/>
      <c r="E42" s="221"/>
      <c r="F42" s="221"/>
      <c r="G42" s="221"/>
      <c r="H42" s="221"/>
      <c r="I42" s="221"/>
      <c r="J42" s="221"/>
      <c r="K42" s="221"/>
      <c r="L42" s="221"/>
      <c r="M42" s="221"/>
      <c r="N42" s="221"/>
    </row>
    <row r="43" spans="1:55" s="349" customFormat="1" ht="64.95" customHeight="1">
      <c r="A43" s="221"/>
      <c r="B43" s="384" t="s">
        <v>1648</v>
      </c>
      <c r="C43" s="385"/>
      <c r="D43" s="385"/>
      <c r="E43" s="385"/>
      <c r="F43" s="385"/>
      <c r="G43" s="385"/>
      <c r="H43" s="385"/>
      <c r="I43" s="386"/>
      <c r="J43" s="221"/>
      <c r="K43" s="221"/>
      <c r="L43" s="221"/>
      <c r="M43" s="221"/>
      <c r="N43" s="221"/>
    </row>
    <row r="44" spans="1:55" s="221" customFormat="1">
      <c r="B44" s="221" t="s">
        <v>1649</v>
      </c>
      <c r="D44" s="254" t="s">
        <v>1650</v>
      </c>
      <c r="J44" s="221" t="s">
        <v>1689</v>
      </c>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row>
    <row r="45" spans="1:55" s="221" customFormat="1">
      <c r="B45" s="221" t="s">
        <v>1651</v>
      </c>
      <c r="D45" s="255" t="s">
        <v>1652</v>
      </c>
      <c r="J45" s="221" t="s">
        <v>1690</v>
      </c>
      <c r="L45" s="256"/>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row>
    <row r="46" spans="1:55" s="221" customFormat="1">
      <c r="B46" s="221" t="s">
        <v>1653</v>
      </c>
      <c r="D46" s="254" t="s">
        <v>1654</v>
      </c>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row>
    <row r="47" spans="1:55" s="221" customFormat="1">
      <c r="B47" s="221" t="s">
        <v>1655</v>
      </c>
      <c r="D47" s="249" t="s">
        <v>1656</v>
      </c>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row>
    <row r="48" spans="1:55" s="221" customFormat="1">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row>
  </sheetData>
  <mergeCells count="18">
    <mergeCell ref="B43:I43"/>
    <mergeCell ref="AF1:AI1"/>
    <mergeCell ref="AJ1:AM1"/>
    <mergeCell ref="AN1:AQ1"/>
    <mergeCell ref="AR1:AU1"/>
    <mergeCell ref="H1:K1"/>
    <mergeCell ref="L1:O1"/>
    <mergeCell ref="P1:S1"/>
    <mergeCell ref="T1:W1"/>
    <mergeCell ref="X1:AA1"/>
    <mergeCell ref="AB1:AE1"/>
    <mergeCell ref="BE1:BH1"/>
    <mergeCell ref="A27:A28"/>
    <mergeCell ref="B27:B28"/>
    <mergeCell ref="C27:E27"/>
    <mergeCell ref="F27:G27"/>
    <mergeCell ref="AV1:AY1"/>
    <mergeCell ref="AZ1:BC1"/>
  </mergeCells>
  <pageMargins left="0.7" right="0.7" top="0.75" bottom="0.75" header="0.3" footer="0.3"/>
  <pageSetup scale="75" orientation="landscape" cellComments="asDisplayed" r:id="rId1"/>
  <headerFooter>
    <oddFooter xml:space="preserve">&amp;L&amp;"Tahoma,Regular"Hexion, Inc.
Diboll Plant&amp;C&amp;"Tahoma,Regular"Page &amp;P of &amp;N&amp;R&amp;"Tahoma,Regular"Trinity Consultants
204401.0138 </oddFooter>
    <evenFooter>&amp;L&amp;"+,Regular"Momentive Specialty Chemicals Inc.
Diboll Plant&amp;C&amp;"+,Regular"Page &amp;P of &amp;N&amp;R&amp;"+,Regular"Trinity Consultants
134401.0070</evenFooter>
    <firstFooter>&amp;L&amp;"+,Regular"Momentive Specialty Chemicals Inc.
Diboll Plant&amp;C&amp;"+,Regular"Page &amp;P of &amp;N&amp;R&amp;"+,Regular"Trinity Consultants
134401.0070</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708A-4C2B-794A-B9E0-57C44A1ED957}">
  <sheetPr codeName="Sheet4"/>
  <dimension ref="A1:AF89"/>
  <sheetViews>
    <sheetView tabSelected="1" zoomScaleNormal="100" workbookViewId="0">
      <selection activeCell="D17" sqref="D17"/>
    </sheetView>
  </sheetViews>
  <sheetFormatPr defaultColWidth="11" defaultRowHeight="15.6"/>
  <cols>
    <col min="1" max="1" width="24.296875" customWidth="1"/>
    <col min="2" max="2" width="11.796875" customWidth="1"/>
    <col min="3" max="3" width="7.19921875" customWidth="1"/>
    <col min="4" max="5" width="15.19921875" customWidth="1"/>
    <col min="6" max="6" width="9.796875" customWidth="1"/>
    <col min="7" max="29" width="12.19921875" customWidth="1"/>
  </cols>
  <sheetData>
    <row r="1" spans="1:32" ht="18">
      <c r="A1" s="157" t="s">
        <v>1526</v>
      </c>
      <c r="F1" s="33"/>
    </row>
    <row r="2" spans="1:32" ht="18">
      <c r="A2" s="157" t="s">
        <v>1537</v>
      </c>
    </row>
    <row r="3" spans="1:32" ht="16.2" thickBot="1"/>
    <row r="4" spans="1:32">
      <c r="G4" s="405" t="s">
        <v>1325</v>
      </c>
      <c r="H4" s="406"/>
      <c r="I4" s="406"/>
      <c r="J4" s="406"/>
      <c r="K4" s="406"/>
      <c r="L4" s="406"/>
      <c r="M4" s="406"/>
      <c r="N4" s="406"/>
      <c r="O4" s="406"/>
      <c r="P4" s="406"/>
      <c r="Q4" s="406"/>
      <c r="R4" s="406"/>
      <c r="S4" s="405" t="s">
        <v>1326</v>
      </c>
      <c r="T4" s="406"/>
      <c r="U4" s="406"/>
      <c r="V4" s="406"/>
      <c r="W4" s="406"/>
      <c r="X4" s="406"/>
      <c r="Y4" s="406"/>
      <c r="Z4" s="406"/>
      <c r="AA4" s="406"/>
      <c r="AB4" s="406"/>
      <c r="AC4" s="406"/>
      <c r="AD4" s="407"/>
    </row>
    <row r="5" spans="1:32">
      <c r="G5" s="217" t="s">
        <v>998</v>
      </c>
      <c r="H5" s="2" t="s">
        <v>692</v>
      </c>
      <c r="I5" s="2" t="s">
        <v>813</v>
      </c>
      <c r="J5" s="2" t="s">
        <v>312</v>
      </c>
      <c r="K5" s="2" t="s">
        <v>147</v>
      </c>
      <c r="L5" s="2" t="s">
        <v>498</v>
      </c>
      <c r="M5" s="2" t="s">
        <v>604</v>
      </c>
      <c r="N5" s="2" t="s">
        <v>1128</v>
      </c>
      <c r="O5" s="2" t="s">
        <v>578</v>
      </c>
      <c r="P5" s="2" t="s">
        <v>1222</v>
      </c>
      <c r="Q5" s="2" t="s">
        <v>590</v>
      </c>
      <c r="R5" s="2" t="s">
        <v>630</v>
      </c>
      <c r="S5" s="217" t="s">
        <v>998</v>
      </c>
      <c r="T5" s="2" t="s">
        <v>692</v>
      </c>
      <c r="U5" s="2" t="s">
        <v>813</v>
      </c>
      <c r="V5" s="2" t="s">
        <v>312</v>
      </c>
      <c r="W5" s="2" t="s">
        <v>147</v>
      </c>
      <c r="X5" s="2" t="s">
        <v>498</v>
      </c>
      <c r="Y5" s="2" t="s">
        <v>604</v>
      </c>
      <c r="Z5" s="2" t="s">
        <v>1128</v>
      </c>
      <c r="AA5" s="2" t="s">
        <v>578</v>
      </c>
      <c r="AB5" s="2" t="s">
        <v>1222</v>
      </c>
      <c r="AC5" s="2" t="s">
        <v>590</v>
      </c>
      <c r="AD5" s="218" t="str">
        <f>R5</f>
        <v>67-56-1</v>
      </c>
    </row>
    <row r="6" spans="1:32" ht="93.6">
      <c r="A6" s="6" t="s">
        <v>1</v>
      </c>
      <c r="B6" s="30" t="s">
        <v>1554</v>
      </c>
      <c r="C6" s="212" t="s">
        <v>1606</v>
      </c>
      <c r="D6" s="30" t="s">
        <v>1328</v>
      </c>
      <c r="E6" s="30" t="s">
        <v>1294</v>
      </c>
      <c r="F6" s="30" t="s">
        <v>1400</v>
      </c>
      <c r="G6" s="219" t="s">
        <v>88</v>
      </c>
      <c r="H6" s="1" t="s">
        <v>693</v>
      </c>
      <c r="I6" s="1" t="s">
        <v>814</v>
      </c>
      <c r="J6" s="1" t="s">
        <v>313</v>
      </c>
      <c r="K6" s="1" t="s">
        <v>148</v>
      </c>
      <c r="L6" s="1" t="s">
        <v>499</v>
      </c>
      <c r="M6" s="1" t="s">
        <v>605</v>
      </c>
      <c r="N6" s="1" t="s">
        <v>1129</v>
      </c>
      <c r="O6" s="1" t="s">
        <v>579</v>
      </c>
      <c r="P6" s="1" t="s">
        <v>1223</v>
      </c>
      <c r="Q6" s="1" t="s">
        <v>591</v>
      </c>
      <c r="R6" s="1" t="s">
        <v>631</v>
      </c>
      <c r="S6" s="219" t="s">
        <v>88</v>
      </c>
      <c r="T6" s="1" t="s">
        <v>693</v>
      </c>
      <c r="U6" s="1" t="s">
        <v>814</v>
      </c>
      <c r="V6" s="1" t="s">
        <v>313</v>
      </c>
      <c r="W6" s="1" t="s">
        <v>148</v>
      </c>
      <c r="X6" s="1" t="s">
        <v>499</v>
      </c>
      <c r="Y6" s="1" t="s">
        <v>605</v>
      </c>
      <c r="Z6" s="1" t="s">
        <v>1129</v>
      </c>
      <c r="AA6" s="1" t="s">
        <v>579</v>
      </c>
      <c r="AB6" s="1" t="s">
        <v>1223</v>
      </c>
      <c r="AC6" s="1" t="s">
        <v>591</v>
      </c>
      <c r="AD6" s="220" t="str">
        <f>R6</f>
        <v>Methanol</v>
      </c>
    </row>
    <row r="7" spans="1:32">
      <c r="A7" s="408" t="s">
        <v>1555</v>
      </c>
      <c r="B7" t="s">
        <v>1295</v>
      </c>
      <c r="C7">
        <v>0.6</v>
      </c>
      <c r="D7" s="29">
        <v>62.437371583144724</v>
      </c>
      <c r="E7" s="10">
        <v>13.508583121868488</v>
      </c>
      <c r="F7" s="118">
        <v>0</v>
      </c>
      <c r="G7" s="310">
        <f>_xlfn.XLOOKUP(G$5,Tabl_B3_Comp!$B$55:$B$65,Tabl_B3_Comp!$I$55:$I$65)*Tabl_B4_Tanks!$D7</f>
        <v>0</v>
      </c>
      <c r="H7" s="118">
        <f>_xlfn.XLOOKUP(H$5,Tabl_B3_Comp!$B$55:$B$65,Tabl_B3_Comp!$I$55:$I$65)*Tabl_B4_Tanks!$D7</f>
        <v>0</v>
      </c>
      <c r="I7" s="184">
        <f>_xlfn.XLOOKUP(I$5,Tabl_B3_Comp!$B$55:$B$65,Tabl_B3_Comp!$I$55:$I$65)*Tabl_B4_Tanks!$D7</f>
        <v>1.1278815765742652E-5</v>
      </c>
      <c r="J7" s="184">
        <f>_xlfn.XLOOKUP(J$5,Tabl_B3_Comp!$B$55:$B$65,Tabl_B3_Comp!$I$55:$I$65)*Tabl_B4_Tanks!$D7</f>
        <v>2.4957327043118908E-6</v>
      </c>
      <c r="K7" s="184">
        <f>_xlfn.XLOOKUP(K$5,Tabl_B3_Comp!$B$55:$B$65,Tabl_B3_Comp!$I$55:$I$65)*Tabl_B4_Tanks!$D7</f>
        <v>4.1749851899689243E-3</v>
      </c>
      <c r="L7" s="184">
        <f>_xlfn.XLOOKUP(L$5,Tabl_B3_Comp!$B$55:$B$65,Tabl_B3_Comp!$I$55:$I$65)*Tabl_B4_Tanks!$D7</f>
        <v>1.5035081250387148E-3</v>
      </c>
      <c r="M7" s="118">
        <f>_xlfn.XLOOKUP(M$5,Tabl_B3_Comp!$B$55:$B$65,Tabl_B3_Comp!$I$55:$I$65)*Tabl_B4_Tanks!$D7</f>
        <v>0</v>
      </c>
      <c r="N7" s="184">
        <f>_xlfn.XLOOKUP(N$5,Tabl_B3_Comp!$B$55:$B$65,Tabl_B3_Comp!$I$55:$I$65)*Tabl_B4_Tanks!$D7</f>
        <v>1.5965883979018755E-2</v>
      </c>
      <c r="O7" s="184">
        <f>_xlfn.XLOOKUP(O$5,Tabl_B3_Comp!$B$55:$B$65,Tabl_B3_Comp!$I$55:$I$65)*Tabl_B4_Tanks!$D7</f>
        <v>9.9310126477787971E-3</v>
      </c>
      <c r="P7" s="184">
        <f>_xlfn.XLOOKUP(P$5,Tabl_B3_Comp!$B$55:$B$65,Tabl_B3_Comp!$I$55:$I$65)*Tabl_B4_Tanks!$D7</f>
        <v>7.2283010666803534E-3</v>
      </c>
      <c r="Q7" s="118">
        <f>_xlfn.XLOOKUP(Q$5,Tabl_B3_Comp!$B$55:$B$65,Tabl_B3_Comp!$I$55:$I$65)*Tabl_B4_Tanks!$D7</f>
        <v>0</v>
      </c>
      <c r="R7" s="118">
        <v>0</v>
      </c>
      <c r="S7" s="310">
        <f>_xlfn.XLOOKUP(S$5,Tabl_B3_Comp!$B$55:$B$65,Tabl_B3_Comp!$J$55:$J$65)*Tabl_B4_Tanks!$E7</f>
        <v>0</v>
      </c>
      <c r="T7" s="118">
        <f>_xlfn.XLOOKUP(T$5,Tabl_B3_Comp!$B$55:$B$65,Tabl_B3_Comp!$J$55:$J$65)*Tabl_B4_Tanks!$E7</f>
        <v>0</v>
      </c>
      <c r="U7" s="184">
        <f>_xlfn.XLOOKUP(U$5,Tabl_B3_Comp!$B$55:$B$65,Tabl_B3_Comp!$J$55:$J$65)*Tabl_B4_Tanks!$E7</f>
        <v>5.0978486125440521E-6</v>
      </c>
      <c r="V7" s="184">
        <f>_xlfn.XLOOKUP(V$5,Tabl_B3_Comp!$B$55:$B$65,Tabl_B3_Comp!$J$55:$J$65)*Tabl_B4_Tanks!$E7</f>
        <v>1.2239177225024008E-6</v>
      </c>
      <c r="W7" s="184">
        <f>_xlfn.XLOOKUP(W$5,Tabl_B3_Comp!$B$55:$B$65,Tabl_B3_Comp!$J$55:$J$65)*Tabl_B4_Tanks!$E7</f>
        <v>1.0407240974916266E-3</v>
      </c>
      <c r="X7" s="184">
        <f>_xlfn.XLOOKUP(X$5,Tabl_B3_Comp!$B$55:$B$65,Tabl_B3_Comp!$J$55:$J$65)*Tabl_B4_Tanks!$E7</f>
        <v>4.4398113778341963E-4</v>
      </c>
      <c r="Y7" s="118">
        <f>_xlfn.XLOOKUP(Y$5,Tabl_B3_Comp!$B$55:$B$65,Tabl_B3_Comp!$J$55:$J$65)*Tabl_B4_Tanks!$E7</f>
        <v>0</v>
      </c>
      <c r="Z7" s="184">
        <f>_xlfn.XLOOKUP(Z$5,Tabl_B3_Comp!$B$55:$B$65,Tabl_B3_Comp!$J$55:$J$65)*Tabl_B4_Tanks!$E7</f>
        <v>4.3148788709394259E-3</v>
      </c>
      <c r="AA7" s="184">
        <f>_xlfn.XLOOKUP(AA$5,Tabl_B3_Comp!$B$55:$B$65,Tabl_B3_Comp!$J$55:$J$65)*Tabl_B4_Tanks!$E7</f>
        <v>2.3782745298777199E-3</v>
      </c>
      <c r="AB7" s="184">
        <f>_xlfn.XLOOKUP(AB$5,Tabl_B3_Comp!$B$55:$B$65,Tabl_B3_Comp!$J$55:$J$65)*Tabl_B4_Tanks!$E7</f>
        <v>2.1509525461476256E-3</v>
      </c>
      <c r="AC7" s="118">
        <f>_xlfn.XLOOKUP(AC$5,Tabl_B3_Comp!$B$55:$B$65,Tabl_B3_Comp!$J$55:$J$65)*Tabl_B4_Tanks!$E7</f>
        <v>0</v>
      </c>
      <c r="AD7" s="313">
        <v>0</v>
      </c>
      <c r="AE7" s="5"/>
      <c r="AF7" s="5"/>
    </row>
    <row r="8" spans="1:32">
      <c r="A8" s="408"/>
      <c r="B8" t="s">
        <v>1296</v>
      </c>
      <c r="C8">
        <v>0.6</v>
      </c>
      <c r="D8" s="29">
        <v>62.437371583144724</v>
      </c>
      <c r="E8" s="10">
        <v>13.508583121868488</v>
      </c>
      <c r="F8" s="118">
        <v>0</v>
      </c>
      <c r="G8" s="310">
        <f>_xlfn.XLOOKUP(G$5,Tabl_B3_Comp!$B$55:$B$65,Tabl_B3_Comp!$I$55:$I$65)*Tabl_B4_Tanks!$D8</f>
        <v>0</v>
      </c>
      <c r="H8" s="118">
        <f>_xlfn.XLOOKUP(H$5,Tabl_B3_Comp!$B$55:$B$65,Tabl_B3_Comp!$I$55:$I$65)*Tabl_B4_Tanks!$D8</f>
        <v>0</v>
      </c>
      <c r="I8" s="184">
        <f>_xlfn.XLOOKUP(I$5,Tabl_B3_Comp!$B$55:$B$65,Tabl_B3_Comp!$I$55:$I$65)*Tabl_B4_Tanks!$D8</f>
        <v>1.1278815765742652E-5</v>
      </c>
      <c r="J8" s="184">
        <f>_xlfn.XLOOKUP(J$5,Tabl_B3_Comp!$B$55:$B$65,Tabl_B3_Comp!$I$55:$I$65)*Tabl_B4_Tanks!$D8</f>
        <v>2.4957327043118908E-6</v>
      </c>
      <c r="K8" s="184">
        <f>_xlfn.XLOOKUP(K$5,Tabl_B3_Comp!$B$55:$B$65,Tabl_B3_Comp!$I$55:$I$65)*Tabl_B4_Tanks!$D8</f>
        <v>4.1749851899689243E-3</v>
      </c>
      <c r="L8" s="184">
        <f>_xlfn.XLOOKUP(L$5,Tabl_B3_Comp!$B$55:$B$65,Tabl_B3_Comp!$I$55:$I$65)*Tabl_B4_Tanks!$D8</f>
        <v>1.5035081250387148E-3</v>
      </c>
      <c r="M8" s="118">
        <f>_xlfn.XLOOKUP(M$5,Tabl_B3_Comp!$B$55:$B$65,Tabl_B3_Comp!$I$55:$I$65)*Tabl_B4_Tanks!$D8</f>
        <v>0</v>
      </c>
      <c r="N8" s="184">
        <f>_xlfn.XLOOKUP(N$5,Tabl_B3_Comp!$B$55:$B$65,Tabl_B3_Comp!$I$55:$I$65)*Tabl_B4_Tanks!$D8</f>
        <v>1.5965883979018755E-2</v>
      </c>
      <c r="O8" s="184">
        <f>_xlfn.XLOOKUP(O$5,Tabl_B3_Comp!$B$55:$B$65,Tabl_B3_Comp!$I$55:$I$65)*Tabl_B4_Tanks!$D8</f>
        <v>9.9310126477787971E-3</v>
      </c>
      <c r="P8" s="184">
        <f>_xlfn.XLOOKUP(P$5,Tabl_B3_Comp!$B$55:$B$65,Tabl_B3_Comp!$I$55:$I$65)*Tabl_B4_Tanks!$D8</f>
        <v>7.2283010666803534E-3</v>
      </c>
      <c r="Q8" s="118">
        <f>_xlfn.XLOOKUP(Q$5,Tabl_B3_Comp!$B$55:$B$65,Tabl_B3_Comp!$I$55:$I$65)*Tabl_B4_Tanks!$D8</f>
        <v>0</v>
      </c>
      <c r="R8" s="118">
        <v>0</v>
      </c>
      <c r="S8" s="310">
        <f>_xlfn.XLOOKUP(S$5,Tabl_B3_Comp!$B$55:$B$65,Tabl_B3_Comp!$J$55:$J$65)*Tabl_B4_Tanks!$E8</f>
        <v>0</v>
      </c>
      <c r="T8" s="118">
        <f>_xlfn.XLOOKUP(T$5,Tabl_B3_Comp!$B$55:$B$65,Tabl_B3_Comp!$J$55:$J$65)*Tabl_B4_Tanks!$E8</f>
        <v>0</v>
      </c>
      <c r="U8" s="184">
        <f>_xlfn.XLOOKUP(U$5,Tabl_B3_Comp!$B$55:$B$65,Tabl_B3_Comp!$J$55:$J$65)*Tabl_B4_Tanks!$E8</f>
        <v>5.0978486125440521E-6</v>
      </c>
      <c r="V8" s="184">
        <f>_xlfn.XLOOKUP(V$5,Tabl_B3_Comp!$B$55:$B$65,Tabl_B3_Comp!$J$55:$J$65)*Tabl_B4_Tanks!$E8</f>
        <v>1.2239177225024008E-6</v>
      </c>
      <c r="W8" s="184">
        <f>_xlfn.XLOOKUP(W$5,Tabl_B3_Comp!$B$55:$B$65,Tabl_B3_Comp!$J$55:$J$65)*Tabl_B4_Tanks!$E8</f>
        <v>1.0407240974916266E-3</v>
      </c>
      <c r="X8" s="184">
        <f>_xlfn.XLOOKUP(X$5,Tabl_B3_Comp!$B$55:$B$65,Tabl_B3_Comp!$J$55:$J$65)*Tabl_B4_Tanks!$E8</f>
        <v>4.4398113778341963E-4</v>
      </c>
      <c r="Y8" s="118">
        <f>_xlfn.XLOOKUP(Y$5,Tabl_B3_Comp!$B$55:$B$65,Tabl_B3_Comp!$J$55:$J$65)*Tabl_B4_Tanks!$E8</f>
        <v>0</v>
      </c>
      <c r="Z8" s="184">
        <f>_xlfn.XLOOKUP(Z$5,Tabl_B3_Comp!$B$55:$B$65,Tabl_B3_Comp!$J$55:$J$65)*Tabl_B4_Tanks!$E8</f>
        <v>4.3148788709394259E-3</v>
      </c>
      <c r="AA8" s="184">
        <f>_xlfn.XLOOKUP(AA$5,Tabl_B3_Comp!$B$55:$B$65,Tabl_B3_Comp!$J$55:$J$65)*Tabl_B4_Tanks!$E8</f>
        <v>2.3782745298777199E-3</v>
      </c>
      <c r="AB8" s="184">
        <f>_xlfn.XLOOKUP(AB$5,Tabl_B3_Comp!$B$55:$B$65,Tabl_B3_Comp!$J$55:$J$65)*Tabl_B4_Tanks!$E8</f>
        <v>2.1509525461476256E-3</v>
      </c>
      <c r="AC8" s="118">
        <f>_xlfn.XLOOKUP(AC$5,Tabl_B3_Comp!$B$55:$B$65,Tabl_B3_Comp!$J$55:$J$65)*Tabl_B4_Tanks!$E8</f>
        <v>0</v>
      </c>
      <c r="AD8" s="313">
        <v>0</v>
      </c>
    </row>
    <row r="9" spans="1:32">
      <c r="A9" s="408"/>
      <c r="B9" t="s">
        <v>1297</v>
      </c>
      <c r="C9">
        <v>0.6</v>
      </c>
      <c r="D9" s="29">
        <v>75.956808385889872</v>
      </c>
      <c r="E9" s="10">
        <v>16.345190181725155</v>
      </c>
      <c r="F9" s="118">
        <v>0</v>
      </c>
      <c r="G9" s="310">
        <f>_xlfn.XLOOKUP(G$5,Tabl_B3_Comp!$B$55:$B$65,Tabl_B3_Comp!$I$55:$I$65)*Tabl_B4_Tanks!$D9</f>
        <v>0</v>
      </c>
      <c r="H9" s="118">
        <f>_xlfn.XLOOKUP(H$5,Tabl_B3_Comp!$B$55:$B$65,Tabl_B3_Comp!$I$55:$I$65)*Tabl_B4_Tanks!$D9</f>
        <v>0</v>
      </c>
      <c r="I9" s="184">
        <f>_xlfn.XLOOKUP(I$5,Tabl_B3_Comp!$B$55:$B$65,Tabl_B3_Comp!$I$55:$I$65)*Tabl_B4_Tanks!$D9</f>
        <v>1.3720994753878132E-5</v>
      </c>
      <c r="J9" s="184">
        <f>_xlfn.XLOOKUP(J$5,Tabl_B3_Comp!$B$55:$B$65,Tabl_B3_Comp!$I$55:$I$65)*Tabl_B4_Tanks!$D9</f>
        <v>3.0361286197222279E-6</v>
      </c>
      <c r="K9" s="184">
        <f>_xlfn.XLOOKUP(K$5,Tabl_B3_Comp!$B$55:$B$65,Tabl_B3_Comp!$I$55:$I$65)*Tabl_B4_Tanks!$D9</f>
        <v>5.0789862232766591E-3</v>
      </c>
      <c r="L9" s="184">
        <f>_xlfn.XLOOKUP(L$5,Tabl_B3_Comp!$B$55:$B$65,Tabl_B3_Comp!$I$55:$I$65)*Tabl_B4_Tanks!$D9</f>
        <v>1.8290596747513235E-3</v>
      </c>
      <c r="M9" s="118">
        <f>_xlfn.XLOOKUP(M$5,Tabl_B3_Comp!$B$55:$B$65,Tabl_B3_Comp!$I$55:$I$65)*Tabl_B4_Tanks!$D9</f>
        <v>0</v>
      </c>
      <c r="N9" s="184">
        <f>_xlfn.XLOOKUP(N$5,Tabl_B3_Comp!$B$55:$B$65,Tabl_B3_Comp!$I$55:$I$65)*Tabl_B4_Tanks!$D9</f>
        <v>1.9422944293719366E-2</v>
      </c>
      <c r="O9" s="184">
        <f>_xlfn.XLOOKUP(O$5,Tabl_B3_Comp!$B$55:$B$65,Tabl_B3_Comp!$I$55:$I$65)*Tabl_B4_Tanks!$D9</f>
        <v>1.2081354574009925E-2</v>
      </c>
      <c r="P9" s="184">
        <f>_xlfn.XLOOKUP(P$5,Tabl_B3_Comp!$B$55:$B$65,Tabl_B3_Comp!$I$55:$I$65)*Tabl_B4_Tanks!$D9</f>
        <v>8.7934303631957925E-3</v>
      </c>
      <c r="Q9" s="118">
        <f>_xlfn.XLOOKUP(Q$5,Tabl_B3_Comp!$B$55:$B$65,Tabl_B3_Comp!$I$55:$I$65)*Tabl_B4_Tanks!$D9</f>
        <v>0</v>
      </c>
      <c r="R9" s="118">
        <v>0</v>
      </c>
      <c r="S9" s="310">
        <f>_xlfn.XLOOKUP(S$5,Tabl_B3_Comp!$B$55:$B$65,Tabl_B3_Comp!$J$55:$J$65)*Tabl_B4_Tanks!$E9</f>
        <v>0</v>
      </c>
      <c r="T9" s="118">
        <f>_xlfn.XLOOKUP(T$5,Tabl_B3_Comp!$B$55:$B$65,Tabl_B3_Comp!$J$55:$J$65)*Tabl_B4_Tanks!$E9</f>
        <v>0</v>
      </c>
      <c r="U9" s="184">
        <f>_xlfn.XLOOKUP(U$5,Tabl_B3_Comp!$B$55:$B$65,Tabl_B3_Comp!$J$55:$J$65)*Tabl_B4_Tanks!$E9</f>
        <v>6.1683230830318788E-6</v>
      </c>
      <c r="V9" s="184">
        <f>_xlfn.XLOOKUP(V$5,Tabl_B3_Comp!$B$55:$B$65,Tabl_B3_Comp!$J$55:$J$65)*Tabl_B4_Tanks!$E9</f>
        <v>1.4809227407943407E-6</v>
      </c>
      <c r="W9" s="184">
        <f>_xlfn.XLOOKUP(W$5,Tabl_B3_Comp!$B$55:$B$65,Tabl_B3_Comp!$J$55:$J$65)*Tabl_B4_Tanks!$E9</f>
        <v>1.2592611043468187E-3</v>
      </c>
      <c r="X9" s="184">
        <f>_xlfn.XLOOKUP(X$5,Tabl_B3_Comp!$B$55:$B$65,Tabl_B3_Comp!$J$55:$J$65)*Tabl_B4_Tanks!$E9</f>
        <v>5.3721075472532172E-4</v>
      </c>
      <c r="Y9" s="118">
        <f>_xlfn.XLOOKUP(Y$5,Tabl_B3_Comp!$B$55:$B$65,Tabl_B3_Comp!$J$55:$J$65)*Tabl_B4_Tanks!$E9</f>
        <v>0</v>
      </c>
      <c r="Z9" s="184">
        <f>_xlfn.XLOOKUP(Z$5,Tabl_B3_Comp!$B$55:$B$65,Tabl_B3_Comp!$J$55:$J$65)*Tabl_B4_Tanks!$E9</f>
        <v>5.2209410210045147E-3</v>
      </c>
      <c r="AA9" s="184">
        <f>_xlfn.XLOOKUP(AA$5,Tabl_B3_Comp!$B$55:$B$65,Tabl_B3_Comp!$J$55:$J$65)*Tabl_B4_Tanks!$E9</f>
        <v>2.8776777804530702E-3</v>
      </c>
      <c r="AB9" s="184">
        <f>_xlfn.XLOOKUP(AB$5,Tabl_B3_Comp!$B$55:$B$65,Tabl_B3_Comp!$J$55:$J$65)*Tabl_B4_Tanks!$E9</f>
        <v>2.6026214682525438E-3</v>
      </c>
      <c r="AC9" s="118">
        <f>_xlfn.XLOOKUP(AC$5,Tabl_B3_Comp!$B$55:$B$65,Tabl_B3_Comp!$J$55:$J$65)*Tabl_B4_Tanks!$E9</f>
        <v>0</v>
      </c>
      <c r="AD9" s="313">
        <v>0</v>
      </c>
    </row>
    <row r="10" spans="1:32">
      <c r="A10" s="408"/>
      <c r="B10" t="s">
        <v>1298</v>
      </c>
      <c r="C10">
        <v>0.6</v>
      </c>
      <c r="D10" s="29">
        <v>75.956808385889872</v>
      </c>
      <c r="E10" s="10">
        <v>16.345190181725155</v>
      </c>
      <c r="F10" s="118">
        <v>0</v>
      </c>
      <c r="G10" s="310">
        <f>_xlfn.XLOOKUP(G$5,Tabl_B3_Comp!$B$55:$B$65,Tabl_B3_Comp!$I$55:$I$65)*Tabl_B4_Tanks!$D10</f>
        <v>0</v>
      </c>
      <c r="H10" s="118">
        <f>_xlfn.XLOOKUP(H$5,Tabl_B3_Comp!$B$55:$B$65,Tabl_B3_Comp!$I$55:$I$65)*Tabl_B4_Tanks!$D10</f>
        <v>0</v>
      </c>
      <c r="I10" s="184">
        <f>_xlfn.XLOOKUP(I$5,Tabl_B3_Comp!$B$55:$B$65,Tabl_B3_Comp!$I$55:$I$65)*Tabl_B4_Tanks!$D10</f>
        <v>1.3720994753878132E-5</v>
      </c>
      <c r="J10" s="184">
        <f>_xlfn.XLOOKUP(J$5,Tabl_B3_Comp!$B$55:$B$65,Tabl_B3_Comp!$I$55:$I$65)*Tabl_B4_Tanks!$D10</f>
        <v>3.0361286197222279E-6</v>
      </c>
      <c r="K10" s="184">
        <f>_xlfn.XLOOKUP(K$5,Tabl_B3_Comp!$B$55:$B$65,Tabl_B3_Comp!$I$55:$I$65)*Tabl_B4_Tanks!$D10</f>
        <v>5.0789862232766591E-3</v>
      </c>
      <c r="L10" s="184">
        <f>_xlfn.XLOOKUP(L$5,Tabl_B3_Comp!$B$55:$B$65,Tabl_B3_Comp!$I$55:$I$65)*Tabl_B4_Tanks!$D10</f>
        <v>1.8290596747513235E-3</v>
      </c>
      <c r="M10" s="118">
        <f>_xlfn.XLOOKUP(M$5,Tabl_B3_Comp!$B$55:$B$65,Tabl_B3_Comp!$I$55:$I$65)*Tabl_B4_Tanks!$D10</f>
        <v>0</v>
      </c>
      <c r="N10" s="184">
        <f>_xlfn.XLOOKUP(N$5,Tabl_B3_Comp!$B$55:$B$65,Tabl_B3_Comp!$I$55:$I$65)*Tabl_B4_Tanks!$D10</f>
        <v>1.9422944293719366E-2</v>
      </c>
      <c r="O10" s="184">
        <f>_xlfn.XLOOKUP(O$5,Tabl_B3_Comp!$B$55:$B$65,Tabl_B3_Comp!$I$55:$I$65)*Tabl_B4_Tanks!$D10</f>
        <v>1.2081354574009925E-2</v>
      </c>
      <c r="P10" s="184">
        <f>_xlfn.XLOOKUP(P$5,Tabl_B3_Comp!$B$55:$B$65,Tabl_B3_Comp!$I$55:$I$65)*Tabl_B4_Tanks!$D10</f>
        <v>8.7934303631957925E-3</v>
      </c>
      <c r="Q10" s="118">
        <f>_xlfn.XLOOKUP(Q$5,Tabl_B3_Comp!$B$55:$B$65,Tabl_B3_Comp!$I$55:$I$65)*Tabl_B4_Tanks!$D10</f>
        <v>0</v>
      </c>
      <c r="R10" s="118">
        <v>0</v>
      </c>
      <c r="S10" s="310">
        <f>_xlfn.XLOOKUP(S$5,Tabl_B3_Comp!$B$55:$B$65,Tabl_B3_Comp!$J$55:$J$65)*Tabl_B4_Tanks!$E10</f>
        <v>0</v>
      </c>
      <c r="T10" s="118">
        <f>_xlfn.XLOOKUP(T$5,Tabl_B3_Comp!$B$55:$B$65,Tabl_B3_Comp!$J$55:$J$65)*Tabl_B4_Tanks!$E10</f>
        <v>0</v>
      </c>
      <c r="U10" s="184">
        <f>_xlfn.XLOOKUP(U$5,Tabl_B3_Comp!$B$55:$B$65,Tabl_B3_Comp!$J$55:$J$65)*Tabl_B4_Tanks!$E10</f>
        <v>6.1683230830318788E-6</v>
      </c>
      <c r="V10" s="184">
        <f>_xlfn.XLOOKUP(V$5,Tabl_B3_Comp!$B$55:$B$65,Tabl_B3_Comp!$J$55:$J$65)*Tabl_B4_Tanks!$E10</f>
        <v>1.4809227407943407E-6</v>
      </c>
      <c r="W10" s="184">
        <f>_xlfn.XLOOKUP(W$5,Tabl_B3_Comp!$B$55:$B$65,Tabl_B3_Comp!$J$55:$J$65)*Tabl_B4_Tanks!$E10</f>
        <v>1.2592611043468187E-3</v>
      </c>
      <c r="X10" s="184">
        <f>_xlfn.XLOOKUP(X$5,Tabl_B3_Comp!$B$55:$B$65,Tabl_B3_Comp!$J$55:$J$65)*Tabl_B4_Tanks!$E10</f>
        <v>5.3721075472532172E-4</v>
      </c>
      <c r="Y10" s="118">
        <f>_xlfn.XLOOKUP(Y$5,Tabl_B3_Comp!$B$55:$B$65,Tabl_B3_Comp!$J$55:$J$65)*Tabl_B4_Tanks!$E10</f>
        <v>0</v>
      </c>
      <c r="Z10" s="184">
        <f>_xlfn.XLOOKUP(Z$5,Tabl_B3_Comp!$B$55:$B$65,Tabl_B3_Comp!$J$55:$J$65)*Tabl_B4_Tanks!$E10</f>
        <v>5.2209410210045147E-3</v>
      </c>
      <c r="AA10" s="184">
        <f>_xlfn.XLOOKUP(AA$5,Tabl_B3_Comp!$B$55:$B$65,Tabl_B3_Comp!$J$55:$J$65)*Tabl_B4_Tanks!$E10</f>
        <v>2.8776777804530702E-3</v>
      </c>
      <c r="AB10" s="184">
        <f>_xlfn.XLOOKUP(AB$5,Tabl_B3_Comp!$B$55:$B$65,Tabl_B3_Comp!$J$55:$J$65)*Tabl_B4_Tanks!$E10</f>
        <v>2.6026214682525438E-3</v>
      </c>
      <c r="AC10" s="118">
        <f>_xlfn.XLOOKUP(AC$5,Tabl_B3_Comp!$B$55:$B$65,Tabl_B3_Comp!$J$55:$J$65)*Tabl_B4_Tanks!$E10</f>
        <v>0</v>
      </c>
      <c r="AD10" s="313">
        <v>0</v>
      </c>
    </row>
    <row r="11" spans="1:32">
      <c r="A11" s="408"/>
      <c r="B11" t="s">
        <v>1299</v>
      </c>
      <c r="C11">
        <v>0.6</v>
      </c>
      <c r="D11" s="29">
        <v>62.437371583144724</v>
      </c>
      <c r="E11" s="10">
        <v>13.508583121868488</v>
      </c>
      <c r="F11" s="118">
        <v>0</v>
      </c>
      <c r="G11" s="310">
        <f>_xlfn.XLOOKUP(G$5,Tabl_B3_Comp!$B$55:$B$65,Tabl_B3_Comp!$I$55:$I$65)*Tabl_B4_Tanks!$D11</f>
        <v>0</v>
      </c>
      <c r="H11" s="118">
        <f>_xlfn.XLOOKUP(H$5,Tabl_B3_Comp!$B$55:$B$65,Tabl_B3_Comp!$I$55:$I$65)*Tabl_B4_Tanks!$D11</f>
        <v>0</v>
      </c>
      <c r="I11" s="184">
        <f>_xlfn.XLOOKUP(I$5,Tabl_B3_Comp!$B$55:$B$65,Tabl_B3_Comp!$I$55:$I$65)*Tabl_B4_Tanks!$D11</f>
        <v>1.1278815765742652E-5</v>
      </c>
      <c r="J11" s="184">
        <f>_xlfn.XLOOKUP(J$5,Tabl_B3_Comp!$B$55:$B$65,Tabl_B3_Comp!$I$55:$I$65)*Tabl_B4_Tanks!$D11</f>
        <v>2.4957327043118908E-6</v>
      </c>
      <c r="K11" s="184">
        <f>_xlfn.XLOOKUP(K$5,Tabl_B3_Comp!$B$55:$B$65,Tabl_B3_Comp!$I$55:$I$65)*Tabl_B4_Tanks!$D11</f>
        <v>4.1749851899689243E-3</v>
      </c>
      <c r="L11" s="184">
        <f>_xlfn.XLOOKUP(L$5,Tabl_B3_Comp!$B$55:$B$65,Tabl_B3_Comp!$I$55:$I$65)*Tabl_B4_Tanks!$D11</f>
        <v>1.5035081250387148E-3</v>
      </c>
      <c r="M11" s="118">
        <f>_xlfn.XLOOKUP(M$5,Tabl_B3_Comp!$B$55:$B$65,Tabl_B3_Comp!$I$55:$I$65)*Tabl_B4_Tanks!$D11</f>
        <v>0</v>
      </c>
      <c r="N11" s="184">
        <f>_xlfn.XLOOKUP(N$5,Tabl_B3_Comp!$B$55:$B$65,Tabl_B3_Comp!$I$55:$I$65)*Tabl_B4_Tanks!$D11</f>
        <v>1.5965883979018755E-2</v>
      </c>
      <c r="O11" s="184">
        <f>_xlfn.XLOOKUP(O$5,Tabl_B3_Comp!$B$55:$B$65,Tabl_B3_Comp!$I$55:$I$65)*Tabl_B4_Tanks!$D11</f>
        <v>9.9310126477787971E-3</v>
      </c>
      <c r="P11" s="184">
        <f>_xlfn.XLOOKUP(P$5,Tabl_B3_Comp!$B$55:$B$65,Tabl_B3_Comp!$I$55:$I$65)*Tabl_B4_Tanks!$D11</f>
        <v>7.2283010666803534E-3</v>
      </c>
      <c r="Q11" s="118">
        <f>_xlfn.XLOOKUP(Q$5,Tabl_B3_Comp!$B$55:$B$65,Tabl_B3_Comp!$I$55:$I$65)*Tabl_B4_Tanks!$D11</f>
        <v>0</v>
      </c>
      <c r="R11" s="118">
        <v>0</v>
      </c>
      <c r="S11" s="310">
        <f>_xlfn.XLOOKUP(S$5,Tabl_B3_Comp!$B$55:$B$65,Tabl_B3_Comp!$J$55:$J$65)*Tabl_B4_Tanks!$E11</f>
        <v>0</v>
      </c>
      <c r="T11" s="118">
        <f>_xlfn.XLOOKUP(T$5,Tabl_B3_Comp!$B$55:$B$65,Tabl_B3_Comp!$J$55:$J$65)*Tabl_B4_Tanks!$E11</f>
        <v>0</v>
      </c>
      <c r="U11" s="184">
        <f>_xlfn.XLOOKUP(U$5,Tabl_B3_Comp!$B$55:$B$65,Tabl_B3_Comp!$J$55:$J$65)*Tabl_B4_Tanks!$E11</f>
        <v>5.0978486125440521E-6</v>
      </c>
      <c r="V11" s="184">
        <f>_xlfn.XLOOKUP(V$5,Tabl_B3_Comp!$B$55:$B$65,Tabl_B3_Comp!$J$55:$J$65)*Tabl_B4_Tanks!$E11</f>
        <v>1.2239177225024008E-6</v>
      </c>
      <c r="W11" s="184">
        <f>_xlfn.XLOOKUP(W$5,Tabl_B3_Comp!$B$55:$B$65,Tabl_B3_Comp!$J$55:$J$65)*Tabl_B4_Tanks!$E11</f>
        <v>1.0407240974916266E-3</v>
      </c>
      <c r="X11" s="184">
        <f>_xlfn.XLOOKUP(X$5,Tabl_B3_Comp!$B$55:$B$65,Tabl_B3_Comp!$J$55:$J$65)*Tabl_B4_Tanks!$E11</f>
        <v>4.4398113778341963E-4</v>
      </c>
      <c r="Y11" s="118">
        <f>_xlfn.XLOOKUP(Y$5,Tabl_B3_Comp!$B$55:$B$65,Tabl_B3_Comp!$J$55:$J$65)*Tabl_B4_Tanks!$E11</f>
        <v>0</v>
      </c>
      <c r="Z11" s="184">
        <f>_xlfn.XLOOKUP(Z$5,Tabl_B3_Comp!$B$55:$B$65,Tabl_B3_Comp!$J$55:$J$65)*Tabl_B4_Tanks!$E11</f>
        <v>4.3148788709394259E-3</v>
      </c>
      <c r="AA11" s="184">
        <f>_xlfn.XLOOKUP(AA$5,Tabl_B3_Comp!$B$55:$B$65,Tabl_B3_Comp!$J$55:$J$65)*Tabl_B4_Tanks!$E11</f>
        <v>2.3782745298777199E-3</v>
      </c>
      <c r="AB11" s="184">
        <f>_xlfn.XLOOKUP(AB$5,Tabl_B3_Comp!$B$55:$B$65,Tabl_B3_Comp!$J$55:$J$65)*Tabl_B4_Tanks!$E11</f>
        <v>2.1509525461476256E-3</v>
      </c>
      <c r="AC11" s="118">
        <f>_xlfn.XLOOKUP(AC$5,Tabl_B3_Comp!$B$55:$B$65,Tabl_B3_Comp!$J$55:$J$65)*Tabl_B4_Tanks!$E11</f>
        <v>0</v>
      </c>
      <c r="AD11" s="313">
        <v>0</v>
      </c>
    </row>
    <row r="12" spans="1:32">
      <c r="A12" s="408"/>
      <c r="B12" t="s">
        <v>1300</v>
      </c>
      <c r="C12">
        <v>0.6</v>
      </c>
      <c r="D12" s="29">
        <v>62.437371583144724</v>
      </c>
      <c r="E12" s="10">
        <v>13.508583121868488</v>
      </c>
      <c r="F12" s="118">
        <v>0</v>
      </c>
      <c r="G12" s="310">
        <f>_xlfn.XLOOKUP(G$5,Tabl_B3_Comp!$B$55:$B$65,Tabl_B3_Comp!$I$55:$I$65)*Tabl_B4_Tanks!$D12</f>
        <v>0</v>
      </c>
      <c r="H12" s="118">
        <f>_xlfn.XLOOKUP(H$5,Tabl_B3_Comp!$B$55:$B$65,Tabl_B3_Comp!$I$55:$I$65)*Tabl_B4_Tanks!$D12</f>
        <v>0</v>
      </c>
      <c r="I12" s="184">
        <f>_xlfn.XLOOKUP(I$5,Tabl_B3_Comp!$B$55:$B$65,Tabl_B3_Comp!$I$55:$I$65)*Tabl_B4_Tanks!$D12</f>
        <v>1.1278815765742652E-5</v>
      </c>
      <c r="J12" s="184">
        <f>_xlfn.XLOOKUP(J$5,Tabl_B3_Comp!$B$55:$B$65,Tabl_B3_Comp!$I$55:$I$65)*Tabl_B4_Tanks!$D12</f>
        <v>2.4957327043118908E-6</v>
      </c>
      <c r="K12" s="184">
        <f>_xlfn.XLOOKUP(K$5,Tabl_B3_Comp!$B$55:$B$65,Tabl_B3_Comp!$I$55:$I$65)*Tabl_B4_Tanks!$D12</f>
        <v>4.1749851899689243E-3</v>
      </c>
      <c r="L12" s="184">
        <f>_xlfn.XLOOKUP(L$5,Tabl_B3_Comp!$B$55:$B$65,Tabl_B3_Comp!$I$55:$I$65)*Tabl_B4_Tanks!$D12</f>
        <v>1.5035081250387148E-3</v>
      </c>
      <c r="M12" s="118">
        <f>_xlfn.XLOOKUP(M$5,Tabl_B3_Comp!$B$55:$B$65,Tabl_B3_Comp!$I$55:$I$65)*Tabl_B4_Tanks!$D12</f>
        <v>0</v>
      </c>
      <c r="N12" s="184">
        <f>_xlfn.XLOOKUP(N$5,Tabl_B3_Comp!$B$55:$B$65,Tabl_B3_Comp!$I$55:$I$65)*Tabl_B4_Tanks!$D12</f>
        <v>1.5965883979018755E-2</v>
      </c>
      <c r="O12" s="184">
        <f>_xlfn.XLOOKUP(O$5,Tabl_B3_Comp!$B$55:$B$65,Tabl_B3_Comp!$I$55:$I$65)*Tabl_B4_Tanks!$D12</f>
        <v>9.9310126477787971E-3</v>
      </c>
      <c r="P12" s="184">
        <f>_xlfn.XLOOKUP(P$5,Tabl_B3_Comp!$B$55:$B$65,Tabl_B3_Comp!$I$55:$I$65)*Tabl_B4_Tanks!$D12</f>
        <v>7.2283010666803534E-3</v>
      </c>
      <c r="Q12" s="118">
        <f>_xlfn.XLOOKUP(Q$5,Tabl_B3_Comp!$B$55:$B$65,Tabl_B3_Comp!$I$55:$I$65)*Tabl_B4_Tanks!$D12</f>
        <v>0</v>
      </c>
      <c r="R12" s="118">
        <v>0</v>
      </c>
      <c r="S12" s="310">
        <f>_xlfn.XLOOKUP(S$5,Tabl_B3_Comp!$B$55:$B$65,Tabl_B3_Comp!$J$55:$J$65)*Tabl_B4_Tanks!$E12</f>
        <v>0</v>
      </c>
      <c r="T12" s="118">
        <f>_xlfn.XLOOKUP(T$5,Tabl_B3_Comp!$B$55:$B$65,Tabl_B3_Comp!$J$55:$J$65)*Tabl_B4_Tanks!$E12</f>
        <v>0</v>
      </c>
      <c r="U12" s="184">
        <f>_xlfn.XLOOKUP(U$5,Tabl_B3_Comp!$B$55:$B$65,Tabl_B3_Comp!$J$55:$J$65)*Tabl_B4_Tanks!$E12</f>
        <v>5.0978486125440521E-6</v>
      </c>
      <c r="V12" s="184">
        <f>_xlfn.XLOOKUP(V$5,Tabl_B3_Comp!$B$55:$B$65,Tabl_B3_Comp!$J$55:$J$65)*Tabl_B4_Tanks!$E12</f>
        <v>1.2239177225024008E-6</v>
      </c>
      <c r="W12" s="184">
        <f>_xlfn.XLOOKUP(W$5,Tabl_B3_Comp!$B$55:$B$65,Tabl_B3_Comp!$J$55:$J$65)*Tabl_B4_Tanks!$E12</f>
        <v>1.0407240974916266E-3</v>
      </c>
      <c r="X12" s="184">
        <f>_xlfn.XLOOKUP(X$5,Tabl_B3_Comp!$B$55:$B$65,Tabl_B3_Comp!$J$55:$J$65)*Tabl_B4_Tanks!$E12</f>
        <v>4.4398113778341963E-4</v>
      </c>
      <c r="Y12" s="118">
        <f>_xlfn.XLOOKUP(Y$5,Tabl_B3_Comp!$B$55:$B$65,Tabl_B3_Comp!$J$55:$J$65)*Tabl_B4_Tanks!$E12</f>
        <v>0</v>
      </c>
      <c r="Z12" s="184">
        <f>_xlfn.XLOOKUP(Z$5,Tabl_B3_Comp!$B$55:$B$65,Tabl_B3_Comp!$J$55:$J$65)*Tabl_B4_Tanks!$E12</f>
        <v>4.3148788709394259E-3</v>
      </c>
      <c r="AA12" s="184">
        <f>_xlfn.XLOOKUP(AA$5,Tabl_B3_Comp!$B$55:$B$65,Tabl_B3_Comp!$J$55:$J$65)*Tabl_B4_Tanks!$E12</f>
        <v>2.3782745298777199E-3</v>
      </c>
      <c r="AB12" s="184">
        <f>_xlfn.XLOOKUP(AB$5,Tabl_B3_Comp!$B$55:$B$65,Tabl_B3_Comp!$J$55:$J$65)*Tabl_B4_Tanks!$E12</f>
        <v>2.1509525461476256E-3</v>
      </c>
      <c r="AC12" s="118">
        <f>_xlfn.XLOOKUP(AC$5,Tabl_B3_Comp!$B$55:$B$65,Tabl_B3_Comp!$J$55:$J$65)*Tabl_B4_Tanks!$E12</f>
        <v>0</v>
      </c>
      <c r="AD12" s="313">
        <v>0</v>
      </c>
    </row>
    <row r="13" spans="1:32">
      <c r="A13" s="408"/>
      <c r="B13" t="s">
        <v>1301</v>
      </c>
      <c r="C13">
        <v>0.6</v>
      </c>
      <c r="D13" s="29">
        <v>62.437371583144724</v>
      </c>
      <c r="E13" s="10">
        <v>13.508583121868488</v>
      </c>
      <c r="F13" s="118">
        <v>0</v>
      </c>
      <c r="G13" s="310">
        <f>_xlfn.XLOOKUP(G$5,Tabl_B3_Comp!$B$55:$B$65,Tabl_B3_Comp!$I$55:$I$65)*Tabl_B4_Tanks!$D13</f>
        <v>0</v>
      </c>
      <c r="H13" s="118">
        <f>_xlfn.XLOOKUP(H$5,Tabl_B3_Comp!$B$55:$B$65,Tabl_B3_Comp!$I$55:$I$65)*Tabl_B4_Tanks!$D13</f>
        <v>0</v>
      </c>
      <c r="I13" s="184">
        <f>_xlfn.XLOOKUP(I$5,Tabl_B3_Comp!$B$55:$B$65,Tabl_B3_Comp!$I$55:$I$65)*Tabl_B4_Tanks!$D13</f>
        <v>1.1278815765742652E-5</v>
      </c>
      <c r="J13" s="184">
        <f>_xlfn.XLOOKUP(J$5,Tabl_B3_Comp!$B$55:$B$65,Tabl_B3_Comp!$I$55:$I$65)*Tabl_B4_Tanks!$D13</f>
        <v>2.4957327043118908E-6</v>
      </c>
      <c r="K13" s="184">
        <f>_xlfn.XLOOKUP(K$5,Tabl_B3_Comp!$B$55:$B$65,Tabl_B3_Comp!$I$55:$I$65)*Tabl_B4_Tanks!$D13</f>
        <v>4.1749851899689243E-3</v>
      </c>
      <c r="L13" s="184">
        <f>_xlfn.XLOOKUP(L$5,Tabl_B3_Comp!$B$55:$B$65,Tabl_B3_Comp!$I$55:$I$65)*Tabl_B4_Tanks!$D13</f>
        <v>1.5035081250387148E-3</v>
      </c>
      <c r="M13" s="118">
        <f>_xlfn.XLOOKUP(M$5,Tabl_B3_Comp!$B$55:$B$65,Tabl_B3_Comp!$I$55:$I$65)*Tabl_B4_Tanks!$D13</f>
        <v>0</v>
      </c>
      <c r="N13" s="184">
        <f>_xlfn.XLOOKUP(N$5,Tabl_B3_Comp!$B$55:$B$65,Tabl_B3_Comp!$I$55:$I$65)*Tabl_B4_Tanks!$D13</f>
        <v>1.5965883979018755E-2</v>
      </c>
      <c r="O13" s="184">
        <f>_xlfn.XLOOKUP(O$5,Tabl_B3_Comp!$B$55:$B$65,Tabl_B3_Comp!$I$55:$I$65)*Tabl_B4_Tanks!$D13</f>
        <v>9.9310126477787971E-3</v>
      </c>
      <c r="P13" s="184">
        <f>_xlfn.XLOOKUP(P$5,Tabl_B3_Comp!$B$55:$B$65,Tabl_B3_Comp!$I$55:$I$65)*Tabl_B4_Tanks!$D13</f>
        <v>7.2283010666803534E-3</v>
      </c>
      <c r="Q13" s="118">
        <f>_xlfn.XLOOKUP(Q$5,Tabl_B3_Comp!$B$55:$B$65,Tabl_B3_Comp!$I$55:$I$65)*Tabl_B4_Tanks!$D13</f>
        <v>0</v>
      </c>
      <c r="R13" s="118">
        <v>0</v>
      </c>
      <c r="S13" s="310">
        <f>_xlfn.XLOOKUP(S$5,Tabl_B3_Comp!$B$55:$B$65,Tabl_B3_Comp!$J$55:$J$65)*Tabl_B4_Tanks!$E13</f>
        <v>0</v>
      </c>
      <c r="T13" s="118">
        <f>_xlfn.XLOOKUP(T$5,Tabl_B3_Comp!$B$55:$B$65,Tabl_B3_Comp!$J$55:$J$65)*Tabl_B4_Tanks!$E13</f>
        <v>0</v>
      </c>
      <c r="U13" s="184">
        <f>_xlfn.XLOOKUP(U$5,Tabl_B3_Comp!$B$55:$B$65,Tabl_B3_Comp!$J$55:$J$65)*Tabl_B4_Tanks!$E13</f>
        <v>5.0978486125440521E-6</v>
      </c>
      <c r="V13" s="184">
        <f>_xlfn.XLOOKUP(V$5,Tabl_B3_Comp!$B$55:$B$65,Tabl_B3_Comp!$J$55:$J$65)*Tabl_B4_Tanks!$E13</f>
        <v>1.2239177225024008E-6</v>
      </c>
      <c r="W13" s="184">
        <f>_xlfn.XLOOKUP(W$5,Tabl_B3_Comp!$B$55:$B$65,Tabl_B3_Comp!$J$55:$J$65)*Tabl_B4_Tanks!$E13</f>
        <v>1.0407240974916266E-3</v>
      </c>
      <c r="X13" s="184">
        <f>_xlfn.XLOOKUP(X$5,Tabl_B3_Comp!$B$55:$B$65,Tabl_B3_Comp!$J$55:$J$65)*Tabl_B4_Tanks!$E13</f>
        <v>4.4398113778341963E-4</v>
      </c>
      <c r="Y13" s="118">
        <f>_xlfn.XLOOKUP(Y$5,Tabl_B3_Comp!$B$55:$B$65,Tabl_B3_Comp!$J$55:$J$65)*Tabl_B4_Tanks!$E13</f>
        <v>0</v>
      </c>
      <c r="Z13" s="184">
        <f>_xlfn.XLOOKUP(Z$5,Tabl_B3_Comp!$B$55:$B$65,Tabl_B3_Comp!$J$55:$J$65)*Tabl_B4_Tanks!$E13</f>
        <v>4.3148788709394259E-3</v>
      </c>
      <c r="AA13" s="184">
        <f>_xlfn.XLOOKUP(AA$5,Tabl_B3_Comp!$B$55:$B$65,Tabl_B3_Comp!$J$55:$J$65)*Tabl_B4_Tanks!$E13</f>
        <v>2.3782745298777199E-3</v>
      </c>
      <c r="AB13" s="184">
        <f>_xlfn.XLOOKUP(AB$5,Tabl_B3_Comp!$B$55:$B$65,Tabl_B3_Comp!$J$55:$J$65)*Tabl_B4_Tanks!$E13</f>
        <v>2.1509525461476256E-3</v>
      </c>
      <c r="AC13" s="118">
        <f>_xlfn.XLOOKUP(AC$5,Tabl_B3_Comp!$B$55:$B$65,Tabl_B3_Comp!$J$55:$J$65)*Tabl_B4_Tanks!$E13</f>
        <v>0</v>
      </c>
      <c r="AD13" s="313">
        <v>0</v>
      </c>
    </row>
    <row r="14" spans="1:32">
      <c r="A14" s="408"/>
      <c r="B14" s="339" t="s">
        <v>1665</v>
      </c>
      <c r="C14" s="336" t="s">
        <v>1682</v>
      </c>
      <c r="D14" s="337"/>
      <c r="E14" s="338"/>
      <c r="F14" s="118">
        <v>0</v>
      </c>
      <c r="G14" s="310">
        <f>_xlfn.XLOOKUP(G$5,Tabl_B3_Comp!$B$55:$B$65,Tabl_B3_Comp!$I$55:$I$65)*Tabl_B4_Tanks!$D14</f>
        <v>0</v>
      </c>
      <c r="H14" s="118">
        <f>_xlfn.XLOOKUP(H$5,Tabl_B3_Comp!$B$55:$B$65,Tabl_B3_Comp!$I$55:$I$65)*Tabl_B4_Tanks!$D14</f>
        <v>0</v>
      </c>
      <c r="I14" s="184">
        <f>_xlfn.XLOOKUP(I$5,Tabl_B3_Comp!$B$55:$B$65,Tabl_B3_Comp!$I$55:$I$65)*Tabl_B4_Tanks!$D14</f>
        <v>0</v>
      </c>
      <c r="J14" s="184">
        <f>_xlfn.XLOOKUP(J$5,Tabl_B3_Comp!$B$55:$B$65,Tabl_B3_Comp!$I$55:$I$65)*Tabl_B4_Tanks!$D14</f>
        <v>0</v>
      </c>
      <c r="K14" s="184">
        <f>_xlfn.XLOOKUP(K$5,Tabl_B3_Comp!$B$55:$B$65,Tabl_B3_Comp!$I$55:$I$65)*Tabl_B4_Tanks!$D14</f>
        <v>0</v>
      </c>
      <c r="L14" s="184">
        <f>_xlfn.XLOOKUP(L$5,Tabl_B3_Comp!$B$55:$B$65,Tabl_B3_Comp!$I$55:$I$65)*Tabl_B4_Tanks!$D14</f>
        <v>0</v>
      </c>
      <c r="M14" s="118">
        <f>_xlfn.XLOOKUP(M$5,Tabl_B3_Comp!$B$55:$B$65,Tabl_B3_Comp!$I$55:$I$65)*Tabl_B4_Tanks!$D14</f>
        <v>0</v>
      </c>
      <c r="N14" s="184">
        <f>_xlfn.XLOOKUP(N$5,Tabl_B3_Comp!$B$55:$B$65,Tabl_B3_Comp!$I$55:$I$65)*Tabl_B4_Tanks!$D14</f>
        <v>0</v>
      </c>
      <c r="O14" s="184">
        <f>_xlfn.XLOOKUP(O$5,Tabl_B3_Comp!$B$55:$B$65,Tabl_B3_Comp!$I$55:$I$65)*Tabl_B4_Tanks!$D14</f>
        <v>0</v>
      </c>
      <c r="P14" s="184">
        <f>_xlfn.XLOOKUP(P$5,Tabl_B3_Comp!$B$55:$B$65,Tabl_B3_Comp!$I$55:$I$65)*Tabl_B4_Tanks!$D14</f>
        <v>0</v>
      </c>
      <c r="Q14" s="118">
        <f>_xlfn.XLOOKUP(Q$5,Tabl_B3_Comp!$B$55:$B$65,Tabl_B3_Comp!$I$55:$I$65)*Tabl_B4_Tanks!$D14</f>
        <v>0</v>
      </c>
      <c r="R14" s="118">
        <v>0</v>
      </c>
      <c r="S14" s="310">
        <f>_xlfn.XLOOKUP(S$5,Tabl_B3_Comp!$B$55:$B$65,Tabl_B3_Comp!$J$55:$J$65)*Tabl_B4_Tanks!$E14</f>
        <v>0</v>
      </c>
      <c r="T14" s="118">
        <f>_xlfn.XLOOKUP(T$5,Tabl_B3_Comp!$B$55:$B$65,Tabl_B3_Comp!$J$55:$J$65)*Tabl_B4_Tanks!$E14</f>
        <v>0</v>
      </c>
      <c r="U14" s="184">
        <f>_xlfn.XLOOKUP(U$5,Tabl_B3_Comp!$B$55:$B$65,Tabl_B3_Comp!$J$55:$J$65)*Tabl_B4_Tanks!$E14</f>
        <v>0</v>
      </c>
      <c r="V14" s="184">
        <f>_xlfn.XLOOKUP(V$5,Tabl_B3_Comp!$B$55:$B$65,Tabl_B3_Comp!$J$55:$J$65)*Tabl_B4_Tanks!$E14</f>
        <v>0</v>
      </c>
      <c r="W14" s="184">
        <f>_xlfn.XLOOKUP(W$5,Tabl_B3_Comp!$B$55:$B$65,Tabl_B3_Comp!$J$55:$J$65)*Tabl_B4_Tanks!$E14</f>
        <v>0</v>
      </c>
      <c r="X14" s="184">
        <f>_xlfn.XLOOKUP(X$5,Tabl_B3_Comp!$B$55:$B$65,Tabl_B3_Comp!$J$55:$J$65)*Tabl_B4_Tanks!$E14</f>
        <v>0</v>
      </c>
      <c r="Y14" s="118">
        <f>_xlfn.XLOOKUP(Y$5,Tabl_B3_Comp!$B$55:$B$65,Tabl_B3_Comp!$J$55:$J$65)*Tabl_B4_Tanks!$E14</f>
        <v>0</v>
      </c>
      <c r="Z14" s="184">
        <f>_xlfn.XLOOKUP(Z$5,Tabl_B3_Comp!$B$55:$B$65,Tabl_B3_Comp!$J$55:$J$65)*Tabl_B4_Tanks!$E14</f>
        <v>0</v>
      </c>
      <c r="AA14" s="184">
        <f>_xlfn.XLOOKUP(AA$5,Tabl_B3_Comp!$B$55:$B$65,Tabl_B3_Comp!$J$55:$J$65)*Tabl_B4_Tanks!$E14</f>
        <v>0</v>
      </c>
      <c r="AB14" s="184">
        <f>_xlfn.XLOOKUP(AB$5,Tabl_B3_Comp!$B$55:$B$65,Tabl_B3_Comp!$J$55:$J$65)*Tabl_B4_Tanks!$E14</f>
        <v>0</v>
      </c>
      <c r="AC14" s="118">
        <f>_xlfn.XLOOKUP(AC$5,Tabl_B3_Comp!$B$55:$B$65,Tabl_B3_Comp!$J$55:$J$65)*Tabl_B4_Tanks!$E14</f>
        <v>0</v>
      </c>
      <c r="AD14" s="313">
        <v>0</v>
      </c>
    </row>
    <row r="15" spans="1:32">
      <c r="A15" s="408"/>
      <c r="B15" t="s">
        <v>1302</v>
      </c>
      <c r="C15">
        <v>1</v>
      </c>
      <c r="D15" s="29">
        <v>75.653442647771584</v>
      </c>
      <c r="E15" s="10">
        <v>21.275675912923369</v>
      </c>
      <c r="F15" s="118">
        <v>0</v>
      </c>
      <c r="G15" s="310">
        <f>_xlfn.XLOOKUP(G$5,Tabl_B3_Comp!$B$55:$B$65,Tabl_B3_Comp!$I$55:$I$65)*Tabl_B4_Tanks!$D15</f>
        <v>0</v>
      </c>
      <c r="H15" s="118">
        <f>_xlfn.XLOOKUP(H$5,Tabl_B3_Comp!$B$55:$B$65,Tabl_B3_Comp!$I$55:$I$65)*Tabl_B4_Tanks!$D15</f>
        <v>0</v>
      </c>
      <c r="I15" s="184">
        <f>_xlfn.XLOOKUP(I$5,Tabl_B3_Comp!$B$55:$B$65,Tabl_B3_Comp!$I$55:$I$65)*Tabl_B4_Tanks!$D15</f>
        <v>1.3666194140349449E-5</v>
      </c>
      <c r="J15" s="184">
        <f>_xlfn.XLOOKUP(J$5,Tabl_B3_Comp!$B$55:$B$65,Tabl_B3_Comp!$I$55:$I$65)*Tabl_B4_Tanks!$D15</f>
        <v>3.0240025520356454E-6</v>
      </c>
      <c r="K15" s="184">
        <f>_xlfn.XLOOKUP(K$5,Tabl_B3_Comp!$B$55:$B$65,Tabl_B3_Comp!$I$55:$I$65)*Tabl_B4_Tanks!$D15</f>
        <v>5.058701137090716E-3</v>
      </c>
      <c r="L15" s="184">
        <f>_xlfn.XLOOKUP(L$5,Tabl_B3_Comp!$B$55:$B$65,Tabl_B3_Comp!$I$55:$I$65)*Tabl_B4_Tanks!$D15</f>
        <v>1.8217545489820264E-3</v>
      </c>
      <c r="M15" s="118">
        <f>_xlfn.XLOOKUP(M$5,Tabl_B3_Comp!$B$55:$B$65,Tabl_B3_Comp!$I$55:$I$65)*Tabl_B4_Tanks!$D15</f>
        <v>0</v>
      </c>
      <c r="N15" s="184">
        <f>_xlfn.XLOOKUP(N$5,Tabl_B3_Comp!$B$55:$B$65,Tabl_B3_Comp!$I$55:$I$65)*Tabl_B4_Tanks!$D15</f>
        <v>1.9345370525714795E-2</v>
      </c>
      <c r="O15" s="184">
        <f>_xlfn.XLOOKUP(O$5,Tabl_B3_Comp!$B$55:$B$65,Tabl_B3_Comp!$I$55:$I$65)*Tabl_B4_Tanks!$D15</f>
        <v>1.2033102559138616E-2</v>
      </c>
      <c r="P15" s="184">
        <f>_xlfn.XLOOKUP(P$5,Tabl_B3_Comp!$B$55:$B$65,Tabl_B3_Comp!$I$55:$I$65)*Tabl_B4_Tanks!$D15</f>
        <v>8.7583100685255637E-3</v>
      </c>
      <c r="Q15" s="118">
        <f>_xlfn.XLOOKUP(Q$5,Tabl_B3_Comp!$B$55:$B$65,Tabl_B3_Comp!$I$55:$I$65)*Tabl_B4_Tanks!$D15</f>
        <v>0</v>
      </c>
      <c r="R15" s="118">
        <v>0</v>
      </c>
      <c r="S15" s="310">
        <f>_xlfn.XLOOKUP(S$5,Tabl_B3_Comp!$B$55:$B$65,Tabl_B3_Comp!$J$55:$J$65)*Tabl_B4_Tanks!$E15</f>
        <v>0</v>
      </c>
      <c r="T15" s="118">
        <f>_xlfn.XLOOKUP(T$5,Tabl_B3_Comp!$B$55:$B$65,Tabl_B3_Comp!$J$55:$J$65)*Tabl_B4_Tanks!$E15</f>
        <v>0</v>
      </c>
      <c r="U15" s="184">
        <f>_xlfn.XLOOKUP(U$5,Tabl_B3_Comp!$B$55:$B$65,Tabl_B3_Comp!$J$55:$J$65)*Tabl_B4_Tanks!$E15</f>
        <v>8.0289823111094159E-6</v>
      </c>
      <c r="V15" s="184">
        <f>_xlfn.XLOOKUP(V$5,Tabl_B3_Comp!$B$55:$B$65,Tabl_B3_Comp!$J$55:$J$65)*Tabl_B4_Tanks!$E15</f>
        <v>1.9276393810606086E-6</v>
      </c>
      <c r="W15" s="184">
        <f>_xlfn.XLOOKUP(W$5,Tabl_B3_Comp!$B$55:$B$65,Tabl_B3_Comp!$J$55:$J$65)*Tabl_B4_Tanks!$E15</f>
        <v>1.6391140664602023E-3</v>
      </c>
      <c r="X15" s="184">
        <f>_xlfn.XLOOKUP(X$5,Tabl_B3_Comp!$B$55:$B$65,Tabl_B3_Comp!$J$55:$J$65)*Tabl_B4_Tanks!$E15</f>
        <v>6.9925903506780622E-4</v>
      </c>
      <c r="Y15" s="118">
        <f>_xlfn.XLOOKUP(Y$5,Tabl_B3_Comp!$B$55:$B$65,Tabl_B3_Comp!$J$55:$J$65)*Tabl_B4_Tanks!$E15</f>
        <v>0</v>
      </c>
      <c r="Z15" s="184">
        <f>_xlfn.XLOOKUP(Z$5,Tabl_B3_Comp!$B$55:$B$65,Tabl_B3_Comp!$J$55:$J$65)*Tabl_B4_Tanks!$E15</f>
        <v>6.7958248199260435E-3</v>
      </c>
      <c r="AA15" s="184">
        <f>_xlfn.XLOOKUP(AA$5,Tabl_B3_Comp!$B$55:$B$65,Tabl_B3_Comp!$J$55:$J$65)*Tabl_B4_Tanks!$E15</f>
        <v>3.7457220844816269E-3</v>
      </c>
      <c r="AB15" s="184">
        <f>_xlfn.XLOOKUP(AB$5,Tabl_B3_Comp!$B$55:$B$65,Tabl_B3_Comp!$J$55:$J$65)*Tabl_B4_Tanks!$E15</f>
        <v>3.3876957237528819E-3</v>
      </c>
      <c r="AC15" s="118">
        <f>_xlfn.XLOOKUP(AC$5,Tabl_B3_Comp!$B$55:$B$65,Tabl_B3_Comp!$J$55:$J$65)*Tabl_B4_Tanks!$E15</f>
        <v>0</v>
      </c>
      <c r="AD15" s="313">
        <v>0</v>
      </c>
    </row>
    <row r="16" spans="1:32">
      <c r="A16" s="408"/>
      <c r="B16" t="s">
        <v>1303</v>
      </c>
      <c r="C16">
        <v>1</v>
      </c>
      <c r="D16" s="29">
        <v>75.653442647771584</v>
      </c>
      <c r="E16" s="10">
        <v>21.275675912923369</v>
      </c>
      <c r="F16" s="118">
        <v>0</v>
      </c>
      <c r="G16" s="310">
        <f>_xlfn.XLOOKUP(G$5,Tabl_B3_Comp!$B$55:$B$65,Tabl_B3_Comp!$I$55:$I$65)*Tabl_B4_Tanks!$D16</f>
        <v>0</v>
      </c>
      <c r="H16" s="118">
        <f>_xlfn.XLOOKUP(H$5,Tabl_B3_Comp!$B$55:$B$65,Tabl_B3_Comp!$I$55:$I$65)*Tabl_B4_Tanks!$D16</f>
        <v>0</v>
      </c>
      <c r="I16" s="184">
        <f>_xlfn.XLOOKUP(I$5,Tabl_B3_Comp!$B$55:$B$65,Tabl_B3_Comp!$I$55:$I$65)*Tabl_B4_Tanks!$D16</f>
        <v>1.3666194140349449E-5</v>
      </c>
      <c r="J16" s="184">
        <f>_xlfn.XLOOKUP(J$5,Tabl_B3_Comp!$B$55:$B$65,Tabl_B3_Comp!$I$55:$I$65)*Tabl_B4_Tanks!$D16</f>
        <v>3.0240025520356454E-6</v>
      </c>
      <c r="K16" s="184">
        <f>_xlfn.XLOOKUP(K$5,Tabl_B3_Comp!$B$55:$B$65,Tabl_B3_Comp!$I$55:$I$65)*Tabl_B4_Tanks!$D16</f>
        <v>5.058701137090716E-3</v>
      </c>
      <c r="L16" s="184">
        <f>_xlfn.XLOOKUP(L$5,Tabl_B3_Comp!$B$55:$B$65,Tabl_B3_Comp!$I$55:$I$65)*Tabl_B4_Tanks!$D16</f>
        <v>1.8217545489820264E-3</v>
      </c>
      <c r="M16" s="118">
        <f>_xlfn.XLOOKUP(M$5,Tabl_B3_Comp!$B$55:$B$65,Tabl_B3_Comp!$I$55:$I$65)*Tabl_B4_Tanks!$D16</f>
        <v>0</v>
      </c>
      <c r="N16" s="184">
        <f>_xlfn.XLOOKUP(N$5,Tabl_B3_Comp!$B$55:$B$65,Tabl_B3_Comp!$I$55:$I$65)*Tabl_B4_Tanks!$D16</f>
        <v>1.9345370525714795E-2</v>
      </c>
      <c r="O16" s="184">
        <f>_xlfn.XLOOKUP(O$5,Tabl_B3_Comp!$B$55:$B$65,Tabl_B3_Comp!$I$55:$I$65)*Tabl_B4_Tanks!$D16</f>
        <v>1.2033102559138616E-2</v>
      </c>
      <c r="P16" s="184">
        <f>_xlfn.XLOOKUP(P$5,Tabl_B3_Comp!$B$55:$B$65,Tabl_B3_Comp!$I$55:$I$65)*Tabl_B4_Tanks!$D16</f>
        <v>8.7583100685255637E-3</v>
      </c>
      <c r="Q16" s="118">
        <f>_xlfn.XLOOKUP(Q$5,Tabl_B3_Comp!$B$55:$B$65,Tabl_B3_Comp!$I$55:$I$65)*Tabl_B4_Tanks!$D16</f>
        <v>0</v>
      </c>
      <c r="R16" s="118">
        <v>0</v>
      </c>
      <c r="S16" s="310">
        <f>_xlfn.XLOOKUP(S$5,Tabl_B3_Comp!$B$55:$B$65,Tabl_B3_Comp!$J$55:$J$65)*Tabl_B4_Tanks!$E16</f>
        <v>0</v>
      </c>
      <c r="T16" s="118">
        <f>_xlfn.XLOOKUP(T$5,Tabl_B3_Comp!$B$55:$B$65,Tabl_B3_Comp!$J$55:$J$65)*Tabl_B4_Tanks!$E16</f>
        <v>0</v>
      </c>
      <c r="U16" s="184">
        <f>_xlfn.XLOOKUP(U$5,Tabl_B3_Comp!$B$55:$B$65,Tabl_B3_Comp!$J$55:$J$65)*Tabl_B4_Tanks!$E16</f>
        <v>8.0289823111094159E-6</v>
      </c>
      <c r="V16" s="184">
        <f>_xlfn.XLOOKUP(V$5,Tabl_B3_Comp!$B$55:$B$65,Tabl_B3_Comp!$J$55:$J$65)*Tabl_B4_Tanks!$E16</f>
        <v>1.9276393810606086E-6</v>
      </c>
      <c r="W16" s="184">
        <f>_xlfn.XLOOKUP(W$5,Tabl_B3_Comp!$B$55:$B$65,Tabl_B3_Comp!$J$55:$J$65)*Tabl_B4_Tanks!$E16</f>
        <v>1.6391140664602023E-3</v>
      </c>
      <c r="X16" s="184">
        <f>_xlfn.XLOOKUP(X$5,Tabl_B3_Comp!$B$55:$B$65,Tabl_B3_Comp!$J$55:$J$65)*Tabl_B4_Tanks!$E16</f>
        <v>6.9925903506780622E-4</v>
      </c>
      <c r="Y16" s="118">
        <f>_xlfn.XLOOKUP(Y$5,Tabl_B3_Comp!$B$55:$B$65,Tabl_B3_Comp!$J$55:$J$65)*Tabl_B4_Tanks!$E16</f>
        <v>0</v>
      </c>
      <c r="Z16" s="184">
        <f>_xlfn.XLOOKUP(Z$5,Tabl_B3_Comp!$B$55:$B$65,Tabl_B3_Comp!$J$55:$J$65)*Tabl_B4_Tanks!$E16</f>
        <v>6.7958248199260435E-3</v>
      </c>
      <c r="AA16" s="184">
        <f>_xlfn.XLOOKUP(AA$5,Tabl_B3_Comp!$B$55:$B$65,Tabl_B3_Comp!$J$55:$J$65)*Tabl_B4_Tanks!$E16</f>
        <v>3.7457220844816269E-3</v>
      </c>
      <c r="AB16" s="184">
        <f>_xlfn.XLOOKUP(AB$5,Tabl_B3_Comp!$B$55:$B$65,Tabl_B3_Comp!$J$55:$J$65)*Tabl_B4_Tanks!$E16</f>
        <v>3.3876957237528819E-3</v>
      </c>
      <c r="AC16" s="118">
        <f>_xlfn.XLOOKUP(AC$5,Tabl_B3_Comp!$B$55:$B$65,Tabl_B3_Comp!$J$55:$J$65)*Tabl_B4_Tanks!$E16</f>
        <v>0</v>
      </c>
      <c r="AD16" s="313">
        <v>0</v>
      </c>
    </row>
    <row r="17" spans="1:30">
      <c r="A17" s="408"/>
      <c r="B17" t="s">
        <v>1304</v>
      </c>
      <c r="C17">
        <v>1</v>
      </c>
      <c r="D17" s="29">
        <v>81.384260406513221</v>
      </c>
      <c r="E17" s="10">
        <v>21.583368048473933</v>
      </c>
      <c r="F17" s="118">
        <v>0</v>
      </c>
      <c r="G17" s="310">
        <f>_xlfn.XLOOKUP(G$5,Tabl_B3_Comp!$B$55:$B$65,Tabl_B3_Comp!$I$55:$I$65)*Tabl_B4_Tanks!$D17</f>
        <v>0</v>
      </c>
      <c r="H17" s="118">
        <f>_xlfn.XLOOKUP(H$5,Tabl_B3_Comp!$B$55:$B$65,Tabl_B3_Comp!$I$55:$I$65)*Tabl_B4_Tanks!$D17</f>
        <v>0</v>
      </c>
      <c r="I17" s="184">
        <f>_xlfn.XLOOKUP(I$5,Tabl_B3_Comp!$B$55:$B$65,Tabl_B3_Comp!$I$55:$I$65)*Tabl_B4_Tanks!$D17</f>
        <v>1.4701420897161585E-5</v>
      </c>
      <c r="J17" s="184">
        <f>_xlfn.XLOOKUP(J$5,Tabl_B3_Comp!$B$55:$B$65,Tabl_B3_Comp!$I$55:$I$65)*Tabl_B4_Tanks!$D17</f>
        <v>3.2530735225183928E-6</v>
      </c>
      <c r="K17" s="184">
        <f>_xlfn.XLOOKUP(K$5,Tabl_B3_Comp!$B$55:$B$65,Tabl_B3_Comp!$I$55:$I$65)*Tabl_B4_Tanks!$D17</f>
        <v>5.4419023940061526E-3</v>
      </c>
      <c r="L17" s="184">
        <f>_xlfn.XLOOKUP(L$5,Tabl_B3_Comp!$B$55:$B$65,Tabl_B3_Comp!$I$55:$I$65)*Tabl_B4_Tanks!$D17</f>
        <v>1.9597541291198652E-3</v>
      </c>
      <c r="M17" s="118">
        <f>_xlfn.XLOOKUP(M$5,Tabl_B3_Comp!$B$55:$B$65,Tabl_B3_Comp!$I$55:$I$65)*Tabl_B4_Tanks!$D17</f>
        <v>0</v>
      </c>
      <c r="N17" s="184">
        <f>_xlfn.XLOOKUP(N$5,Tabl_B3_Comp!$B$55:$B$65,Tabl_B3_Comp!$I$55:$I$65)*Tabl_B4_Tanks!$D17</f>
        <v>2.0810800109327655E-2</v>
      </c>
      <c r="O17" s="184">
        <f>_xlfn.XLOOKUP(O$5,Tabl_B3_Comp!$B$55:$B$65,Tabl_B3_Comp!$I$55:$I$65)*Tabl_B4_Tanks!$D17</f>
        <v>1.294462112888479E-2</v>
      </c>
      <c r="P17" s="184">
        <f>_xlfn.XLOOKUP(P$5,Tabl_B3_Comp!$B$55:$B$65,Tabl_B3_Comp!$I$55:$I$65)*Tabl_B4_Tanks!$D17</f>
        <v>9.4217600996227332E-3</v>
      </c>
      <c r="Q17" s="118">
        <f>_xlfn.XLOOKUP(Q$5,Tabl_B3_Comp!$B$55:$B$65,Tabl_B3_Comp!$I$55:$I$65)*Tabl_B4_Tanks!$D17</f>
        <v>0</v>
      </c>
      <c r="R17" s="118">
        <v>0</v>
      </c>
      <c r="S17" s="310">
        <f>_xlfn.XLOOKUP(S$5,Tabl_B3_Comp!$B$55:$B$65,Tabl_B3_Comp!$J$55:$J$65)*Tabl_B4_Tanks!$E17</f>
        <v>0</v>
      </c>
      <c r="T17" s="118">
        <f>_xlfn.XLOOKUP(T$5,Tabl_B3_Comp!$B$55:$B$65,Tabl_B3_Comp!$J$55:$J$65)*Tabl_B4_Tanks!$E17</f>
        <v>0</v>
      </c>
      <c r="U17" s="184">
        <f>_xlfn.XLOOKUP(U$5,Tabl_B3_Comp!$B$55:$B$65,Tabl_B3_Comp!$J$55:$J$65)*Tabl_B4_Tanks!$E17</f>
        <v>8.145098702603344E-6</v>
      </c>
      <c r="V17" s="184">
        <f>_xlfn.XLOOKUP(V$5,Tabl_B3_Comp!$B$55:$B$65,Tabl_B3_Comp!$J$55:$J$65)*Tabl_B4_Tanks!$E17</f>
        <v>1.9555172017304386E-6</v>
      </c>
      <c r="W17" s="184">
        <f>_xlfn.XLOOKUP(W$5,Tabl_B3_Comp!$B$55:$B$65,Tabl_B3_Comp!$J$55:$J$65)*Tabl_B4_Tanks!$E17</f>
        <v>1.6628191891357061E-3</v>
      </c>
      <c r="X17" s="184">
        <f>_xlfn.XLOOKUP(X$5,Tabl_B3_Comp!$B$55:$B$65,Tabl_B3_Comp!$J$55:$J$65)*Tabl_B4_Tanks!$E17</f>
        <v>7.0937182803775119E-4</v>
      </c>
      <c r="Y17" s="118">
        <f>_xlfn.XLOOKUP(Y$5,Tabl_B3_Comp!$B$55:$B$65,Tabl_B3_Comp!$J$55:$J$65)*Tabl_B4_Tanks!$E17</f>
        <v>0</v>
      </c>
      <c r="Z17" s="184">
        <f>_xlfn.XLOOKUP(Z$5,Tabl_B3_Comp!$B$55:$B$65,Tabl_B3_Comp!$J$55:$J$65)*Tabl_B4_Tanks!$E17</f>
        <v>6.8941070959030164E-3</v>
      </c>
      <c r="AA17" s="184">
        <f>_xlfn.XLOOKUP(AA$5,Tabl_B3_Comp!$B$55:$B$65,Tabl_B3_Comp!$J$55:$J$65)*Tabl_B4_Tanks!$E17</f>
        <v>3.7998933001022308E-3</v>
      </c>
      <c r="AB17" s="184">
        <f>_xlfn.XLOOKUP(AB$5,Tabl_B3_Comp!$B$55:$B$65,Tabl_B3_Comp!$J$55:$J$65)*Tabl_B4_Tanks!$E17</f>
        <v>3.4366891064356794E-3</v>
      </c>
      <c r="AC17" s="118">
        <f>_xlfn.XLOOKUP(AC$5,Tabl_B3_Comp!$B$55:$B$65,Tabl_B3_Comp!$J$55:$J$65)*Tabl_B4_Tanks!$E17</f>
        <v>0</v>
      </c>
      <c r="AD17" s="313">
        <v>0</v>
      </c>
    </row>
    <row r="18" spans="1:30">
      <c r="A18" s="408"/>
      <c r="B18" t="s">
        <v>1305</v>
      </c>
      <c r="C18">
        <v>1</v>
      </c>
      <c r="D18" s="29">
        <v>78.963168776646057</v>
      </c>
      <c r="E18" s="10">
        <v>22.45815700319616</v>
      </c>
      <c r="F18" s="118">
        <v>0</v>
      </c>
      <c r="G18" s="310">
        <f>_xlfn.XLOOKUP(G$5,Tabl_B3_Comp!$B$55:$B$65,Tabl_B3_Comp!$I$55:$I$65)*Tabl_B4_Tanks!$D18</f>
        <v>0</v>
      </c>
      <c r="H18" s="118">
        <f>_xlfn.XLOOKUP(H$5,Tabl_B3_Comp!$B$55:$B$65,Tabl_B3_Comp!$I$55:$I$65)*Tabl_B4_Tanks!$D18</f>
        <v>0</v>
      </c>
      <c r="I18" s="184">
        <f>_xlfn.XLOOKUP(I$5,Tabl_B3_Comp!$B$55:$B$65,Tabl_B3_Comp!$I$55:$I$65)*Tabl_B4_Tanks!$D18</f>
        <v>1.4264069904432977E-5</v>
      </c>
      <c r="J18" s="184">
        <f>_xlfn.XLOOKUP(J$5,Tabl_B3_Comp!$B$55:$B$65,Tabl_B3_Comp!$I$55:$I$65)*Tabl_B4_Tanks!$D18</f>
        <v>3.1562981873691717E-6</v>
      </c>
      <c r="K18" s="184">
        <f>_xlfn.XLOOKUP(K$5,Tabl_B3_Comp!$B$55:$B$65,Tabl_B3_Comp!$I$55:$I$65)*Tabl_B4_Tanks!$D18</f>
        <v>5.2800118236320812E-3</v>
      </c>
      <c r="L18" s="184">
        <f>_xlfn.XLOOKUP(L$5,Tabl_B3_Comp!$B$55:$B$65,Tabl_B3_Comp!$I$55:$I$65)*Tabl_B4_Tanks!$D18</f>
        <v>1.9014536138247727E-3</v>
      </c>
      <c r="M18" s="118">
        <f>_xlfn.XLOOKUP(M$5,Tabl_B3_Comp!$B$55:$B$65,Tabl_B3_Comp!$I$55:$I$65)*Tabl_B4_Tanks!$D18</f>
        <v>0</v>
      </c>
      <c r="N18" s="184">
        <f>_xlfn.XLOOKUP(N$5,Tabl_B3_Comp!$B$55:$B$65,Tabl_B3_Comp!$I$55:$I$65)*Tabl_B4_Tanks!$D18</f>
        <v>2.019170184998537E-2</v>
      </c>
      <c r="O18" s="184">
        <f>_xlfn.XLOOKUP(O$5,Tabl_B3_Comp!$B$55:$B$65,Tabl_B3_Comp!$I$55:$I$65)*Tabl_B4_Tanks!$D18</f>
        <v>1.2559532983948641E-2</v>
      </c>
      <c r="P18" s="184">
        <f>_xlfn.XLOOKUP(P$5,Tabl_B3_Comp!$B$55:$B$65,Tabl_B3_Comp!$I$55:$I$65)*Tabl_B4_Tanks!$D18</f>
        <v>9.1414731694242808E-3</v>
      </c>
      <c r="Q18" s="118">
        <f>_xlfn.XLOOKUP(Q$5,Tabl_B3_Comp!$B$55:$B$65,Tabl_B3_Comp!$I$55:$I$65)*Tabl_B4_Tanks!$D18</f>
        <v>0</v>
      </c>
      <c r="R18" s="118">
        <v>0</v>
      </c>
      <c r="S18" s="310">
        <f>_xlfn.XLOOKUP(S$5,Tabl_B3_Comp!$B$55:$B$65,Tabl_B3_Comp!$J$55:$J$65)*Tabl_B4_Tanks!$E18</f>
        <v>0</v>
      </c>
      <c r="T18" s="118">
        <f>_xlfn.XLOOKUP(T$5,Tabl_B3_Comp!$B$55:$B$65,Tabl_B3_Comp!$J$55:$J$65)*Tabl_B4_Tanks!$E18</f>
        <v>0</v>
      </c>
      <c r="U18" s="184">
        <f>_xlfn.XLOOKUP(U$5,Tabl_B3_Comp!$B$55:$B$65,Tabl_B3_Comp!$J$55:$J$65)*Tabl_B4_Tanks!$E18</f>
        <v>8.475225231704697E-6</v>
      </c>
      <c r="V18" s="184">
        <f>_xlfn.XLOOKUP(V$5,Tabl_B3_Comp!$B$55:$B$65,Tabl_B3_Comp!$J$55:$J$65)*Tabl_B4_Tanks!$E18</f>
        <v>2.0347756772844457E-6</v>
      </c>
      <c r="W18" s="184">
        <f>_xlfn.XLOOKUP(W$5,Tabl_B3_Comp!$B$55:$B$65,Tabl_B3_Comp!$J$55:$J$65)*Tabl_B4_Tanks!$E18</f>
        <v>1.7302144101729961E-3</v>
      </c>
      <c r="X18" s="184">
        <f>_xlfn.XLOOKUP(X$5,Tabl_B3_Comp!$B$55:$B$65,Tabl_B3_Comp!$J$55:$J$65)*Tabl_B4_Tanks!$E18</f>
        <v>7.3812316279536869E-4</v>
      </c>
      <c r="Y18" s="118">
        <f>_xlfn.XLOOKUP(Y$5,Tabl_B3_Comp!$B$55:$B$65,Tabl_B3_Comp!$J$55:$J$65)*Tabl_B4_Tanks!$E18</f>
        <v>0</v>
      </c>
      <c r="Z18" s="184">
        <f>_xlfn.XLOOKUP(Z$5,Tabl_B3_Comp!$B$55:$B$65,Tabl_B3_Comp!$J$55:$J$65)*Tabl_B4_Tanks!$E18</f>
        <v>7.1735300630054342E-3</v>
      </c>
      <c r="AA18" s="184">
        <f>_xlfn.XLOOKUP(AA$5,Tabl_B3_Comp!$B$55:$B$65,Tabl_B3_Comp!$J$55:$J$65)*Tabl_B4_Tanks!$E18</f>
        <v>3.9539056248046054E-3</v>
      </c>
      <c r="AB18" s="184">
        <f>_xlfn.XLOOKUP(AB$5,Tabl_B3_Comp!$B$55:$B$65,Tabl_B3_Comp!$J$55:$J$65)*Tabl_B4_Tanks!$E18</f>
        <v>3.5759805119462622E-3</v>
      </c>
      <c r="AC18" s="118">
        <f>_xlfn.XLOOKUP(AC$5,Tabl_B3_Comp!$B$55:$B$65,Tabl_B3_Comp!$J$55:$J$65)*Tabl_B4_Tanks!$E18</f>
        <v>0</v>
      </c>
      <c r="AD18" s="313">
        <v>0</v>
      </c>
    </row>
    <row r="19" spans="1:30">
      <c r="A19" s="408"/>
      <c r="B19" t="s">
        <v>1666</v>
      </c>
      <c r="C19">
        <v>1</v>
      </c>
      <c r="D19" s="29">
        <v>78.963168776646057</v>
      </c>
      <c r="E19" s="10">
        <v>22.459279967194519</v>
      </c>
      <c r="F19" s="118">
        <v>0</v>
      </c>
      <c r="G19" s="310">
        <f>_xlfn.XLOOKUP(G$5,Tabl_B3_Comp!$B$55:$B$65,Tabl_B3_Comp!$I$55:$I$65)*Tabl_B4_Tanks!$D19</f>
        <v>0</v>
      </c>
      <c r="H19" s="118">
        <f>_xlfn.XLOOKUP(H$5,Tabl_B3_Comp!$B$55:$B$65,Tabl_B3_Comp!$I$55:$I$65)*Tabl_B4_Tanks!$D19</f>
        <v>0</v>
      </c>
      <c r="I19" s="184">
        <f>_xlfn.XLOOKUP(I$5,Tabl_B3_Comp!$B$55:$B$65,Tabl_B3_Comp!$I$55:$I$65)*Tabl_B4_Tanks!$D19</f>
        <v>1.4264069904432977E-5</v>
      </c>
      <c r="J19" s="184">
        <f>_xlfn.XLOOKUP(J$5,Tabl_B3_Comp!$B$55:$B$65,Tabl_B3_Comp!$I$55:$I$65)*Tabl_B4_Tanks!$D19</f>
        <v>3.1562981873691717E-6</v>
      </c>
      <c r="K19" s="184">
        <f>_xlfn.XLOOKUP(K$5,Tabl_B3_Comp!$B$55:$B$65,Tabl_B3_Comp!$I$55:$I$65)*Tabl_B4_Tanks!$D19</f>
        <v>5.2800118236320812E-3</v>
      </c>
      <c r="L19" s="184">
        <f>_xlfn.XLOOKUP(L$5,Tabl_B3_Comp!$B$55:$B$65,Tabl_B3_Comp!$I$55:$I$65)*Tabl_B4_Tanks!$D19</f>
        <v>1.9014536138247727E-3</v>
      </c>
      <c r="M19" s="118">
        <f>_xlfn.XLOOKUP(M$5,Tabl_B3_Comp!$B$55:$B$65,Tabl_B3_Comp!$I$55:$I$65)*Tabl_B4_Tanks!$D19</f>
        <v>0</v>
      </c>
      <c r="N19" s="184">
        <f>_xlfn.XLOOKUP(N$5,Tabl_B3_Comp!$B$55:$B$65,Tabl_B3_Comp!$I$55:$I$65)*Tabl_B4_Tanks!$D19</f>
        <v>2.019170184998537E-2</v>
      </c>
      <c r="O19" s="184">
        <f>_xlfn.XLOOKUP(O$5,Tabl_B3_Comp!$B$55:$B$65,Tabl_B3_Comp!$I$55:$I$65)*Tabl_B4_Tanks!$D19</f>
        <v>1.2559532983948641E-2</v>
      </c>
      <c r="P19" s="184">
        <f>_xlfn.XLOOKUP(P$5,Tabl_B3_Comp!$B$55:$B$65,Tabl_B3_Comp!$I$55:$I$65)*Tabl_B4_Tanks!$D19</f>
        <v>9.1414731694242808E-3</v>
      </c>
      <c r="Q19" s="118">
        <f>_xlfn.XLOOKUP(Q$5,Tabl_B3_Comp!$B$55:$B$65,Tabl_B3_Comp!$I$55:$I$65)*Tabl_B4_Tanks!$D19</f>
        <v>0</v>
      </c>
      <c r="R19" s="118">
        <v>0</v>
      </c>
      <c r="S19" s="310">
        <f>_xlfn.XLOOKUP(S$5,Tabl_B3_Comp!$B$55:$B$65,Tabl_B3_Comp!$J$55:$J$65)*Tabl_B4_Tanks!$E19</f>
        <v>0</v>
      </c>
      <c r="T19" s="118">
        <f>_xlfn.XLOOKUP(T$5,Tabl_B3_Comp!$B$55:$B$65,Tabl_B3_Comp!$J$55:$J$65)*Tabl_B4_Tanks!$E19</f>
        <v>0</v>
      </c>
      <c r="U19" s="184">
        <f>_xlfn.XLOOKUP(U$5,Tabl_B3_Comp!$B$55:$B$65,Tabl_B3_Comp!$J$55:$J$65)*Tabl_B4_Tanks!$E19</f>
        <v>8.4756490141554042E-6</v>
      </c>
      <c r="V19" s="184">
        <f>_xlfn.XLOOKUP(V$5,Tabl_B3_Comp!$B$55:$B$65,Tabl_B3_Comp!$J$55:$J$65)*Tabl_B4_Tanks!$E19</f>
        <v>2.0348774211555033E-6</v>
      </c>
      <c r="W19" s="184">
        <f>_xlfn.XLOOKUP(W$5,Tabl_B3_Comp!$B$55:$B$65,Tabl_B3_Comp!$J$55:$J$65)*Tabl_B4_Tanks!$E19</f>
        <v>1.730300925219257E-3</v>
      </c>
      <c r="X19" s="184">
        <f>_xlfn.XLOOKUP(X$5,Tabl_B3_Comp!$B$55:$B$65,Tabl_B3_Comp!$J$55:$J$65)*Tabl_B4_Tanks!$E19</f>
        <v>7.3816007079890859E-4</v>
      </c>
      <c r="Y19" s="118">
        <f>_xlfn.XLOOKUP(Y$5,Tabl_B3_Comp!$B$55:$B$65,Tabl_B3_Comp!$J$55:$J$65)*Tabl_B4_Tanks!$E19</f>
        <v>0</v>
      </c>
      <c r="Z19" s="184">
        <f>_xlfn.XLOOKUP(Z$5,Tabl_B3_Comp!$B$55:$B$65,Tabl_B3_Comp!$J$55:$J$65)*Tabl_B4_Tanks!$E19</f>
        <v>7.1738887574433058E-3</v>
      </c>
      <c r="AA19" s="184">
        <f>_xlfn.XLOOKUP(AA$5,Tabl_B3_Comp!$B$55:$B$65,Tabl_B3_Comp!$J$55:$J$65)*Tabl_B4_Tanks!$E19</f>
        <v>3.9541033299711039E-3</v>
      </c>
      <c r="AB19" s="184">
        <f>_xlfn.XLOOKUP(AB$5,Tabl_B3_Comp!$B$55:$B$65,Tabl_B3_Comp!$J$55:$J$65)*Tabl_B4_Tanks!$E19</f>
        <v>3.5761593199122575E-3</v>
      </c>
      <c r="AC19" s="118">
        <f>_xlfn.XLOOKUP(AC$5,Tabl_B3_Comp!$B$55:$B$65,Tabl_B3_Comp!$J$55:$J$65)*Tabl_B4_Tanks!$E19</f>
        <v>0</v>
      </c>
      <c r="AD19" s="313">
        <v>0</v>
      </c>
    </row>
    <row r="20" spans="1:30">
      <c r="A20" s="408"/>
      <c r="B20" t="s">
        <v>1667</v>
      </c>
      <c r="C20">
        <v>1</v>
      </c>
      <c r="D20" s="29">
        <v>78.963168776646057</v>
      </c>
      <c r="E20" s="10">
        <v>22.459279967194519</v>
      </c>
      <c r="F20" s="118">
        <v>0</v>
      </c>
      <c r="G20" s="310">
        <f>_xlfn.XLOOKUP(G$5,Tabl_B3_Comp!$B$55:$B$65,Tabl_B3_Comp!$I$55:$I$65)*Tabl_B4_Tanks!$D20</f>
        <v>0</v>
      </c>
      <c r="H20" s="118">
        <f>_xlfn.XLOOKUP(H$5,Tabl_B3_Comp!$B$55:$B$65,Tabl_B3_Comp!$I$55:$I$65)*Tabl_B4_Tanks!$D20</f>
        <v>0</v>
      </c>
      <c r="I20" s="184">
        <f>_xlfn.XLOOKUP(I$5,Tabl_B3_Comp!$B$55:$B$65,Tabl_B3_Comp!$I$55:$I$65)*Tabl_B4_Tanks!$D20</f>
        <v>1.4264069904432977E-5</v>
      </c>
      <c r="J20" s="184">
        <f>_xlfn.XLOOKUP(J$5,Tabl_B3_Comp!$B$55:$B$65,Tabl_B3_Comp!$I$55:$I$65)*Tabl_B4_Tanks!$D20</f>
        <v>3.1562981873691717E-6</v>
      </c>
      <c r="K20" s="184">
        <f>_xlfn.XLOOKUP(K$5,Tabl_B3_Comp!$B$55:$B$65,Tabl_B3_Comp!$I$55:$I$65)*Tabl_B4_Tanks!$D20</f>
        <v>5.2800118236320812E-3</v>
      </c>
      <c r="L20" s="184">
        <f>_xlfn.XLOOKUP(L$5,Tabl_B3_Comp!$B$55:$B$65,Tabl_B3_Comp!$I$55:$I$65)*Tabl_B4_Tanks!$D20</f>
        <v>1.9014536138247727E-3</v>
      </c>
      <c r="M20" s="118">
        <f>_xlfn.XLOOKUP(M$5,Tabl_B3_Comp!$B$55:$B$65,Tabl_B3_Comp!$I$55:$I$65)*Tabl_B4_Tanks!$D20</f>
        <v>0</v>
      </c>
      <c r="N20" s="184">
        <f>_xlfn.XLOOKUP(N$5,Tabl_B3_Comp!$B$55:$B$65,Tabl_B3_Comp!$I$55:$I$65)*Tabl_B4_Tanks!$D20</f>
        <v>2.019170184998537E-2</v>
      </c>
      <c r="O20" s="184">
        <f>_xlfn.XLOOKUP(O$5,Tabl_B3_Comp!$B$55:$B$65,Tabl_B3_Comp!$I$55:$I$65)*Tabl_B4_Tanks!$D20</f>
        <v>1.2559532983948641E-2</v>
      </c>
      <c r="P20" s="184">
        <f>_xlfn.XLOOKUP(P$5,Tabl_B3_Comp!$B$55:$B$65,Tabl_B3_Comp!$I$55:$I$65)*Tabl_B4_Tanks!$D20</f>
        <v>9.1414731694242808E-3</v>
      </c>
      <c r="Q20" s="118">
        <f>_xlfn.XLOOKUP(Q$5,Tabl_B3_Comp!$B$55:$B$65,Tabl_B3_Comp!$I$55:$I$65)*Tabl_B4_Tanks!$D20</f>
        <v>0</v>
      </c>
      <c r="R20" s="118">
        <v>0</v>
      </c>
      <c r="S20" s="310">
        <f>_xlfn.XLOOKUP(S$5,Tabl_B3_Comp!$B$55:$B$65,Tabl_B3_Comp!$J$55:$J$65)*Tabl_B4_Tanks!$E20</f>
        <v>0</v>
      </c>
      <c r="T20" s="118">
        <f>_xlfn.XLOOKUP(T$5,Tabl_B3_Comp!$B$55:$B$65,Tabl_B3_Comp!$J$55:$J$65)*Tabl_B4_Tanks!$E20</f>
        <v>0</v>
      </c>
      <c r="U20" s="184">
        <f>_xlfn.XLOOKUP(U$5,Tabl_B3_Comp!$B$55:$B$65,Tabl_B3_Comp!$J$55:$J$65)*Tabl_B4_Tanks!$E20</f>
        <v>8.4756490141554042E-6</v>
      </c>
      <c r="V20" s="184">
        <f>_xlfn.XLOOKUP(V$5,Tabl_B3_Comp!$B$55:$B$65,Tabl_B3_Comp!$J$55:$J$65)*Tabl_B4_Tanks!$E20</f>
        <v>2.0348774211555033E-6</v>
      </c>
      <c r="W20" s="184">
        <f>_xlfn.XLOOKUP(W$5,Tabl_B3_Comp!$B$55:$B$65,Tabl_B3_Comp!$J$55:$J$65)*Tabl_B4_Tanks!$E20</f>
        <v>1.730300925219257E-3</v>
      </c>
      <c r="X20" s="184">
        <f>_xlfn.XLOOKUP(X$5,Tabl_B3_Comp!$B$55:$B$65,Tabl_B3_Comp!$J$55:$J$65)*Tabl_B4_Tanks!$E20</f>
        <v>7.3816007079890859E-4</v>
      </c>
      <c r="Y20" s="118">
        <f>_xlfn.XLOOKUP(Y$5,Tabl_B3_Comp!$B$55:$B$65,Tabl_B3_Comp!$J$55:$J$65)*Tabl_B4_Tanks!$E20</f>
        <v>0</v>
      </c>
      <c r="Z20" s="184">
        <f>_xlfn.XLOOKUP(Z$5,Tabl_B3_Comp!$B$55:$B$65,Tabl_B3_Comp!$J$55:$J$65)*Tabl_B4_Tanks!$E20</f>
        <v>7.1738887574433058E-3</v>
      </c>
      <c r="AA20" s="184">
        <f>_xlfn.XLOOKUP(AA$5,Tabl_B3_Comp!$B$55:$B$65,Tabl_B3_Comp!$J$55:$J$65)*Tabl_B4_Tanks!$E20</f>
        <v>3.9541033299711039E-3</v>
      </c>
      <c r="AB20" s="184">
        <f>_xlfn.XLOOKUP(AB$5,Tabl_B3_Comp!$B$55:$B$65,Tabl_B3_Comp!$J$55:$J$65)*Tabl_B4_Tanks!$E20</f>
        <v>3.5761593199122575E-3</v>
      </c>
      <c r="AC20" s="118">
        <f>_xlfn.XLOOKUP(AC$5,Tabl_B3_Comp!$B$55:$B$65,Tabl_B3_Comp!$J$55:$J$65)*Tabl_B4_Tanks!$E20</f>
        <v>0</v>
      </c>
      <c r="AD20" s="313">
        <v>0</v>
      </c>
    </row>
    <row r="21" spans="1:30">
      <c r="A21" s="408"/>
      <c r="B21" t="s">
        <v>1306</v>
      </c>
      <c r="C21">
        <v>1</v>
      </c>
      <c r="D21" s="29">
        <v>7197.8163398085453</v>
      </c>
      <c r="E21" s="10">
        <v>231.33058366210355</v>
      </c>
      <c r="F21" s="118">
        <v>0</v>
      </c>
      <c r="G21" s="310">
        <f>_xlfn.XLOOKUP(G$5,Tabl_B3_Comp!$B$55:$B$65,Tabl_B3_Comp!$I$55:$I$65)*Tabl_B4_Tanks!$D21</f>
        <v>0</v>
      </c>
      <c r="H21" s="118">
        <f>_xlfn.XLOOKUP(H$5,Tabl_B3_Comp!$B$55:$B$65,Tabl_B3_Comp!$I$55:$I$65)*Tabl_B4_Tanks!$D21</f>
        <v>0</v>
      </c>
      <c r="I21" s="184">
        <f>_xlfn.XLOOKUP(I$5,Tabl_B3_Comp!$B$55:$B$65,Tabl_B3_Comp!$I$55:$I$65)*Tabl_B4_Tanks!$D21</f>
        <v>1.3002284105480891E-3</v>
      </c>
      <c r="J21" s="184">
        <f>_xlfn.XLOOKUP(J$5,Tabl_B3_Comp!$B$55:$B$65,Tabl_B3_Comp!$I$55:$I$65)*Tabl_B4_Tanks!$D21</f>
        <v>2.8770951088114222E-4</v>
      </c>
      <c r="K21" s="184">
        <f>_xlfn.XLOOKUP(K$5,Tabl_B3_Comp!$B$55:$B$65,Tabl_B3_Comp!$I$55:$I$65)*Tabl_B4_Tanks!$D21</f>
        <v>0.48129470951223324</v>
      </c>
      <c r="L21" s="184">
        <f>_xlfn.XLOOKUP(L$5,Tabl_B3_Comp!$B$55:$B$65,Tabl_B3_Comp!$I$55:$I$65)*Tabl_B4_Tanks!$D21</f>
        <v>0.17332528700423414</v>
      </c>
      <c r="M21" s="118">
        <f>_xlfn.XLOOKUP(M$5,Tabl_B3_Comp!$B$55:$B$65,Tabl_B3_Comp!$I$55:$I$65)*Tabl_B4_Tanks!$D21</f>
        <v>0</v>
      </c>
      <c r="N21" s="184">
        <f>_xlfn.XLOOKUP(N$5,Tabl_B3_Comp!$B$55:$B$65,Tabl_B3_Comp!$I$55:$I$65)*Tabl_B4_Tanks!$D21</f>
        <v>1.8405563474214497</v>
      </c>
      <c r="O21" s="184">
        <f>_xlfn.XLOOKUP(O$5,Tabl_B3_Comp!$B$55:$B$65,Tabl_B3_Comp!$I$55:$I$65)*Tabl_B4_Tanks!$D21</f>
        <v>1.1448528868938546</v>
      </c>
      <c r="P21" s="184">
        <f>_xlfn.XLOOKUP(P$5,Tabl_B3_Comp!$B$55:$B$65,Tabl_B3_Comp!$I$55:$I$65)*Tabl_B4_Tanks!$D21</f>
        <v>0.83328273128096564</v>
      </c>
      <c r="Q21" s="118">
        <f>_xlfn.XLOOKUP(Q$5,Tabl_B3_Comp!$B$55:$B$65,Tabl_B3_Comp!$I$55:$I$65)*Tabl_B4_Tanks!$D21</f>
        <v>0</v>
      </c>
      <c r="R21" s="118">
        <v>0</v>
      </c>
      <c r="S21" s="310">
        <f>_xlfn.XLOOKUP(S$5,Tabl_B3_Comp!$B$55:$B$65,Tabl_B3_Comp!$J$55:$J$65)*Tabl_B4_Tanks!$E21</f>
        <v>0</v>
      </c>
      <c r="T21" s="118">
        <f>_xlfn.XLOOKUP(T$5,Tabl_B3_Comp!$B$55:$B$65,Tabl_B3_Comp!$J$55:$J$65)*Tabl_B4_Tanks!$E21</f>
        <v>0</v>
      </c>
      <c r="U21" s="184">
        <f>_xlfn.XLOOKUP(U$5,Tabl_B3_Comp!$B$55:$B$65,Tabl_B3_Comp!$J$55:$J$65)*Tabl_B4_Tanks!$E21</f>
        <v>8.7299184845800672E-5</v>
      </c>
      <c r="V21" s="184">
        <f>_xlfn.XLOOKUP(V$5,Tabl_B3_Comp!$B$55:$B$65,Tabl_B3_Comp!$J$55:$J$65)*Tabl_B4_Tanks!$E21</f>
        <v>2.0959237437901684E-5</v>
      </c>
      <c r="W21" s="184">
        <f>_xlfn.XLOOKUP(W$5,Tabl_B3_Comp!$B$55:$B$65,Tabl_B3_Comp!$J$55:$J$65)*Tabl_B4_Tanks!$E21</f>
        <v>1.7822099529758349E-2</v>
      </c>
      <c r="X21" s="184">
        <f>_xlfn.XLOOKUP(X$5,Tabl_B3_Comp!$B$55:$B$65,Tabl_B3_Comp!$J$55:$J$65)*Tabl_B4_Tanks!$E21</f>
        <v>7.6030487292287592E-3</v>
      </c>
      <c r="Y21" s="118">
        <f>_xlfn.XLOOKUP(Y$5,Tabl_B3_Comp!$B$55:$B$65,Tabl_B3_Comp!$J$55:$J$65)*Tabl_B4_Tanks!$E21</f>
        <v>0</v>
      </c>
      <c r="Z21" s="184">
        <f>_xlfn.XLOOKUP(Z$5,Tabl_B3_Comp!$B$55:$B$65,Tabl_B3_Comp!$J$55:$J$65)*Tabl_B4_Tanks!$E21</f>
        <v>7.3891054201666057E-2</v>
      </c>
      <c r="AA21" s="184">
        <f>_xlfn.XLOOKUP(AA$5,Tabl_B3_Comp!$B$55:$B$65,Tabl_B3_Comp!$J$55:$J$65)*Tabl_B4_Tanks!$E21</f>
        <v>4.0727264298702368E-2</v>
      </c>
      <c r="AB21" s="184">
        <f>_xlfn.XLOOKUP(AB$5,Tabl_B3_Comp!$B$55:$B$65,Tabl_B3_Comp!$J$55:$J$65)*Tabl_B4_Tanks!$E21</f>
        <v>3.6834440995096251E-2</v>
      </c>
      <c r="AC21" s="118">
        <f>_xlfn.XLOOKUP(AC$5,Tabl_B3_Comp!$B$55:$B$65,Tabl_B3_Comp!$J$55:$J$65)*Tabl_B4_Tanks!$E21</f>
        <v>0</v>
      </c>
      <c r="AD21" s="313">
        <v>0</v>
      </c>
    </row>
    <row r="22" spans="1:30">
      <c r="A22" s="408"/>
      <c r="B22" t="s">
        <v>1307</v>
      </c>
      <c r="C22">
        <v>0.8</v>
      </c>
      <c r="D22" s="29">
        <v>136.82220038739317</v>
      </c>
      <c r="E22" s="10">
        <v>21.081178548407465</v>
      </c>
      <c r="F22" s="118">
        <v>0</v>
      </c>
      <c r="G22" s="310">
        <f>_xlfn.XLOOKUP(G$5,Tabl_B3_Comp!$B$55:$B$65,Tabl_B3_Comp!$I$55:$I$65)*Tabl_B4_Tanks!$D22</f>
        <v>0</v>
      </c>
      <c r="H22" s="118">
        <f>_xlfn.XLOOKUP(H$5,Tabl_B3_Comp!$B$55:$B$65,Tabl_B3_Comp!$I$55:$I$65)*Tabl_B4_Tanks!$D22</f>
        <v>0</v>
      </c>
      <c r="I22" s="184">
        <f>_xlfn.XLOOKUP(I$5,Tabl_B3_Comp!$B$55:$B$65,Tabl_B3_Comp!$I$55:$I$65)*Tabl_B4_Tanks!$D22</f>
        <v>2.4715844881105195E-5</v>
      </c>
      <c r="J22" s="184">
        <f>_xlfn.XLOOKUP(J$5,Tabl_B3_Comp!$B$55:$B$65,Tabl_B3_Comp!$I$55:$I$65)*Tabl_B4_Tanks!$D22</f>
        <v>5.4690265064731542E-6</v>
      </c>
      <c r="K22" s="184">
        <f>_xlfn.XLOOKUP(K$5,Tabl_B3_Comp!$B$55:$B$65,Tabl_B3_Comp!$I$55:$I$65)*Tabl_B4_Tanks!$D22</f>
        <v>9.1488582205233853E-3</v>
      </c>
      <c r="L22" s="184">
        <f>_xlfn.XLOOKUP(L$5,Tabl_B3_Comp!$B$55:$B$65,Tabl_B3_Comp!$I$55:$I$65)*Tabl_B4_Tanks!$D22</f>
        <v>3.2947141231623235E-3</v>
      </c>
      <c r="M22" s="118">
        <f>_xlfn.XLOOKUP(M$5,Tabl_B3_Comp!$B$55:$B$65,Tabl_B3_Comp!$I$55:$I$65)*Tabl_B4_Tanks!$D22</f>
        <v>0</v>
      </c>
      <c r="N22" s="184">
        <f>_xlfn.XLOOKUP(N$5,Tabl_B3_Comp!$B$55:$B$65,Tabl_B3_Comp!$I$55:$I$65)*Tabl_B4_Tanks!$D22</f>
        <v>3.4986856777438201E-2</v>
      </c>
      <c r="O22" s="184">
        <f>_xlfn.XLOOKUP(O$5,Tabl_B3_Comp!$B$55:$B$65,Tabl_B3_Comp!$I$55:$I$65)*Tabl_B4_Tanks!$D22</f>
        <v>2.1762335090206402E-2</v>
      </c>
      <c r="P22" s="184">
        <f>_xlfn.XLOOKUP(P$5,Tabl_B3_Comp!$B$55:$B$65,Tabl_B3_Comp!$I$55:$I$65)*Tabl_B4_Tanks!$D22</f>
        <v>1.583974520273897E-2</v>
      </c>
      <c r="Q22" s="118">
        <f>_xlfn.XLOOKUP(Q$5,Tabl_B3_Comp!$B$55:$B$65,Tabl_B3_Comp!$I$55:$I$65)*Tabl_B4_Tanks!$D22</f>
        <v>0</v>
      </c>
      <c r="R22" s="118">
        <v>0</v>
      </c>
      <c r="S22" s="310">
        <f>_xlfn.XLOOKUP(S$5,Tabl_B3_Comp!$B$55:$B$65,Tabl_B3_Comp!$J$55:$J$65)*Tabl_B4_Tanks!$E22</f>
        <v>0</v>
      </c>
      <c r="T22" s="118">
        <f>_xlfn.XLOOKUP(T$5,Tabl_B3_Comp!$B$55:$B$65,Tabl_B3_Comp!$J$55:$J$65)*Tabl_B4_Tanks!$E22</f>
        <v>0</v>
      </c>
      <c r="U22" s="184">
        <f>_xlfn.XLOOKUP(U$5,Tabl_B3_Comp!$B$55:$B$65,Tabl_B3_Comp!$J$55:$J$65)*Tabl_B4_Tanks!$E22</f>
        <v>7.955583190646829E-6</v>
      </c>
      <c r="V22" s="184">
        <f>_xlfn.XLOOKUP(V$5,Tabl_B3_Comp!$B$55:$B$65,Tabl_B3_Comp!$J$55:$J$65)*Tabl_B4_Tanks!$E22</f>
        <v>1.910017342593402E-6</v>
      </c>
      <c r="W22" s="184">
        <f>_xlfn.XLOOKUP(W$5,Tabl_B3_Comp!$B$55:$B$65,Tabl_B3_Comp!$J$55:$J$65)*Tabl_B4_Tanks!$E22</f>
        <v>1.6241296604478036E-3</v>
      </c>
      <c r="X22" s="184">
        <f>_xlfn.XLOOKUP(X$5,Tabl_B3_Comp!$B$55:$B$65,Tabl_B3_Comp!$J$55:$J$65)*Tabl_B4_Tanks!$E22</f>
        <v>6.9286656885468763E-4</v>
      </c>
      <c r="Y22" s="118">
        <f>_xlfn.XLOOKUP(Y$5,Tabl_B3_Comp!$B$55:$B$65,Tabl_B3_Comp!$J$55:$J$65)*Tabl_B4_Tanks!$E22</f>
        <v>0</v>
      </c>
      <c r="Z22" s="184">
        <f>_xlfn.XLOOKUP(Z$5,Tabl_B3_Comp!$B$55:$B$65,Tabl_B3_Comp!$J$55:$J$65)*Tabl_B4_Tanks!$E22</f>
        <v>6.7336989432865849E-3</v>
      </c>
      <c r="AA22" s="184">
        <f>_xlfn.XLOOKUP(AA$5,Tabl_B3_Comp!$B$55:$B$65,Tabl_B3_Comp!$J$55:$J$65)*Tabl_B4_Tanks!$E22</f>
        <v>3.7114795496440769E-3</v>
      </c>
      <c r="AB22" s="184">
        <f>_xlfn.XLOOKUP(AB$5,Tabl_B3_Comp!$B$55:$B$65,Tabl_B3_Comp!$J$55:$J$65)*Tabl_B4_Tanks!$E22</f>
        <v>3.3567261840424419E-3</v>
      </c>
      <c r="AC22" s="118">
        <f>_xlfn.XLOOKUP(AC$5,Tabl_B3_Comp!$B$55:$B$65,Tabl_B3_Comp!$J$55:$J$65)*Tabl_B4_Tanks!$E22</f>
        <v>0</v>
      </c>
      <c r="AD22" s="313">
        <v>0</v>
      </c>
    </row>
    <row r="23" spans="1:30">
      <c r="A23" s="408"/>
      <c r="B23" t="s">
        <v>1607</v>
      </c>
      <c r="C23">
        <v>0.8</v>
      </c>
      <c r="D23" s="29">
        <v>113.58900187909713</v>
      </c>
      <c r="E23" s="213">
        <v>20.83598839511312</v>
      </c>
      <c r="F23" s="118">
        <v>0</v>
      </c>
      <c r="G23" s="310">
        <f>_xlfn.XLOOKUP(G$5,Tabl_B3_Comp!$B$55:$B$65,Tabl_B3_Comp!$I$55:$I$65)*Tabl_B4_Tanks!$D23</f>
        <v>0</v>
      </c>
      <c r="H23" s="118">
        <f>_xlfn.XLOOKUP(H$5,Tabl_B3_Comp!$B$55:$B$65,Tabl_B3_Comp!$I$55:$I$65)*Tabl_B4_Tanks!$D23</f>
        <v>0</v>
      </c>
      <c r="I23" s="184">
        <f>_xlfn.XLOOKUP(I$5,Tabl_B3_Comp!$B$55:$B$65,Tabl_B3_Comp!$I$55:$I$65)*Tabl_B4_Tanks!$D23</f>
        <v>2.0518951914926301E-5</v>
      </c>
      <c r="J23" s="184">
        <f>_xlfn.XLOOKUP(J$5,Tabl_B3_Comp!$B$55:$B$65,Tabl_B3_Comp!$I$55:$I$65)*Tabl_B4_Tanks!$D23</f>
        <v>4.5403542726378386E-6</v>
      </c>
      <c r="K23" s="184">
        <f>_xlfn.XLOOKUP(K$5,Tabl_B3_Comp!$B$55:$B$65,Tabl_B3_Comp!$I$55:$I$65)*Tabl_B4_Tanks!$D23</f>
        <v>7.5953293446549275E-3</v>
      </c>
      <c r="L23" s="184">
        <f>_xlfn.XLOOKUP(L$5,Tabl_B3_Comp!$B$55:$B$65,Tabl_B3_Comp!$I$55:$I$65)*Tabl_B4_Tanks!$D23</f>
        <v>2.735252668553457E-3</v>
      </c>
      <c r="M23" s="118">
        <f>_xlfn.XLOOKUP(M$5,Tabl_B3_Comp!$B$55:$B$65,Tabl_B3_Comp!$I$55:$I$65)*Tabl_B4_Tanks!$D23</f>
        <v>0</v>
      </c>
      <c r="N23" s="184">
        <f>_xlfn.XLOOKUP(N$5,Tabl_B3_Comp!$B$55:$B$65,Tabl_B3_Comp!$I$55:$I$65)*Tabl_B4_Tanks!$D23</f>
        <v>2.9045886771181514E-2</v>
      </c>
      <c r="O23" s="184">
        <f>_xlfn.XLOOKUP(O$5,Tabl_B3_Comp!$B$55:$B$65,Tabl_B3_Comp!$I$55:$I$65)*Tabl_B4_Tanks!$D23</f>
        <v>1.8066965115719362E-2</v>
      </c>
      <c r="P23" s="184">
        <f>_xlfn.XLOOKUP(P$5,Tabl_B3_Comp!$B$55:$B$65,Tabl_B3_Comp!$I$55:$I$65)*Tabl_B4_Tanks!$D23</f>
        <v>1.3150065139312854E-2</v>
      </c>
      <c r="Q23" s="118">
        <f>_xlfn.XLOOKUP(Q$5,Tabl_B3_Comp!$B$55:$B$65,Tabl_B3_Comp!$I$55:$I$65)*Tabl_B4_Tanks!$D23</f>
        <v>0</v>
      </c>
      <c r="R23" s="118">
        <v>0</v>
      </c>
      <c r="S23" s="310">
        <f>_xlfn.XLOOKUP(S$5,Tabl_B3_Comp!$B$55:$B$65,Tabl_B3_Comp!$J$55:$J$65)*Tabl_B4_Tanks!$E23</f>
        <v>0</v>
      </c>
      <c r="T23" s="118">
        <f>_xlfn.XLOOKUP(T$5,Tabl_B3_Comp!$B$55:$B$65,Tabl_B3_Comp!$J$55:$J$65)*Tabl_B4_Tanks!$E23</f>
        <v>0</v>
      </c>
      <c r="U23" s="184">
        <f>_xlfn.XLOOKUP(U$5,Tabl_B3_Comp!$B$55:$B$65,Tabl_B3_Comp!$J$55:$J$65)*Tabl_B4_Tanks!$E23</f>
        <v>7.8630537024314779E-6</v>
      </c>
      <c r="V23" s="184">
        <f>_xlfn.XLOOKUP(V$5,Tabl_B3_Comp!$B$55:$B$65,Tabl_B3_Comp!$J$55:$J$65)*Tabl_B4_Tanks!$E23</f>
        <v>1.8878023870134772E-6</v>
      </c>
      <c r="W23" s="184">
        <f>_xlfn.XLOOKUP(W$5,Tabl_B3_Comp!$B$55:$B$65,Tabl_B3_Comp!$J$55:$J$65)*Tabl_B4_Tanks!$E23</f>
        <v>1.6052397962259964E-3</v>
      </c>
      <c r="X23" s="184">
        <f>_xlfn.XLOOKUP(X$5,Tabl_B3_Comp!$B$55:$B$65,Tabl_B3_Comp!$J$55:$J$65)*Tabl_B4_Tanks!$E23</f>
        <v>6.8480800325599906E-4</v>
      </c>
      <c r="Y23" s="118">
        <f>_xlfn.XLOOKUP(Y$5,Tabl_B3_Comp!$B$55:$B$65,Tabl_B3_Comp!$J$55:$J$65)*Tabl_B4_Tanks!$E23</f>
        <v>0</v>
      </c>
      <c r="Z23" s="184">
        <f>_xlfn.XLOOKUP(Z$5,Tabl_B3_Comp!$B$55:$B$65,Tabl_B3_Comp!$J$55:$J$65)*Tabl_B4_Tanks!$E23</f>
        <v>6.6553808989537585E-3</v>
      </c>
      <c r="AA23" s="184">
        <f>_xlfn.XLOOKUP(AA$5,Tabl_B3_Comp!$B$55:$B$65,Tabl_B3_Comp!$J$55:$J$65)*Tabl_B4_Tanks!$E23</f>
        <v>3.6683122173416425E-3</v>
      </c>
      <c r="AB23" s="184">
        <f>_xlfn.XLOOKUP(AB$5,Tabl_B3_Comp!$B$55:$B$65,Tabl_B3_Comp!$J$55:$J$65)*Tabl_B4_Tanks!$E23</f>
        <v>3.317684903416569E-3</v>
      </c>
      <c r="AC23" s="118">
        <f>_xlfn.XLOOKUP(AC$5,Tabl_B3_Comp!$B$55:$B$65,Tabl_B3_Comp!$J$55:$J$65)*Tabl_B4_Tanks!$E23</f>
        <v>0</v>
      </c>
      <c r="AD23" s="313">
        <v>0</v>
      </c>
    </row>
    <row r="24" spans="1:30">
      <c r="A24" s="408"/>
      <c r="B24" t="s">
        <v>1309</v>
      </c>
      <c r="C24">
        <v>1</v>
      </c>
      <c r="D24" s="29">
        <v>107.93282529478776</v>
      </c>
      <c r="E24" s="10">
        <v>22.309925755412678</v>
      </c>
      <c r="F24" s="118">
        <v>0</v>
      </c>
      <c r="G24" s="310">
        <f>_xlfn.XLOOKUP(G$5,Tabl_B3_Comp!$B$55:$B$65,Tabl_B3_Comp!$I$55:$I$65)*Tabl_B4_Tanks!$D24</f>
        <v>0</v>
      </c>
      <c r="H24" s="118">
        <f>_xlfn.XLOOKUP(H$5,Tabl_B3_Comp!$B$55:$B$65,Tabl_B3_Comp!$I$55:$I$65)*Tabl_B4_Tanks!$D24</f>
        <v>0</v>
      </c>
      <c r="I24" s="184">
        <f>_xlfn.XLOOKUP(I$5,Tabl_B3_Comp!$B$55:$B$65,Tabl_B3_Comp!$I$55:$I$65)*Tabl_B4_Tanks!$D24</f>
        <v>1.9497208494033249E-5</v>
      </c>
      <c r="J24" s="184">
        <f>_xlfn.XLOOKUP(J$5,Tabl_B3_Comp!$B$55:$B$65,Tabl_B3_Comp!$I$55:$I$65)*Tabl_B4_Tanks!$D24</f>
        <v>4.3142668425475756E-6</v>
      </c>
      <c r="K24" s="184">
        <f>_xlfn.XLOOKUP(K$5,Tabl_B3_Comp!$B$55:$B$65,Tabl_B3_Comp!$I$55:$I$65)*Tabl_B4_Tanks!$D24</f>
        <v>7.2171191017734761E-3</v>
      </c>
      <c r="L24" s="184">
        <f>_xlfn.XLOOKUP(L$5,Tabl_B3_Comp!$B$55:$B$65,Tabl_B3_Comp!$I$55:$I$65)*Tabl_B4_Tanks!$D24</f>
        <v>2.5990504672830468E-3</v>
      </c>
      <c r="M24" s="118">
        <f>_xlfn.XLOOKUP(M$5,Tabl_B3_Comp!$B$55:$B$65,Tabl_B3_Comp!$I$55:$I$65)*Tabl_B4_Tanks!$D24</f>
        <v>0</v>
      </c>
      <c r="N24" s="184">
        <f>_xlfn.XLOOKUP(N$5,Tabl_B3_Comp!$B$55:$B$65,Tabl_B3_Comp!$I$55:$I$65)*Tabl_B4_Tanks!$D24</f>
        <v>2.7599543710604885E-2</v>
      </c>
      <c r="O24" s="184">
        <f>_xlfn.XLOOKUP(O$5,Tabl_B3_Comp!$B$55:$B$65,Tabl_B3_Comp!$I$55:$I$65)*Tabl_B4_Tanks!$D24</f>
        <v>1.716731864161938E-2</v>
      </c>
      <c r="P24" s="184">
        <f>_xlfn.XLOOKUP(P$5,Tabl_B3_Comp!$B$55:$B$65,Tabl_B3_Comp!$I$55:$I$65)*Tabl_B4_Tanks!$D24</f>
        <v>1.2495256229183575E-2</v>
      </c>
      <c r="Q24" s="118">
        <f>_xlfn.XLOOKUP(Q$5,Tabl_B3_Comp!$B$55:$B$65,Tabl_B3_Comp!$I$55:$I$65)*Tabl_B4_Tanks!$D24</f>
        <v>0</v>
      </c>
      <c r="R24" s="118">
        <v>0</v>
      </c>
      <c r="S24" s="310">
        <f>_xlfn.XLOOKUP(S$5,Tabl_B3_Comp!$B$55:$B$65,Tabl_B3_Comp!$J$55:$J$65)*Tabl_B4_Tanks!$E24</f>
        <v>0</v>
      </c>
      <c r="T24" s="118">
        <f>_xlfn.XLOOKUP(T$5,Tabl_B3_Comp!$B$55:$B$65,Tabl_B3_Comp!$J$55:$J$65)*Tabl_B4_Tanks!$E24</f>
        <v>0</v>
      </c>
      <c r="U24" s="184">
        <f>_xlfn.XLOOKUP(U$5,Tabl_B3_Comp!$B$55:$B$65,Tabl_B3_Comp!$J$55:$J$65)*Tabl_B4_Tanks!$E24</f>
        <v>8.4192859482112732E-6</v>
      </c>
      <c r="V24" s="184">
        <f>_xlfn.XLOOKUP(V$5,Tabl_B3_Comp!$B$55:$B$65,Tabl_B3_Comp!$J$55:$J$65)*Tabl_B4_Tanks!$E24</f>
        <v>2.0213454863048197E-6</v>
      </c>
      <c r="W24" s="184">
        <f>_xlfn.XLOOKUP(W$5,Tabl_B3_Comp!$B$55:$B$65,Tabl_B3_Comp!$J$55:$J$65)*Tabl_B4_Tanks!$E24</f>
        <v>1.7187944240665493E-3</v>
      </c>
      <c r="X24" s="184">
        <f>_xlfn.XLOOKUP(X$5,Tabl_B3_Comp!$B$55:$B$65,Tabl_B3_Comp!$J$55:$J$65)*Tabl_B4_Tanks!$E24</f>
        <v>7.33251306328096E-4</v>
      </c>
      <c r="Y24" s="118">
        <f>_xlfn.XLOOKUP(Y$5,Tabl_B3_Comp!$B$55:$B$65,Tabl_B3_Comp!$J$55:$J$65)*Tabl_B4_Tanks!$E24</f>
        <v>0</v>
      </c>
      <c r="Z24" s="184">
        <f>_xlfn.XLOOKUP(Z$5,Tabl_B3_Comp!$B$55:$B$65,Tabl_B3_Comp!$J$55:$J$65)*Tabl_B4_Tanks!$E24</f>
        <v>7.1261823972063086E-3</v>
      </c>
      <c r="AA24" s="184">
        <f>_xlfn.XLOOKUP(AA$5,Tabl_B3_Comp!$B$55:$B$65,Tabl_B3_Comp!$J$55:$J$65)*Tabl_B4_Tanks!$E24</f>
        <v>3.9278085428267962E-3</v>
      </c>
      <c r="AB24" s="184">
        <f>_xlfn.XLOOKUP(AB$5,Tabl_B3_Comp!$B$55:$B$65,Tabl_B3_Comp!$J$55:$J$65)*Tabl_B4_Tanks!$E24</f>
        <v>3.5523778604348417E-3</v>
      </c>
      <c r="AC24" s="118">
        <f>_xlfn.XLOOKUP(AC$5,Tabl_B3_Comp!$B$55:$B$65,Tabl_B3_Comp!$J$55:$J$65)*Tabl_B4_Tanks!$E24</f>
        <v>0</v>
      </c>
      <c r="AD24" s="313">
        <v>0</v>
      </c>
    </row>
    <row r="25" spans="1:30">
      <c r="A25" s="408"/>
      <c r="B25" t="s">
        <v>1310</v>
      </c>
      <c r="C25">
        <v>1</v>
      </c>
      <c r="D25" s="29">
        <v>114.21571622921432</v>
      </c>
      <c r="E25" s="10">
        <v>28.074099958993152</v>
      </c>
      <c r="F25" s="118">
        <v>0</v>
      </c>
      <c r="G25" s="310">
        <f>_xlfn.XLOOKUP(G$5,Tabl_B3_Comp!$B$55:$B$65,Tabl_B3_Comp!$I$55:$I$65)*Tabl_B4_Tanks!$D25</f>
        <v>0</v>
      </c>
      <c r="H25" s="118">
        <f>_xlfn.XLOOKUP(H$5,Tabl_B3_Comp!$B$55:$B$65,Tabl_B3_Comp!$I$55:$I$65)*Tabl_B4_Tanks!$D25</f>
        <v>0</v>
      </c>
      <c r="I25" s="184">
        <f>_xlfn.XLOOKUP(I$5,Tabl_B3_Comp!$B$55:$B$65,Tabl_B3_Comp!$I$55:$I$65)*Tabl_B4_Tanks!$D25</f>
        <v>2.0632162889595629E-5</v>
      </c>
      <c r="J25" s="184">
        <f>_xlfn.XLOOKUP(J$5,Tabl_B3_Comp!$B$55:$B$65,Tabl_B3_Comp!$I$55:$I$65)*Tabl_B4_Tanks!$D25</f>
        <v>4.5654051589930756E-6</v>
      </c>
      <c r="K25" s="184">
        <f>_xlfn.XLOOKUP(K$5,Tabl_B3_Comp!$B$55:$B$65,Tabl_B3_Comp!$I$55:$I$65)*Tabl_B4_Tanks!$D25</f>
        <v>7.6372357072024928E-3</v>
      </c>
      <c r="L25" s="184">
        <f>_xlfn.XLOOKUP(L$5,Tabl_B3_Comp!$B$55:$B$65,Tabl_B3_Comp!$I$55:$I$65)*Tabl_B4_Tanks!$D25</f>
        <v>2.7503441128853951E-3</v>
      </c>
      <c r="M25" s="118">
        <f>_xlfn.XLOOKUP(M$5,Tabl_B3_Comp!$B$55:$B$65,Tabl_B3_Comp!$I$55:$I$65)*Tabl_B4_Tanks!$D25</f>
        <v>0</v>
      </c>
      <c r="N25" s="184">
        <f>_xlfn.XLOOKUP(N$5,Tabl_B3_Comp!$B$55:$B$65,Tabl_B3_Comp!$I$55:$I$65)*Tabl_B4_Tanks!$D25</f>
        <v>2.9206144135453051E-2</v>
      </c>
      <c r="O25" s="184">
        <f>_xlfn.XLOOKUP(O$5,Tabl_B3_Comp!$B$55:$B$65,Tabl_B3_Comp!$I$55:$I$65)*Tabl_B4_Tanks!$D25</f>
        <v>1.8166647533152169E-2</v>
      </c>
      <c r="P25" s="184">
        <f>_xlfn.XLOOKUP(P$5,Tabl_B3_Comp!$B$55:$B$65,Tabl_B3_Comp!$I$55:$I$65)*Tabl_B4_Tanks!$D25</f>
        <v>1.3222619122457766E-2</v>
      </c>
      <c r="Q25" s="118">
        <f>_xlfn.XLOOKUP(Q$5,Tabl_B3_Comp!$B$55:$B$65,Tabl_B3_Comp!$I$55:$I$65)*Tabl_B4_Tanks!$D25</f>
        <v>0</v>
      </c>
      <c r="R25" s="118">
        <v>0</v>
      </c>
      <c r="S25" s="310">
        <f>_xlfn.XLOOKUP(S$5,Tabl_B3_Comp!$B$55:$B$65,Tabl_B3_Comp!$J$55:$J$65)*Tabl_B4_Tanks!$E25</f>
        <v>0</v>
      </c>
      <c r="T25" s="118">
        <f>_xlfn.XLOOKUP(T$5,Tabl_B3_Comp!$B$55:$B$65,Tabl_B3_Comp!$J$55:$J$65)*Tabl_B4_Tanks!$E25</f>
        <v>0</v>
      </c>
      <c r="U25" s="184">
        <f>_xlfn.XLOOKUP(U$5,Tabl_B3_Comp!$B$55:$B$65,Tabl_B3_Comp!$J$55:$J$65)*Tabl_B4_Tanks!$E25</f>
        <v>1.0594561267694257E-5</v>
      </c>
      <c r="V25" s="184">
        <f>_xlfn.XLOOKUP(V$5,Tabl_B3_Comp!$B$55:$B$65,Tabl_B3_Comp!$J$55:$J$65)*Tabl_B4_Tanks!$E25</f>
        <v>2.5435967764443796E-6</v>
      </c>
      <c r="W25" s="184">
        <f>_xlfn.XLOOKUP(W$5,Tabl_B3_Comp!$B$55:$B$65,Tabl_B3_Comp!$J$55:$J$65)*Tabl_B4_Tanks!$E25</f>
        <v>2.1628761565240717E-3</v>
      </c>
      <c r="X25" s="184">
        <f>_xlfn.XLOOKUP(X$5,Tabl_B3_Comp!$B$55:$B$65,Tabl_B3_Comp!$J$55:$J$65)*Tabl_B4_Tanks!$E25</f>
        <v>9.2270008849863587E-4</v>
      </c>
      <c r="Y25" s="118">
        <f>_xlfn.XLOOKUP(Y$5,Tabl_B3_Comp!$B$55:$B$65,Tabl_B3_Comp!$J$55:$J$65)*Tabl_B4_Tanks!$E25</f>
        <v>0</v>
      </c>
      <c r="Z25" s="184">
        <f>_xlfn.XLOOKUP(Z$5,Tabl_B3_Comp!$B$55:$B$65,Tabl_B3_Comp!$J$55:$J$65)*Tabl_B4_Tanks!$E25</f>
        <v>8.967360946804134E-3</v>
      </c>
      <c r="AA25" s="184">
        <f>_xlfn.XLOOKUP(AA$5,Tabl_B3_Comp!$B$55:$B$65,Tabl_B3_Comp!$J$55:$J$65)*Tabl_B4_Tanks!$E25</f>
        <v>4.9426291624638805E-3</v>
      </c>
      <c r="AB25" s="184">
        <f>_xlfn.XLOOKUP(AB$5,Tabl_B3_Comp!$B$55:$B$65,Tabl_B3_Comp!$J$55:$J$65)*Tabl_B4_Tanks!$E25</f>
        <v>4.4701991498903226E-3</v>
      </c>
      <c r="AC25" s="118">
        <f>_xlfn.XLOOKUP(AC$5,Tabl_B3_Comp!$B$55:$B$65,Tabl_B3_Comp!$J$55:$J$65)*Tabl_B4_Tanks!$E25</f>
        <v>0</v>
      </c>
      <c r="AD25" s="313">
        <v>0</v>
      </c>
    </row>
    <row r="26" spans="1:30">
      <c r="A26" s="408"/>
      <c r="B26" t="s">
        <v>1311</v>
      </c>
      <c r="C26">
        <v>1</v>
      </c>
      <c r="D26" s="29">
        <v>114.21571622921432</v>
      </c>
      <c r="E26" s="10">
        <v>28.074099958993152</v>
      </c>
      <c r="F26" s="118">
        <v>0</v>
      </c>
      <c r="G26" s="310">
        <f>_xlfn.XLOOKUP(G$5,Tabl_B3_Comp!$B$55:$B$65,Tabl_B3_Comp!$I$55:$I$65)*Tabl_B4_Tanks!$D26</f>
        <v>0</v>
      </c>
      <c r="H26" s="118">
        <f>_xlfn.XLOOKUP(H$5,Tabl_B3_Comp!$B$55:$B$65,Tabl_B3_Comp!$I$55:$I$65)*Tabl_B4_Tanks!$D26</f>
        <v>0</v>
      </c>
      <c r="I26" s="184">
        <f>_xlfn.XLOOKUP(I$5,Tabl_B3_Comp!$B$55:$B$65,Tabl_B3_Comp!$I$55:$I$65)*Tabl_B4_Tanks!$D26</f>
        <v>2.0632162889595629E-5</v>
      </c>
      <c r="J26" s="184">
        <f>_xlfn.XLOOKUP(J$5,Tabl_B3_Comp!$B$55:$B$65,Tabl_B3_Comp!$I$55:$I$65)*Tabl_B4_Tanks!$D26</f>
        <v>4.5654051589930756E-6</v>
      </c>
      <c r="K26" s="184">
        <f>_xlfn.XLOOKUP(K$5,Tabl_B3_Comp!$B$55:$B$65,Tabl_B3_Comp!$I$55:$I$65)*Tabl_B4_Tanks!$D26</f>
        <v>7.6372357072024928E-3</v>
      </c>
      <c r="L26" s="184">
        <f>_xlfn.XLOOKUP(L$5,Tabl_B3_Comp!$B$55:$B$65,Tabl_B3_Comp!$I$55:$I$65)*Tabl_B4_Tanks!$D26</f>
        <v>2.7503441128853951E-3</v>
      </c>
      <c r="M26" s="118">
        <f>_xlfn.XLOOKUP(M$5,Tabl_B3_Comp!$B$55:$B$65,Tabl_B3_Comp!$I$55:$I$65)*Tabl_B4_Tanks!$D26</f>
        <v>0</v>
      </c>
      <c r="N26" s="184">
        <f>_xlfn.XLOOKUP(N$5,Tabl_B3_Comp!$B$55:$B$65,Tabl_B3_Comp!$I$55:$I$65)*Tabl_B4_Tanks!$D26</f>
        <v>2.9206144135453051E-2</v>
      </c>
      <c r="O26" s="184">
        <f>_xlfn.XLOOKUP(O$5,Tabl_B3_Comp!$B$55:$B$65,Tabl_B3_Comp!$I$55:$I$65)*Tabl_B4_Tanks!$D26</f>
        <v>1.8166647533152169E-2</v>
      </c>
      <c r="P26" s="184">
        <f>_xlfn.XLOOKUP(P$5,Tabl_B3_Comp!$B$55:$B$65,Tabl_B3_Comp!$I$55:$I$65)*Tabl_B4_Tanks!$D26</f>
        <v>1.3222619122457766E-2</v>
      </c>
      <c r="Q26" s="118">
        <f>_xlfn.XLOOKUP(Q$5,Tabl_B3_Comp!$B$55:$B$65,Tabl_B3_Comp!$I$55:$I$65)*Tabl_B4_Tanks!$D26</f>
        <v>0</v>
      </c>
      <c r="R26" s="118">
        <v>0</v>
      </c>
      <c r="S26" s="310">
        <f>_xlfn.XLOOKUP(S$5,Tabl_B3_Comp!$B$55:$B$65,Tabl_B3_Comp!$J$55:$J$65)*Tabl_B4_Tanks!$E26</f>
        <v>0</v>
      </c>
      <c r="T26" s="118">
        <f>_xlfn.XLOOKUP(T$5,Tabl_B3_Comp!$B$55:$B$65,Tabl_B3_Comp!$J$55:$J$65)*Tabl_B4_Tanks!$E26</f>
        <v>0</v>
      </c>
      <c r="U26" s="184">
        <f>_xlfn.XLOOKUP(U$5,Tabl_B3_Comp!$B$55:$B$65,Tabl_B3_Comp!$J$55:$J$65)*Tabl_B4_Tanks!$E26</f>
        <v>1.0594561267694257E-5</v>
      </c>
      <c r="V26" s="184">
        <f>_xlfn.XLOOKUP(V$5,Tabl_B3_Comp!$B$55:$B$65,Tabl_B3_Comp!$J$55:$J$65)*Tabl_B4_Tanks!$E26</f>
        <v>2.5435967764443796E-6</v>
      </c>
      <c r="W26" s="184">
        <f>_xlfn.XLOOKUP(W$5,Tabl_B3_Comp!$B$55:$B$65,Tabl_B3_Comp!$J$55:$J$65)*Tabl_B4_Tanks!$E26</f>
        <v>2.1628761565240717E-3</v>
      </c>
      <c r="X26" s="184">
        <f>_xlfn.XLOOKUP(X$5,Tabl_B3_Comp!$B$55:$B$65,Tabl_B3_Comp!$J$55:$J$65)*Tabl_B4_Tanks!$E26</f>
        <v>9.2270008849863587E-4</v>
      </c>
      <c r="Y26" s="118">
        <f>_xlfn.XLOOKUP(Y$5,Tabl_B3_Comp!$B$55:$B$65,Tabl_B3_Comp!$J$55:$J$65)*Tabl_B4_Tanks!$E26</f>
        <v>0</v>
      </c>
      <c r="Z26" s="184">
        <f>_xlfn.XLOOKUP(Z$5,Tabl_B3_Comp!$B$55:$B$65,Tabl_B3_Comp!$J$55:$J$65)*Tabl_B4_Tanks!$E26</f>
        <v>8.967360946804134E-3</v>
      </c>
      <c r="AA26" s="184">
        <f>_xlfn.XLOOKUP(AA$5,Tabl_B3_Comp!$B$55:$B$65,Tabl_B3_Comp!$J$55:$J$65)*Tabl_B4_Tanks!$E26</f>
        <v>4.9426291624638805E-3</v>
      </c>
      <c r="AB26" s="184">
        <f>_xlfn.XLOOKUP(AB$5,Tabl_B3_Comp!$B$55:$B$65,Tabl_B3_Comp!$J$55:$J$65)*Tabl_B4_Tanks!$E26</f>
        <v>4.4701991498903226E-3</v>
      </c>
      <c r="AC26" s="118">
        <f>_xlfn.XLOOKUP(AC$5,Tabl_B3_Comp!$B$55:$B$65,Tabl_B3_Comp!$J$55:$J$65)*Tabl_B4_Tanks!$E26</f>
        <v>0</v>
      </c>
      <c r="AD26" s="313">
        <v>0</v>
      </c>
    </row>
    <row r="27" spans="1:30">
      <c r="A27" s="408"/>
      <c r="B27" t="s">
        <v>1312</v>
      </c>
      <c r="C27">
        <v>1</v>
      </c>
      <c r="D27" s="29">
        <v>114.21571622921432</v>
      </c>
      <c r="E27" s="10">
        <v>28.074099958993152</v>
      </c>
      <c r="F27" s="118">
        <v>0</v>
      </c>
      <c r="G27" s="310">
        <f>_xlfn.XLOOKUP(G$5,Tabl_B3_Comp!$B$55:$B$65,Tabl_B3_Comp!$I$55:$I$65)*Tabl_B4_Tanks!$D27</f>
        <v>0</v>
      </c>
      <c r="H27" s="118">
        <f>_xlfn.XLOOKUP(H$5,Tabl_B3_Comp!$B$55:$B$65,Tabl_B3_Comp!$I$55:$I$65)*Tabl_B4_Tanks!$D27</f>
        <v>0</v>
      </c>
      <c r="I27" s="184">
        <f>_xlfn.XLOOKUP(I$5,Tabl_B3_Comp!$B$55:$B$65,Tabl_B3_Comp!$I$55:$I$65)*Tabl_B4_Tanks!$D27</f>
        <v>2.0632162889595629E-5</v>
      </c>
      <c r="J27" s="184">
        <f>_xlfn.XLOOKUP(J$5,Tabl_B3_Comp!$B$55:$B$65,Tabl_B3_Comp!$I$55:$I$65)*Tabl_B4_Tanks!$D27</f>
        <v>4.5654051589930756E-6</v>
      </c>
      <c r="K27" s="184">
        <f>_xlfn.XLOOKUP(K$5,Tabl_B3_Comp!$B$55:$B$65,Tabl_B3_Comp!$I$55:$I$65)*Tabl_B4_Tanks!$D27</f>
        <v>7.6372357072024928E-3</v>
      </c>
      <c r="L27" s="184">
        <f>_xlfn.XLOOKUP(L$5,Tabl_B3_Comp!$B$55:$B$65,Tabl_B3_Comp!$I$55:$I$65)*Tabl_B4_Tanks!$D27</f>
        <v>2.7503441128853951E-3</v>
      </c>
      <c r="M27" s="118">
        <f>_xlfn.XLOOKUP(M$5,Tabl_B3_Comp!$B$55:$B$65,Tabl_B3_Comp!$I$55:$I$65)*Tabl_B4_Tanks!$D27</f>
        <v>0</v>
      </c>
      <c r="N27" s="184">
        <f>_xlfn.XLOOKUP(N$5,Tabl_B3_Comp!$B$55:$B$65,Tabl_B3_Comp!$I$55:$I$65)*Tabl_B4_Tanks!$D27</f>
        <v>2.9206144135453051E-2</v>
      </c>
      <c r="O27" s="184">
        <f>_xlfn.XLOOKUP(O$5,Tabl_B3_Comp!$B$55:$B$65,Tabl_B3_Comp!$I$55:$I$65)*Tabl_B4_Tanks!$D27</f>
        <v>1.8166647533152169E-2</v>
      </c>
      <c r="P27" s="184">
        <f>_xlfn.XLOOKUP(P$5,Tabl_B3_Comp!$B$55:$B$65,Tabl_B3_Comp!$I$55:$I$65)*Tabl_B4_Tanks!$D27</f>
        <v>1.3222619122457766E-2</v>
      </c>
      <c r="Q27" s="118">
        <f>_xlfn.XLOOKUP(Q$5,Tabl_B3_Comp!$B$55:$B$65,Tabl_B3_Comp!$I$55:$I$65)*Tabl_B4_Tanks!$D27</f>
        <v>0</v>
      </c>
      <c r="R27" s="118">
        <v>0</v>
      </c>
      <c r="S27" s="310">
        <f>_xlfn.XLOOKUP(S$5,Tabl_B3_Comp!$B$55:$B$65,Tabl_B3_Comp!$J$55:$J$65)*Tabl_B4_Tanks!$E27</f>
        <v>0</v>
      </c>
      <c r="T27" s="118">
        <f>_xlfn.XLOOKUP(T$5,Tabl_B3_Comp!$B$55:$B$65,Tabl_B3_Comp!$J$55:$J$65)*Tabl_B4_Tanks!$E27</f>
        <v>0</v>
      </c>
      <c r="U27" s="184">
        <f>_xlfn.XLOOKUP(U$5,Tabl_B3_Comp!$B$55:$B$65,Tabl_B3_Comp!$J$55:$J$65)*Tabl_B4_Tanks!$E27</f>
        <v>1.0594561267694257E-5</v>
      </c>
      <c r="V27" s="184">
        <f>_xlfn.XLOOKUP(V$5,Tabl_B3_Comp!$B$55:$B$65,Tabl_B3_Comp!$J$55:$J$65)*Tabl_B4_Tanks!$E27</f>
        <v>2.5435967764443796E-6</v>
      </c>
      <c r="W27" s="184">
        <f>_xlfn.XLOOKUP(W$5,Tabl_B3_Comp!$B$55:$B$65,Tabl_B3_Comp!$J$55:$J$65)*Tabl_B4_Tanks!$E27</f>
        <v>2.1628761565240717E-3</v>
      </c>
      <c r="X27" s="184">
        <f>_xlfn.XLOOKUP(X$5,Tabl_B3_Comp!$B$55:$B$65,Tabl_B3_Comp!$J$55:$J$65)*Tabl_B4_Tanks!$E27</f>
        <v>9.2270008849863587E-4</v>
      </c>
      <c r="Y27" s="118">
        <f>_xlfn.XLOOKUP(Y$5,Tabl_B3_Comp!$B$55:$B$65,Tabl_B3_Comp!$J$55:$J$65)*Tabl_B4_Tanks!$E27</f>
        <v>0</v>
      </c>
      <c r="Z27" s="184">
        <f>_xlfn.XLOOKUP(Z$5,Tabl_B3_Comp!$B$55:$B$65,Tabl_B3_Comp!$J$55:$J$65)*Tabl_B4_Tanks!$E27</f>
        <v>8.967360946804134E-3</v>
      </c>
      <c r="AA27" s="184">
        <f>_xlfn.XLOOKUP(AA$5,Tabl_B3_Comp!$B$55:$B$65,Tabl_B3_Comp!$J$55:$J$65)*Tabl_B4_Tanks!$E27</f>
        <v>4.9426291624638805E-3</v>
      </c>
      <c r="AB27" s="184">
        <f>_xlfn.XLOOKUP(AB$5,Tabl_B3_Comp!$B$55:$B$65,Tabl_B3_Comp!$J$55:$J$65)*Tabl_B4_Tanks!$E27</f>
        <v>4.4701991498903226E-3</v>
      </c>
      <c r="AC27" s="118">
        <f>_xlfn.XLOOKUP(AC$5,Tabl_B3_Comp!$B$55:$B$65,Tabl_B3_Comp!$J$55:$J$65)*Tabl_B4_Tanks!$E27</f>
        <v>0</v>
      </c>
      <c r="AD27" s="313">
        <v>0</v>
      </c>
    </row>
    <row r="28" spans="1:30">
      <c r="A28" s="408"/>
      <c r="B28" t="s">
        <v>1313</v>
      </c>
      <c r="C28">
        <v>1</v>
      </c>
      <c r="D28" s="29">
        <v>114.21571622921432</v>
      </c>
      <c r="E28" s="10">
        <v>28.074099958993152</v>
      </c>
      <c r="F28" s="118">
        <v>0</v>
      </c>
      <c r="G28" s="310">
        <f>_xlfn.XLOOKUP(G$5,Tabl_B3_Comp!$B$55:$B$65,Tabl_B3_Comp!$I$55:$I$65)*Tabl_B4_Tanks!$D28</f>
        <v>0</v>
      </c>
      <c r="H28" s="118">
        <f>_xlfn.XLOOKUP(H$5,Tabl_B3_Comp!$B$55:$B$65,Tabl_B3_Comp!$I$55:$I$65)*Tabl_B4_Tanks!$D28</f>
        <v>0</v>
      </c>
      <c r="I28" s="184">
        <f>_xlfn.XLOOKUP(I$5,Tabl_B3_Comp!$B$55:$B$65,Tabl_B3_Comp!$I$55:$I$65)*Tabl_B4_Tanks!$D28</f>
        <v>2.0632162889595629E-5</v>
      </c>
      <c r="J28" s="184">
        <f>_xlfn.XLOOKUP(J$5,Tabl_B3_Comp!$B$55:$B$65,Tabl_B3_Comp!$I$55:$I$65)*Tabl_B4_Tanks!$D28</f>
        <v>4.5654051589930756E-6</v>
      </c>
      <c r="K28" s="184">
        <f>_xlfn.XLOOKUP(K$5,Tabl_B3_Comp!$B$55:$B$65,Tabl_B3_Comp!$I$55:$I$65)*Tabl_B4_Tanks!$D28</f>
        <v>7.6372357072024928E-3</v>
      </c>
      <c r="L28" s="184">
        <f>_xlfn.XLOOKUP(L$5,Tabl_B3_Comp!$B$55:$B$65,Tabl_B3_Comp!$I$55:$I$65)*Tabl_B4_Tanks!$D28</f>
        <v>2.7503441128853951E-3</v>
      </c>
      <c r="M28" s="118">
        <f>_xlfn.XLOOKUP(M$5,Tabl_B3_Comp!$B$55:$B$65,Tabl_B3_Comp!$I$55:$I$65)*Tabl_B4_Tanks!$D28</f>
        <v>0</v>
      </c>
      <c r="N28" s="184">
        <f>_xlfn.XLOOKUP(N$5,Tabl_B3_Comp!$B$55:$B$65,Tabl_B3_Comp!$I$55:$I$65)*Tabl_B4_Tanks!$D28</f>
        <v>2.9206144135453051E-2</v>
      </c>
      <c r="O28" s="184">
        <f>_xlfn.XLOOKUP(O$5,Tabl_B3_Comp!$B$55:$B$65,Tabl_B3_Comp!$I$55:$I$65)*Tabl_B4_Tanks!$D28</f>
        <v>1.8166647533152169E-2</v>
      </c>
      <c r="P28" s="184">
        <f>_xlfn.XLOOKUP(P$5,Tabl_B3_Comp!$B$55:$B$65,Tabl_B3_Comp!$I$55:$I$65)*Tabl_B4_Tanks!$D28</f>
        <v>1.3222619122457766E-2</v>
      </c>
      <c r="Q28" s="118">
        <f>_xlfn.XLOOKUP(Q$5,Tabl_B3_Comp!$B$55:$B$65,Tabl_B3_Comp!$I$55:$I$65)*Tabl_B4_Tanks!$D28</f>
        <v>0</v>
      </c>
      <c r="R28" s="118">
        <v>0</v>
      </c>
      <c r="S28" s="310">
        <f>_xlfn.XLOOKUP(S$5,Tabl_B3_Comp!$B$55:$B$65,Tabl_B3_Comp!$J$55:$J$65)*Tabl_B4_Tanks!$E28</f>
        <v>0</v>
      </c>
      <c r="T28" s="118">
        <f>_xlfn.XLOOKUP(T$5,Tabl_B3_Comp!$B$55:$B$65,Tabl_B3_Comp!$J$55:$J$65)*Tabl_B4_Tanks!$E28</f>
        <v>0</v>
      </c>
      <c r="U28" s="184">
        <f>_xlfn.XLOOKUP(U$5,Tabl_B3_Comp!$B$55:$B$65,Tabl_B3_Comp!$J$55:$J$65)*Tabl_B4_Tanks!$E28</f>
        <v>1.0594561267694257E-5</v>
      </c>
      <c r="V28" s="184">
        <f>_xlfn.XLOOKUP(V$5,Tabl_B3_Comp!$B$55:$B$65,Tabl_B3_Comp!$J$55:$J$65)*Tabl_B4_Tanks!$E28</f>
        <v>2.5435967764443796E-6</v>
      </c>
      <c r="W28" s="184">
        <f>_xlfn.XLOOKUP(W$5,Tabl_B3_Comp!$B$55:$B$65,Tabl_B3_Comp!$J$55:$J$65)*Tabl_B4_Tanks!$E28</f>
        <v>2.1628761565240717E-3</v>
      </c>
      <c r="X28" s="184">
        <f>_xlfn.XLOOKUP(X$5,Tabl_B3_Comp!$B$55:$B$65,Tabl_B3_Comp!$J$55:$J$65)*Tabl_B4_Tanks!$E28</f>
        <v>9.2270008849863587E-4</v>
      </c>
      <c r="Y28" s="118">
        <f>_xlfn.XLOOKUP(Y$5,Tabl_B3_Comp!$B$55:$B$65,Tabl_B3_Comp!$J$55:$J$65)*Tabl_B4_Tanks!$E28</f>
        <v>0</v>
      </c>
      <c r="Z28" s="184">
        <f>_xlfn.XLOOKUP(Z$5,Tabl_B3_Comp!$B$55:$B$65,Tabl_B3_Comp!$J$55:$J$65)*Tabl_B4_Tanks!$E28</f>
        <v>8.967360946804134E-3</v>
      </c>
      <c r="AA28" s="184">
        <f>_xlfn.XLOOKUP(AA$5,Tabl_B3_Comp!$B$55:$B$65,Tabl_B3_Comp!$J$55:$J$65)*Tabl_B4_Tanks!$E28</f>
        <v>4.9426291624638805E-3</v>
      </c>
      <c r="AB28" s="184">
        <f>_xlfn.XLOOKUP(AB$5,Tabl_B3_Comp!$B$55:$B$65,Tabl_B3_Comp!$J$55:$J$65)*Tabl_B4_Tanks!$E28</f>
        <v>4.4701991498903226E-3</v>
      </c>
      <c r="AC28" s="118">
        <f>_xlfn.XLOOKUP(AC$5,Tabl_B3_Comp!$B$55:$B$65,Tabl_B3_Comp!$J$55:$J$65)*Tabl_B4_Tanks!$E28</f>
        <v>0</v>
      </c>
      <c r="AD28" s="313">
        <v>0</v>
      </c>
    </row>
    <row r="29" spans="1:30">
      <c r="A29" s="408"/>
      <c r="B29" s="336" t="s">
        <v>1680</v>
      </c>
      <c r="C29">
        <v>1</v>
      </c>
      <c r="D29" s="29">
        <v>115.44916721020601</v>
      </c>
      <c r="E29" s="10">
        <v>28.074099958993152</v>
      </c>
      <c r="F29" s="118">
        <v>0</v>
      </c>
      <c r="G29" s="310">
        <f>_xlfn.XLOOKUP(G$5,Tabl_B3_Comp!$B$55:$B$65,Tabl_B3_Comp!$I$55:$I$65)*Tabl_B4_Tanks!$D29</f>
        <v>0</v>
      </c>
      <c r="H29" s="118">
        <f>_xlfn.XLOOKUP(H$5,Tabl_B3_Comp!$B$55:$B$65,Tabl_B3_Comp!$I$55:$I$65)*Tabl_B4_Tanks!$D29</f>
        <v>0</v>
      </c>
      <c r="I29" s="184">
        <f>_xlfn.XLOOKUP(I$5,Tabl_B3_Comp!$B$55:$B$65,Tabl_B3_Comp!$I$55:$I$65)*Tabl_B4_Tanks!$D29</f>
        <v>2.0854976022466767E-5</v>
      </c>
      <c r="J29" s="184">
        <f>_xlfn.XLOOKUP(J$5,Tabl_B3_Comp!$B$55:$B$65,Tabl_B3_Comp!$I$55:$I$65)*Tabl_B4_Tanks!$D29</f>
        <v>4.6147083867615163E-6</v>
      </c>
      <c r="K29" s="184">
        <f>_xlfn.XLOOKUP(K$5,Tabl_B3_Comp!$B$55:$B$65,Tabl_B3_Comp!$I$55:$I$65)*Tabl_B4_Tanks!$D29</f>
        <v>7.7197125867959175E-3</v>
      </c>
      <c r="L29" s="184">
        <f>_xlfn.XLOOKUP(L$5,Tabl_B3_Comp!$B$55:$B$65,Tabl_B3_Comp!$I$55:$I$65)*Tabl_B4_Tanks!$D29</f>
        <v>2.7800459328809475E-3</v>
      </c>
      <c r="M29" s="118">
        <f>_xlfn.XLOOKUP(M$5,Tabl_B3_Comp!$B$55:$B$65,Tabl_B3_Comp!$I$55:$I$65)*Tabl_B4_Tanks!$D29</f>
        <v>0</v>
      </c>
      <c r="N29" s="184">
        <f>_xlfn.XLOOKUP(N$5,Tabl_B3_Comp!$B$55:$B$65,Tabl_B3_Comp!$I$55:$I$65)*Tabl_B4_Tanks!$D29</f>
        <v>2.9521550353828144E-2</v>
      </c>
      <c r="O29" s="184">
        <f>_xlfn.XLOOKUP(O$5,Tabl_B3_Comp!$B$55:$B$65,Tabl_B3_Comp!$I$55:$I$65)*Tabl_B4_Tanks!$D29</f>
        <v>1.8362834800201545E-2</v>
      </c>
      <c r="P29" s="184">
        <f>_xlfn.XLOOKUP(P$5,Tabl_B3_Comp!$B$55:$B$65,Tabl_B3_Comp!$I$55:$I$65)*Tabl_B4_Tanks!$D29</f>
        <v>1.3365414291689505E-2</v>
      </c>
      <c r="Q29" s="118">
        <f>_xlfn.XLOOKUP(Q$5,Tabl_B3_Comp!$B$55:$B$65,Tabl_B3_Comp!$I$55:$I$65)*Tabl_B4_Tanks!$D29</f>
        <v>0</v>
      </c>
      <c r="R29" s="118">
        <v>0</v>
      </c>
      <c r="S29" s="310">
        <f>_xlfn.XLOOKUP(S$5,Tabl_B3_Comp!$B$55:$B$65,Tabl_B3_Comp!$J$55:$J$65)*Tabl_B4_Tanks!$E29</f>
        <v>0</v>
      </c>
      <c r="T29" s="118">
        <f>_xlfn.XLOOKUP(T$5,Tabl_B3_Comp!$B$55:$B$65,Tabl_B3_Comp!$J$55:$J$65)*Tabl_B4_Tanks!$E29</f>
        <v>0</v>
      </c>
      <c r="U29" s="184">
        <f>_xlfn.XLOOKUP(U$5,Tabl_B3_Comp!$B$55:$B$65,Tabl_B3_Comp!$J$55:$J$65)*Tabl_B4_Tanks!$E29</f>
        <v>1.0594561267694257E-5</v>
      </c>
      <c r="V29" s="184">
        <f>_xlfn.XLOOKUP(V$5,Tabl_B3_Comp!$B$55:$B$65,Tabl_B3_Comp!$J$55:$J$65)*Tabl_B4_Tanks!$E29</f>
        <v>2.5435967764443796E-6</v>
      </c>
      <c r="W29" s="184">
        <f>_xlfn.XLOOKUP(W$5,Tabl_B3_Comp!$B$55:$B$65,Tabl_B3_Comp!$J$55:$J$65)*Tabl_B4_Tanks!$E29</f>
        <v>2.1628761565240717E-3</v>
      </c>
      <c r="X29" s="184">
        <f>_xlfn.XLOOKUP(X$5,Tabl_B3_Comp!$B$55:$B$65,Tabl_B3_Comp!$J$55:$J$65)*Tabl_B4_Tanks!$E29</f>
        <v>9.2270008849863587E-4</v>
      </c>
      <c r="Y29" s="118">
        <f>_xlfn.XLOOKUP(Y$5,Tabl_B3_Comp!$B$55:$B$65,Tabl_B3_Comp!$J$55:$J$65)*Tabl_B4_Tanks!$E29</f>
        <v>0</v>
      </c>
      <c r="Z29" s="184">
        <f>_xlfn.XLOOKUP(Z$5,Tabl_B3_Comp!$B$55:$B$65,Tabl_B3_Comp!$J$55:$J$65)*Tabl_B4_Tanks!$E29</f>
        <v>8.967360946804134E-3</v>
      </c>
      <c r="AA29" s="184">
        <f>_xlfn.XLOOKUP(AA$5,Tabl_B3_Comp!$B$55:$B$65,Tabl_B3_Comp!$J$55:$J$65)*Tabl_B4_Tanks!$E29</f>
        <v>4.9426291624638805E-3</v>
      </c>
      <c r="AB29" s="184">
        <f>_xlfn.XLOOKUP(AB$5,Tabl_B3_Comp!$B$55:$B$65,Tabl_B3_Comp!$J$55:$J$65)*Tabl_B4_Tanks!$E29</f>
        <v>4.4701991498903226E-3</v>
      </c>
      <c r="AC29" s="118">
        <f>_xlfn.XLOOKUP(AC$5,Tabl_B3_Comp!$B$55:$B$65,Tabl_B3_Comp!$J$55:$J$65)*Tabl_B4_Tanks!$E29</f>
        <v>0</v>
      </c>
      <c r="AD29" s="313">
        <v>0</v>
      </c>
    </row>
    <row r="30" spans="1:30">
      <c r="A30" s="408"/>
      <c r="B30" s="336" t="s">
        <v>1681</v>
      </c>
      <c r="C30">
        <v>1</v>
      </c>
      <c r="D30" s="29">
        <v>115.44916721020601</v>
      </c>
      <c r="E30" s="10">
        <v>28.074099958993152</v>
      </c>
      <c r="F30" s="118">
        <v>0</v>
      </c>
      <c r="G30" s="310">
        <f>_xlfn.XLOOKUP(G$5,Tabl_B3_Comp!$B$55:$B$65,Tabl_B3_Comp!$I$55:$I$65)*Tabl_B4_Tanks!$D30</f>
        <v>0</v>
      </c>
      <c r="H30" s="118">
        <f>_xlfn.XLOOKUP(H$5,Tabl_B3_Comp!$B$55:$B$65,Tabl_B3_Comp!$I$55:$I$65)*Tabl_B4_Tanks!$D30</f>
        <v>0</v>
      </c>
      <c r="I30" s="184">
        <f>_xlfn.XLOOKUP(I$5,Tabl_B3_Comp!$B$55:$B$65,Tabl_B3_Comp!$I$55:$I$65)*Tabl_B4_Tanks!$D30</f>
        <v>2.0854976022466767E-5</v>
      </c>
      <c r="J30" s="184">
        <f>_xlfn.XLOOKUP(J$5,Tabl_B3_Comp!$B$55:$B$65,Tabl_B3_Comp!$I$55:$I$65)*Tabl_B4_Tanks!$D30</f>
        <v>4.6147083867615163E-6</v>
      </c>
      <c r="K30" s="184">
        <f>_xlfn.XLOOKUP(K$5,Tabl_B3_Comp!$B$55:$B$65,Tabl_B3_Comp!$I$55:$I$65)*Tabl_B4_Tanks!$D30</f>
        <v>7.7197125867959175E-3</v>
      </c>
      <c r="L30" s="184">
        <f>_xlfn.XLOOKUP(L$5,Tabl_B3_Comp!$B$55:$B$65,Tabl_B3_Comp!$I$55:$I$65)*Tabl_B4_Tanks!$D30</f>
        <v>2.7800459328809475E-3</v>
      </c>
      <c r="M30" s="118">
        <f>_xlfn.XLOOKUP(M$5,Tabl_B3_Comp!$B$55:$B$65,Tabl_B3_Comp!$I$55:$I$65)*Tabl_B4_Tanks!$D30</f>
        <v>0</v>
      </c>
      <c r="N30" s="184">
        <f>_xlfn.XLOOKUP(N$5,Tabl_B3_Comp!$B$55:$B$65,Tabl_B3_Comp!$I$55:$I$65)*Tabl_B4_Tanks!$D30</f>
        <v>2.9521550353828144E-2</v>
      </c>
      <c r="O30" s="184">
        <f>_xlfn.XLOOKUP(O$5,Tabl_B3_Comp!$B$55:$B$65,Tabl_B3_Comp!$I$55:$I$65)*Tabl_B4_Tanks!$D30</f>
        <v>1.8362834800201545E-2</v>
      </c>
      <c r="P30" s="184">
        <f>_xlfn.XLOOKUP(P$5,Tabl_B3_Comp!$B$55:$B$65,Tabl_B3_Comp!$I$55:$I$65)*Tabl_B4_Tanks!$D30</f>
        <v>1.3365414291689505E-2</v>
      </c>
      <c r="Q30" s="118">
        <f>_xlfn.XLOOKUP(Q$5,Tabl_B3_Comp!$B$55:$B$65,Tabl_B3_Comp!$I$55:$I$65)*Tabl_B4_Tanks!$D30</f>
        <v>0</v>
      </c>
      <c r="R30" s="118">
        <v>0</v>
      </c>
      <c r="S30" s="310">
        <f>_xlfn.XLOOKUP(S$5,Tabl_B3_Comp!$B$55:$B$65,Tabl_B3_Comp!$J$55:$J$65)*Tabl_B4_Tanks!$E30</f>
        <v>0</v>
      </c>
      <c r="T30" s="118">
        <f>_xlfn.XLOOKUP(T$5,Tabl_B3_Comp!$B$55:$B$65,Tabl_B3_Comp!$J$55:$J$65)*Tabl_B4_Tanks!$E30</f>
        <v>0</v>
      </c>
      <c r="U30" s="184">
        <f>_xlfn.XLOOKUP(U$5,Tabl_B3_Comp!$B$55:$B$65,Tabl_B3_Comp!$J$55:$J$65)*Tabl_B4_Tanks!$E30</f>
        <v>1.0594561267694257E-5</v>
      </c>
      <c r="V30" s="184">
        <f>_xlfn.XLOOKUP(V$5,Tabl_B3_Comp!$B$55:$B$65,Tabl_B3_Comp!$J$55:$J$65)*Tabl_B4_Tanks!$E30</f>
        <v>2.5435967764443796E-6</v>
      </c>
      <c r="W30" s="184">
        <f>_xlfn.XLOOKUP(W$5,Tabl_B3_Comp!$B$55:$B$65,Tabl_B3_Comp!$J$55:$J$65)*Tabl_B4_Tanks!$E30</f>
        <v>2.1628761565240717E-3</v>
      </c>
      <c r="X30" s="184">
        <f>_xlfn.XLOOKUP(X$5,Tabl_B3_Comp!$B$55:$B$65,Tabl_B3_Comp!$J$55:$J$65)*Tabl_B4_Tanks!$E30</f>
        <v>9.2270008849863587E-4</v>
      </c>
      <c r="Y30" s="118">
        <f>_xlfn.XLOOKUP(Y$5,Tabl_B3_Comp!$B$55:$B$65,Tabl_B3_Comp!$J$55:$J$65)*Tabl_B4_Tanks!$E30</f>
        <v>0</v>
      </c>
      <c r="Z30" s="184">
        <f>_xlfn.XLOOKUP(Z$5,Tabl_B3_Comp!$B$55:$B$65,Tabl_B3_Comp!$J$55:$J$65)*Tabl_B4_Tanks!$E30</f>
        <v>8.967360946804134E-3</v>
      </c>
      <c r="AA30" s="184">
        <f>_xlfn.XLOOKUP(AA$5,Tabl_B3_Comp!$B$55:$B$65,Tabl_B3_Comp!$J$55:$J$65)*Tabl_B4_Tanks!$E30</f>
        <v>4.9426291624638805E-3</v>
      </c>
      <c r="AB30" s="184">
        <f>_xlfn.XLOOKUP(AB$5,Tabl_B3_Comp!$B$55:$B$65,Tabl_B3_Comp!$J$55:$J$65)*Tabl_B4_Tanks!$E30</f>
        <v>4.4701991498903226E-3</v>
      </c>
      <c r="AC30" s="118">
        <f>_xlfn.XLOOKUP(AC$5,Tabl_B3_Comp!$B$55:$B$65,Tabl_B3_Comp!$J$55:$J$65)*Tabl_B4_Tanks!$E30</f>
        <v>0</v>
      </c>
      <c r="AD30" s="313">
        <v>0</v>
      </c>
    </row>
    <row r="31" spans="1:30">
      <c r="A31" s="408"/>
      <c r="B31" t="s">
        <v>1571</v>
      </c>
      <c r="C31">
        <v>1.1000000000000001</v>
      </c>
      <c r="D31" s="29">
        <v>47.793516032640994</v>
      </c>
      <c r="E31" s="10">
        <v>6.7939321900763439</v>
      </c>
      <c r="F31" s="118">
        <v>0</v>
      </c>
      <c r="G31" s="310">
        <f>_xlfn.XLOOKUP(G$5,Tabl_B3_Comp!$B$55:$B$65,Tabl_B3_Comp!$I$55:$I$65)*Tabl_B4_Tanks!$D31</f>
        <v>0</v>
      </c>
      <c r="H31" s="118">
        <f>_xlfn.XLOOKUP(H$5,Tabl_B3_Comp!$B$55:$B$65,Tabl_B3_Comp!$I$55:$I$65)*Tabl_B4_Tanks!$D31</f>
        <v>0</v>
      </c>
      <c r="I31" s="184">
        <f>_xlfn.XLOOKUP(I$5,Tabl_B3_Comp!$B$55:$B$65,Tabl_B3_Comp!$I$55:$I$65)*Tabl_B4_Tanks!$D31</f>
        <v>8.633519452550847E-6</v>
      </c>
      <c r="J31" s="184">
        <f>_xlfn.XLOOKUP(J$5,Tabl_B3_Comp!$B$55:$B$65,Tabl_B3_Comp!$I$55:$I$65)*Tabl_B4_Tanks!$D31</f>
        <v>1.9103917732647957E-6</v>
      </c>
      <c r="K31" s="184">
        <f>_xlfn.XLOOKUP(K$5,Tabl_B3_Comp!$B$55:$B$65,Tabl_B3_Comp!$I$55:$I$65)*Tabl_B4_Tanks!$D31</f>
        <v>3.1957979100242033E-3</v>
      </c>
      <c r="L31" s="184">
        <f>_xlfn.XLOOKUP(L$5,Tabl_B3_Comp!$B$55:$B$65,Tabl_B3_Comp!$I$55:$I$65)*Tabl_B4_Tanks!$D31</f>
        <v>1.150880279826549E-3</v>
      </c>
      <c r="M31" s="118">
        <f>_xlfn.XLOOKUP(M$5,Tabl_B3_Comp!$B$55:$B$65,Tabl_B3_Comp!$I$55:$I$65)*Tabl_B4_Tanks!$D31</f>
        <v>0</v>
      </c>
      <c r="N31" s="184">
        <f>_xlfn.XLOOKUP(N$5,Tabl_B3_Comp!$B$55:$B$65,Tabl_B3_Comp!$I$55:$I$65)*Tabl_B4_Tanks!$D31</f>
        <v>1.2221298119674727E-2</v>
      </c>
      <c r="O31" s="184">
        <f>_xlfn.XLOOKUP(O$5,Tabl_B3_Comp!$B$55:$B$65,Tabl_B3_Comp!$I$55:$I$65)*Tabl_B4_Tanks!$D31</f>
        <v>7.6018256401124244E-3</v>
      </c>
      <c r="P31" s="184">
        <f>_xlfn.XLOOKUP(P$5,Tabl_B3_Comp!$B$55:$B$65,Tabl_B3_Comp!$I$55:$I$65)*Tabl_B4_Tanks!$D31</f>
        <v>5.5329991343262075E-3</v>
      </c>
      <c r="Q31" s="118">
        <f>_xlfn.XLOOKUP(Q$5,Tabl_B3_Comp!$B$55:$B$65,Tabl_B3_Comp!$I$55:$I$65)*Tabl_B4_Tanks!$D31</f>
        <v>0</v>
      </c>
      <c r="R31" s="118">
        <v>0</v>
      </c>
      <c r="S31" s="310">
        <f>_xlfn.XLOOKUP(S$5,Tabl_B3_Comp!$B$55:$B$65,Tabl_B3_Comp!$J$55:$J$65)*Tabl_B4_Tanks!$E31</f>
        <v>0</v>
      </c>
      <c r="T31" s="118">
        <f>_xlfn.XLOOKUP(T$5,Tabl_B3_Comp!$B$55:$B$65,Tabl_B3_Comp!$J$55:$J$65)*Tabl_B4_Tanks!$E31</f>
        <v>0</v>
      </c>
      <c r="U31" s="184">
        <f>_xlfn.XLOOKUP(U$5,Tabl_B3_Comp!$B$55:$B$65,Tabl_B3_Comp!$J$55:$J$65)*Tabl_B4_Tanks!$E31</f>
        <v>2.5638838267820106E-6</v>
      </c>
      <c r="V31" s="184">
        <f>_xlfn.XLOOKUP(V$5,Tabl_B3_Comp!$B$55:$B$65,Tabl_B3_Comp!$J$55:$J$65)*Tabl_B4_Tanks!$E31</f>
        <v>6.155504198995399E-7</v>
      </c>
      <c r="W31" s="184">
        <f>_xlfn.XLOOKUP(W$5,Tabl_B3_Comp!$B$55:$B$65,Tabl_B3_Comp!$J$55:$J$65)*Tabl_B4_Tanks!$E31</f>
        <v>5.234160298788254E-4</v>
      </c>
      <c r="X31" s="184">
        <f>_xlfn.XLOOKUP(X$5,Tabl_B3_Comp!$B$55:$B$65,Tabl_B3_Comp!$J$55:$J$65)*Tabl_B4_Tanks!$E31</f>
        <v>2.2329342141666993E-4</v>
      </c>
      <c r="Y31" s="118">
        <f>_xlfn.XLOOKUP(Y$5,Tabl_B3_Comp!$B$55:$B$65,Tabl_B3_Comp!$J$55:$J$65)*Tabl_B4_Tanks!$E31</f>
        <v>0</v>
      </c>
      <c r="Z31" s="184">
        <f>_xlfn.XLOOKUP(Z$5,Tabl_B3_Comp!$B$55:$B$65,Tabl_B3_Comp!$J$55:$J$65)*Tabl_B4_Tanks!$E31</f>
        <v>2.1701013491266007E-3</v>
      </c>
      <c r="AA31" s="184">
        <f>_xlfn.XLOOKUP(AA$5,Tabl_B3_Comp!$B$55:$B$65,Tabl_B3_Comp!$J$55:$J$65)*Tabl_B4_Tanks!$E31</f>
        <v>1.1961162573162591E-3</v>
      </c>
      <c r="AB31" s="184">
        <f>_xlfn.XLOOKUP(AB$5,Tabl_B3_Comp!$B$55:$B$65,Tabl_B3_Comp!$J$55:$J$65)*Tabl_B4_Tanks!$E31</f>
        <v>1.0817881942734582E-3</v>
      </c>
      <c r="AC31" s="118">
        <f>_xlfn.XLOOKUP(AC$5,Tabl_B3_Comp!$B$55:$B$65,Tabl_B3_Comp!$J$55:$J$65)*Tabl_B4_Tanks!$E31</f>
        <v>0</v>
      </c>
      <c r="AD31" s="313">
        <v>0</v>
      </c>
    </row>
    <row r="32" spans="1:30">
      <c r="A32" s="408"/>
      <c r="B32" t="s">
        <v>1572</v>
      </c>
      <c r="C32">
        <v>1.1000000000000001</v>
      </c>
      <c r="D32" s="29">
        <v>47.793516032640994</v>
      </c>
      <c r="E32" s="10">
        <v>6.7939321900763439</v>
      </c>
      <c r="F32" s="118">
        <v>0</v>
      </c>
      <c r="G32" s="310">
        <f>_xlfn.XLOOKUP(G$5,Tabl_B3_Comp!$B$55:$B$65,Tabl_B3_Comp!$I$55:$I$65)*Tabl_B4_Tanks!$D32</f>
        <v>0</v>
      </c>
      <c r="H32" s="118">
        <f>_xlfn.XLOOKUP(H$5,Tabl_B3_Comp!$B$55:$B$65,Tabl_B3_Comp!$I$55:$I$65)*Tabl_B4_Tanks!$D32</f>
        <v>0</v>
      </c>
      <c r="I32" s="184">
        <f>_xlfn.XLOOKUP(I$5,Tabl_B3_Comp!$B$55:$B$65,Tabl_B3_Comp!$I$55:$I$65)*Tabl_B4_Tanks!$D32</f>
        <v>8.633519452550847E-6</v>
      </c>
      <c r="J32" s="184">
        <f>_xlfn.XLOOKUP(J$5,Tabl_B3_Comp!$B$55:$B$65,Tabl_B3_Comp!$I$55:$I$65)*Tabl_B4_Tanks!$D32</f>
        <v>1.9103917732647957E-6</v>
      </c>
      <c r="K32" s="184">
        <f>_xlfn.XLOOKUP(K$5,Tabl_B3_Comp!$B$55:$B$65,Tabl_B3_Comp!$I$55:$I$65)*Tabl_B4_Tanks!$D32</f>
        <v>3.1957979100242033E-3</v>
      </c>
      <c r="L32" s="184">
        <f>_xlfn.XLOOKUP(L$5,Tabl_B3_Comp!$B$55:$B$65,Tabl_B3_Comp!$I$55:$I$65)*Tabl_B4_Tanks!$D32</f>
        <v>1.150880279826549E-3</v>
      </c>
      <c r="M32" s="118">
        <f>_xlfn.XLOOKUP(M$5,Tabl_B3_Comp!$B$55:$B$65,Tabl_B3_Comp!$I$55:$I$65)*Tabl_B4_Tanks!$D32</f>
        <v>0</v>
      </c>
      <c r="N32" s="184">
        <f>_xlfn.XLOOKUP(N$5,Tabl_B3_Comp!$B$55:$B$65,Tabl_B3_Comp!$I$55:$I$65)*Tabl_B4_Tanks!$D32</f>
        <v>1.2221298119674727E-2</v>
      </c>
      <c r="O32" s="184">
        <f>_xlfn.XLOOKUP(O$5,Tabl_B3_Comp!$B$55:$B$65,Tabl_B3_Comp!$I$55:$I$65)*Tabl_B4_Tanks!$D32</f>
        <v>7.6018256401124244E-3</v>
      </c>
      <c r="P32" s="184">
        <f>_xlfn.XLOOKUP(P$5,Tabl_B3_Comp!$B$55:$B$65,Tabl_B3_Comp!$I$55:$I$65)*Tabl_B4_Tanks!$D32</f>
        <v>5.5329991343262075E-3</v>
      </c>
      <c r="Q32" s="118">
        <f>_xlfn.XLOOKUP(Q$5,Tabl_B3_Comp!$B$55:$B$65,Tabl_B3_Comp!$I$55:$I$65)*Tabl_B4_Tanks!$D32</f>
        <v>0</v>
      </c>
      <c r="R32" s="118">
        <v>0</v>
      </c>
      <c r="S32" s="310">
        <f>_xlfn.XLOOKUP(S$5,Tabl_B3_Comp!$B$55:$B$65,Tabl_B3_Comp!$J$55:$J$65)*Tabl_B4_Tanks!$E32</f>
        <v>0</v>
      </c>
      <c r="T32" s="118">
        <f>_xlfn.XLOOKUP(T$5,Tabl_B3_Comp!$B$55:$B$65,Tabl_B3_Comp!$J$55:$J$65)*Tabl_B4_Tanks!$E32</f>
        <v>0</v>
      </c>
      <c r="U32" s="184">
        <f>_xlfn.XLOOKUP(U$5,Tabl_B3_Comp!$B$55:$B$65,Tabl_B3_Comp!$J$55:$J$65)*Tabl_B4_Tanks!$E32</f>
        <v>2.5638838267820106E-6</v>
      </c>
      <c r="V32" s="184">
        <f>_xlfn.XLOOKUP(V$5,Tabl_B3_Comp!$B$55:$B$65,Tabl_B3_Comp!$J$55:$J$65)*Tabl_B4_Tanks!$E32</f>
        <v>6.155504198995399E-7</v>
      </c>
      <c r="W32" s="184">
        <f>_xlfn.XLOOKUP(W$5,Tabl_B3_Comp!$B$55:$B$65,Tabl_B3_Comp!$J$55:$J$65)*Tabl_B4_Tanks!$E32</f>
        <v>5.234160298788254E-4</v>
      </c>
      <c r="X32" s="184">
        <f>_xlfn.XLOOKUP(X$5,Tabl_B3_Comp!$B$55:$B$65,Tabl_B3_Comp!$J$55:$J$65)*Tabl_B4_Tanks!$E32</f>
        <v>2.2329342141666993E-4</v>
      </c>
      <c r="Y32" s="118">
        <f>_xlfn.XLOOKUP(Y$5,Tabl_B3_Comp!$B$55:$B$65,Tabl_B3_Comp!$J$55:$J$65)*Tabl_B4_Tanks!$E32</f>
        <v>0</v>
      </c>
      <c r="Z32" s="184">
        <f>_xlfn.XLOOKUP(Z$5,Tabl_B3_Comp!$B$55:$B$65,Tabl_B3_Comp!$J$55:$J$65)*Tabl_B4_Tanks!$E32</f>
        <v>2.1701013491266007E-3</v>
      </c>
      <c r="AA32" s="184">
        <f>_xlfn.XLOOKUP(AA$5,Tabl_B3_Comp!$B$55:$B$65,Tabl_B3_Comp!$J$55:$J$65)*Tabl_B4_Tanks!$E32</f>
        <v>1.1961162573162591E-3</v>
      </c>
      <c r="AB32" s="184">
        <f>_xlfn.XLOOKUP(AB$5,Tabl_B3_Comp!$B$55:$B$65,Tabl_B3_Comp!$J$55:$J$65)*Tabl_B4_Tanks!$E32</f>
        <v>1.0817881942734582E-3</v>
      </c>
      <c r="AC32" s="118">
        <f>_xlfn.XLOOKUP(AC$5,Tabl_B3_Comp!$B$55:$B$65,Tabl_B3_Comp!$J$55:$J$65)*Tabl_B4_Tanks!$E32</f>
        <v>0</v>
      </c>
      <c r="AD32" s="313">
        <v>0</v>
      </c>
    </row>
    <row r="33" spans="1:30">
      <c r="A33" s="408"/>
      <c r="B33" t="s">
        <v>1321</v>
      </c>
      <c r="C33">
        <v>1</v>
      </c>
      <c r="D33" s="29">
        <v>180.24388905542722</v>
      </c>
      <c r="E33" s="10">
        <v>17.898923169855674</v>
      </c>
      <c r="F33" s="118">
        <v>0</v>
      </c>
      <c r="G33" s="311">
        <f>_xlfn.XLOOKUP(G$5,Tabl_B3_Comp!$B$55:$B$65,Tabl_B3_Comp!$I$55:$I$65)*Tabl_B4_Tanks!$D33</f>
        <v>0</v>
      </c>
      <c r="H33" s="312">
        <f>_xlfn.XLOOKUP(H$5,Tabl_B3_Comp!$B$55:$B$65,Tabl_B3_Comp!$I$55:$I$65)*Tabl_B4_Tanks!$D33</f>
        <v>0</v>
      </c>
      <c r="I33" s="291">
        <f>_xlfn.XLOOKUP(I$5,Tabl_B3_Comp!$B$55:$B$65,Tabl_B3_Comp!$I$55:$I$65)*Tabl_B4_Tanks!$D33</f>
        <v>3.255962840860398E-5</v>
      </c>
      <c r="J33" s="291">
        <f>_xlfn.XLOOKUP(J$5,Tabl_B3_Comp!$B$55:$B$65,Tabl_B3_Comp!$I$55:$I$65)*Tabl_B4_Tanks!$D33</f>
        <v>7.2046685704724715E-6</v>
      </c>
      <c r="K33" s="291">
        <f>_xlfn.XLOOKUP(K$5,Tabl_B3_Comp!$B$55:$B$65,Tabl_B3_Comp!$I$55:$I$65)*Tabl_B4_Tanks!$D33</f>
        <v>1.205232616793811E-2</v>
      </c>
      <c r="L33" s="291">
        <f>_xlfn.XLOOKUP(L$5,Tabl_B3_Comp!$B$55:$B$65,Tabl_B3_Comp!$I$55:$I$65)*Tabl_B4_Tanks!$D33</f>
        <v>4.3403196645223421E-3</v>
      </c>
      <c r="M33" s="312">
        <f>_xlfn.XLOOKUP(M$5,Tabl_B3_Comp!$B$55:$B$65,Tabl_B3_Comp!$I$55:$I$65)*Tabl_B4_Tanks!$D33</f>
        <v>0</v>
      </c>
      <c r="N33" s="291">
        <f>_xlfn.XLOOKUP(N$5,Tabl_B3_Comp!$B$55:$B$65,Tabl_B3_Comp!$I$55:$I$65)*Tabl_B4_Tanks!$D33</f>
        <v>4.6090233262845143E-2</v>
      </c>
      <c r="O33" s="291">
        <f>_xlfn.XLOOKUP(O$5,Tabl_B3_Comp!$B$55:$B$65,Tabl_B3_Comp!$I$55:$I$65)*Tabl_B4_Tanks!$D33</f>
        <v>2.8668797172389404E-2</v>
      </c>
      <c r="P33" s="291">
        <f>_xlfn.XLOOKUP(P$5,Tabl_B3_Comp!$B$55:$B$65,Tabl_B3_Comp!$I$55:$I$65)*Tabl_B4_Tanks!$D33</f>
        <v>2.08666230253945E-2</v>
      </c>
      <c r="Q33" s="312">
        <f>_xlfn.XLOOKUP(Q$5,Tabl_B3_Comp!$B$55:$B$65,Tabl_B3_Comp!$I$55:$I$65)*Tabl_B4_Tanks!$D33</f>
        <v>0</v>
      </c>
      <c r="R33" s="312">
        <v>0</v>
      </c>
      <c r="S33" s="311">
        <f>_xlfn.XLOOKUP(S$5,Tabl_B3_Comp!$B$55:$B$65,Tabl_B3_Comp!$J$55:$J$65)*Tabl_B4_Tanks!$E33</f>
        <v>0</v>
      </c>
      <c r="T33" s="312">
        <f>_xlfn.XLOOKUP(T$5,Tabl_B3_Comp!$B$55:$B$65,Tabl_B3_Comp!$J$55:$J$65)*Tabl_B4_Tanks!$E33</f>
        <v>0</v>
      </c>
      <c r="U33" s="291">
        <f>_xlfn.XLOOKUP(U$5,Tabl_B3_Comp!$B$55:$B$65,Tabl_B3_Comp!$J$55:$J$65)*Tabl_B4_Tanks!$E33</f>
        <v>6.7546684818311513E-6</v>
      </c>
      <c r="V33" s="291">
        <f>_xlfn.XLOOKUP(V$5,Tabl_B3_Comp!$B$55:$B$65,Tabl_B3_Comp!$J$55:$J$65)*Tabl_B4_Tanks!$E33</f>
        <v>1.6216955607898786E-6</v>
      </c>
      <c r="W33" s="291">
        <f>_xlfn.XLOOKUP(W$5,Tabl_B3_Comp!$B$55:$B$65,Tabl_B3_Comp!$J$55:$J$65)*Tabl_B4_Tanks!$E33</f>
        <v>1.3789633223534872E-3</v>
      </c>
      <c r="X33" s="291">
        <f>_xlfn.XLOOKUP(X$5,Tabl_B3_Comp!$B$55:$B$65,Tabl_B3_Comp!$J$55:$J$65)*Tabl_B4_Tanks!$E33</f>
        <v>5.8827666842319027E-4</v>
      </c>
      <c r="Y33" s="312">
        <f>_xlfn.XLOOKUP(Y$5,Tabl_B3_Comp!$B$55:$B$65,Tabl_B3_Comp!$J$55:$J$65)*Tabl_B4_Tanks!$E33</f>
        <v>0</v>
      </c>
      <c r="Z33" s="291">
        <f>_xlfn.XLOOKUP(Z$5,Tabl_B3_Comp!$B$55:$B$65,Tabl_B3_Comp!$J$55:$J$65)*Tabl_B4_Tanks!$E33</f>
        <v>5.7172306452444432E-3</v>
      </c>
      <c r="AA33" s="291">
        <f>_xlfn.XLOOKUP(AA$5,Tabl_B3_Comp!$B$55:$B$65,Tabl_B3_Comp!$J$55:$J$65)*Tabl_B4_Tanks!$E33</f>
        <v>3.1512226488204717E-3</v>
      </c>
      <c r="AB33" s="291">
        <f>_xlfn.XLOOKUP(AB$5,Tabl_B3_Comp!$B$55:$B$65,Tabl_B3_Comp!$J$55:$J$65)*Tabl_B4_Tanks!$E33</f>
        <v>2.8500201700040742E-3</v>
      </c>
      <c r="AC33" s="312">
        <f>_xlfn.XLOOKUP(AC$5,Tabl_B3_Comp!$B$55:$B$65,Tabl_B3_Comp!$J$55:$J$65)*Tabl_B4_Tanks!$E33</f>
        <v>0</v>
      </c>
      <c r="AD33" s="314">
        <v>0</v>
      </c>
    </row>
    <row r="34" spans="1:30">
      <c r="A34" s="6"/>
      <c r="B34" s="363" t="s">
        <v>1691</v>
      </c>
      <c r="C34" s="363">
        <v>0.96</v>
      </c>
      <c r="D34" s="364">
        <v>6.0590028206238689</v>
      </c>
      <c r="E34" s="211">
        <v>0.62288510906688044</v>
      </c>
      <c r="F34" s="118">
        <v>0</v>
      </c>
      <c r="G34" s="311">
        <v>0</v>
      </c>
      <c r="H34" s="312">
        <v>0</v>
      </c>
      <c r="I34" s="312">
        <v>0</v>
      </c>
      <c r="J34" s="312">
        <v>0</v>
      </c>
      <c r="K34" s="312">
        <v>0</v>
      </c>
      <c r="L34" s="312">
        <v>0</v>
      </c>
      <c r="M34" s="312">
        <v>0</v>
      </c>
      <c r="N34" s="312">
        <v>0</v>
      </c>
      <c r="O34" s="312">
        <v>0</v>
      </c>
      <c r="P34" s="312">
        <v>0</v>
      </c>
      <c r="Q34" s="312">
        <v>0</v>
      </c>
      <c r="R34" s="365">
        <f>D34</f>
        <v>6.0590028206238689</v>
      </c>
      <c r="S34" s="311">
        <v>0</v>
      </c>
      <c r="T34" s="312">
        <v>0</v>
      </c>
      <c r="U34" s="312">
        <v>0</v>
      </c>
      <c r="V34" s="312">
        <v>0</v>
      </c>
      <c r="W34" s="312">
        <v>0</v>
      </c>
      <c r="X34" s="312">
        <v>0</v>
      </c>
      <c r="Y34" s="312">
        <v>0</v>
      </c>
      <c r="Z34" s="312">
        <v>0</v>
      </c>
      <c r="AA34" s="312">
        <v>0</v>
      </c>
      <c r="AB34" s="312">
        <v>0</v>
      </c>
      <c r="AC34" s="312">
        <v>0</v>
      </c>
      <c r="AD34" s="366">
        <f>E34</f>
        <v>0.62288510906688044</v>
      </c>
    </row>
    <row r="35" spans="1:30" ht="22.95" customHeight="1">
      <c r="A35" s="404" t="s">
        <v>1564</v>
      </c>
      <c r="B35" s="404"/>
      <c r="C35" s="404"/>
      <c r="D35" s="404"/>
      <c r="E35" s="404"/>
      <c r="F35" s="404"/>
      <c r="G35" s="292">
        <f t="shared" ref="G35:AB35" si="0">SUM(G7:G33)</f>
        <v>0</v>
      </c>
      <c r="H35" s="293">
        <f t="shared" si="0"/>
        <v>0</v>
      </c>
      <c r="I35" s="294">
        <f t="shared" si="0"/>
        <v>1.707687773982805E-3</v>
      </c>
      <c r="J35" s="303">
        <f t="shared" si="0"/>
        <v>3.7787054197899948E-4</v>
      </c>
      <c r="K35" s="305">
        <f t="shared" si="0"/>
        <v>0.6321205447050553</v>
      </c>
      <c r="L35" s="305">
        <f t="shared" si="0"/>
        <v>0.22764113684796625</v>
      </c>
      <c r="M35" s="293">
        <f t="shared" si="0"/>
        <v>0</v>
      </c>
      <c r="N35" s="305">
        <f t="shared" si="0"/>
        <v>2.4173410966255835</v>
      </c>
      <c r="O35" s="305">
        <f t="shared" si="0"/>
        <v>1.5036214115129474</v>
      </c>
      <c r="P35" s="305">
        <f t="shared" si="0"/>
        <v>1.0944128900241983</v>
      </c>
      <c r="Q35" s="293">
        <f t="shared" ref="Q35" si="1">SUM(Q7:Q33)</f>
        <v>0</v>
      </c>
      <c r="R35" s="293">
        <f t="shared" si="0"/>
        <v>0</v>
      </c>
      <c r="S35" s="292">
        <f t="shared" si="0"/>
        <v>0</v>
      </c>
      <c r="T35" s="293">
        <f t="shared" si="0"/>
        <v>0</v>
      </c>
      <c r="U35" s="303">
        <f t="shared" si="0"/>
        <v>2.7444238724227271E-4</v>
      </c>
      <c r="V35" s="303">
        <f t="shared" si="0"/>
        <v>6.5889540290616424E-5</v>
      </c>
      <c r="W35" s="304">
        <f t="shared" si="0"/>
        <v>5.6027322010573664E-2</v>
      </c>
      <c r="X35" s="304">
        <f t="shared" si="0"/>
        <v>2.3901699050850184E-2</v>
      </c>
      <c r="Y35" s="293">
        <f t="shared" si="0"/>
        <v>0</v>
      </c>
      <c r="Z35" s="305">
        <f t="shared" si="0"/>
        <v>0.2322912561757885</v>
      </c>
      <c r="AA35" s="305">
        <f t="shared" si="0"/>
        <v>0.12803427271085821</v>
      </c>
      <c r="AB35" s="305">
        <f t="shared" si="0"/>
        <v>0.11579640677383843</v>
      </c>
      <c r="AC35" s="293">
        <f t="shared" ref="AC35:AD35" si="2">SUM(AC7:AC33)</f>
        <v>0</v>
      </c>
      <c r="AD35" s="295">
        <f t="shared" si="2"/>
        <v>0</v>
      </c>
    </row>
    <row r="36" spans="1:30" ht="16.05" customHeight="1">
      <c r="A36" s="368" t="s">
        <v>1556</v>
      </c>
      <c r="B36" t="s">
        <v>1322</v>
      </c>
      <c r="C36">
        <v>1.1000000000000001</v>
      </c>
      <c r="D36" s="29">
        <v>35.330126772651091</v>
      </c>
      <c r="E36" s="10">
        <v>4.4825376381805135</v>
      </c>
      <c r="F36" s="118">
        <v>1</v>
      </c>
      <c r="G36" s="296">
        <f>_xlfn.XLOOKUP(G$5,Tabl_B3_Comp!$B$55:$B$65,Tabl_B3_Comp!$G$55:$G$65)*Tabl_B4_Tanks!$D36</f>
        <v>1.0933775748145437E-4</v>
      </c>
      <c r="H36" s="184">
        <f>_xlfn.XLOOKUP(H$5,Tabl_B3_Comp!$B$55:$B$65,Tabl_B3_Comp!$G$55:$G$65)*Tabl_B4_Tanks!$D36</f>
        <v>2.5376825075276775E-4</v>
      </c>
      <c r="I36" s="118">
        <f>_xlfn.XLOOKUP(I$5,Tabl_B3_Comp!$B$55:$B$65,Tabl_B3_Comp!$G$55:$G$65)*Tabl_B4_Tanks!$D36</f>
        <v>0</v>
      </c>
      <c r="J36" s="118">
        <f>_xlfn.XLOOKUP(J$5,Tabl_B3_Comp!$B$55:$B$65,Tabl_B3_Comp!$G$55:$G$65)*Tabl_B4_Tanks!$D36</f>
        <v>0</v>
      </c>
      <c r="K36" s="184">
        <f>_xlfn.XLOOKUP(K$5,Tabl_B3_Comp!$B$55:$B$65,Tabl_B3_Comp!$G$55:$G$65)*Tabl_B4_Tanks!$D36</f>
        <v>1.5090829728006372E-2</v>
      </c>
      <c r="L36" s="184">
        <f>_xlfn.XLOOKUP(L$5,Tabl_B3_Comp!$B$55:$B$65,Tabl_B3_Comp!$G$55:$G$65)*Tabl_B4_Tanks!$D36</f>
        <v>3.5984614811933389E-3</v>
      </c>
      <c r="M36" s="184">
        <f>_xlfn.XLOOKUP(M$5,Tabl_B3_Comp!$B$55:$B$65,Tabl_B3_Comp!$G$55:$G$65)*Tabl_B4_Tanks!$D36</f>
        <v>3.5142765945989649E-4</v>
      </c>
      <c r="N36" s="184">
        <f>_xlfn.XLOOKUP(N$5,Tabl_B3_Comp!$B$55:$B$65,Tabl_B3_Comp!$G$55:$G$65)*Tabl_B4_Tanks!$D36</f>
        <v>3.9503269561958786E-2</v>
      </c>
      <c r="O36" s="184">
        <f>_xlfn.XLOOKUP(O$5,Tabl_B3_Comp!$B$55:$B$65,Tabl_B3_Comp!$G$55:$G$65)*Tabl_B4_Tanks!$D36</f>
        <v>3.6148915605031855E-2</v>
      </c>
      <c r="P36" s="184">
        <f>_xlfn.XLOOKUP(P$5,Tabl_B3_Comp!$B$55:$B$65,Tabl_B3_Comp!$G$55:$G$65)*Tabl_B4_Tanks!$D36</f>
        <v>1.8561598219241936E-2</v>
      </c>
      <c r="Q36" s="184">
        <f>_xlfn.XLOOKUP(Q$5,Tabl_B3_Comp!$B$55:$B$65,Tabl_B3_Comp!$G$55:$G$65)*Tabl_B4_Tanks!$D36</f>
        <v>2.339756912242553</v>
      </c>
      <c r="R36" s="118">
        <v>0</v>
      </c>
      <c r="S36" s="296">
        <f>_xlfn.XLOOKUP(S$5,Tabl_B3_Comp!$B$55:$B$65,Tabl_B3_Comp!$H$55:$H$65)*Tabl_B4_Tanks!$E36</f>
        <v>2.8172978493117373E-5</v>
      </c>
      <c r="T36" s="184">
        <f>_xlfn.XLOOKUP(T$5,Tabl_B3_Comp!$B$55:$B$65,Tabl_B3_Comp!$H$55:$H$65)*Tabl_B4_Tanks!$E36</f>
        <v>5.689373576400924E-5</v>
      </c>
      <c r="U36" s="118">
        <f>_xlfn.XLOOKUP(U$5,Tabl_B3_Comp!$B$55:$B$65,Tabl_B3_Comp!$H$55:$H$65)*Tabl_B4_Tanks!$E36</f>
        <v>0</v>
      </c>
      <c r="V36" s="118">
        <f>_xlfn.XLOOKUP(V$5,Tabl_B3_Comp!$B$55:$B$65,Tabl_B3_Comp!$H$55:$H$65)*Tabl_B4_Tanks!$E36</f>
        <v>0</v>
      </c>
      <c r="W36" s="184">
        <f>_xlfn.XLOOKUP(W$5,Tabl_B3_Comp!$B$55:$B$65,Tabl_B3_Comp!$H$55:$H$65)*Tabl_B4_Tanks!$E36</f>
        <v>2.2227183256985019E-3</v>
      </c>
      <c r="X36" s="184">
        <f>_xlfn.XLOOKUP(X$5,Tabl_B3_Comp!$B$55:$B$65,Tabl_B3_Comp!$H$55:$H$65)*Tabl_B4_Tanks!$E36</f>
        <v>6.2786494847641905E-4</v>
      </c>
      <c r="Y36" s="184">
        <f>_xlfn.XLOOKUP(Y$5,Tabl_B3_Comp!$B$55:$B$65,Tabl_B3_Comp!$H$55:$H$65)*Tabl_B4_Tanks!$E36</f>
        <v>6.5218941294265228E-5</v>
      </c>
      <c r="Z36" s="184">
        <f>_xlfn.XLOOKUP(Z$5,Tabl_B3_Comp!$B$55:$B$65,Tabl_B3_Comp!$H$55:$H$65)*Tabl_B4_Tanks!$E36</f>
        <v>6.3081109271146329E-3</v>
      </c>
      <c r="AA36" s="184">
        <f>_xlfn.XLOOKUP(AA$5,Tabl_B3_Comp!$B$55:$B$65,Tabl_B3_Comp!$H$55:$H$65)*Tabl_B4_Tanks!$E36</f>
        <v>5.1151027680168756E-3</v>
      </c>
      <c r="AB36" s="184">
        <f>_xlfn.XLOOKUP(AB$5,Tabl_B3_Comp!$B$55:$B$65,Tabl_B3_Comp!$H$55:$H$65)*Tabl_B4_Tanks!$E36</f>
        <v>3.2636276489985457E-3</v>
      </c>
      <c r="AC36" s="184">
        <f>_xlfn.XLOOKUP(AC$5,Tabl_B3_Comp!$B$55:$B$65,Tabl_B3_Comp!$H$55:$H$65)*Tabl_B4_Tanks!$E36</f>
        <v>0.21278130130306949</v>
      </c>
      <c r="AD36" s="313">
        <v>0</v>
      </c>
    </row>
    <row r="37" spans="1:30">
      <c r="A37" s="368"/>
      <c r="B37" t="s">
        <v>1323</v>
      </c>
      <c r="C37">
        <v>1.1000000000000001</v>
      </c>
      <c r="D37" s="29">
        <v>9.9485114537362236</v>
      </c>
      <c r="E37" s="10">
        <v>1.9922032650020582</v>
      </c>
      <c r="F37" s="118">
        <v>1</v>
      </c>
      <c r="G37" s="296">
        <f>_xlfn.XLOOKUP(G$5,Tabl_B3_Comp!$B$55:$B$65,Tabl_B3_Comp!$G$55:$G$65)*Tabl_B4_Tanks!$D37</f>
        <v>3.0788112922145061E-5</v>
      </c>
      <c r="H37" s="184">
        <f>_xlfn.XLOOKUP(H$5,Tabl_B3_Comp!$B$55:$B$65,Tabl_B3_Comp!$G$55:$G$65)*Tabl_B4_Tanks!$D37</f>
        <v>7.1457891036009845E-5</v>
      </c>
      <c r="I37" s="118">
        <f>_xlfn.XLOOKUP(I$5,Tabl_B3_Comp!$B$55:$B$65,Tabl_B3_Comp!$G$55:$G$65)*Tabl_B4_Tanks!$D37</f>
        <v>0</v>
      </c>
      <c r="J37" s="118">
        <f>_xlfn.XLOOKUP(J$5,Tabl_B3_Comp!$B$55:$B$65,Tabl_B3_Comp!$G$55:$G$65)*Tabl_B4_Tanks!$D37</f>
        <v>0</v>
      </c>
      <c r="K37" s="184">
        <f>_xlfn.XLOOKUP(K$5,Tabl_B3_Comp!$B$55:$B$65,Tabl_B3_Comp!$G$55:$G$65)*Tabl_B4_Tanks!$D37</f>
        <v>4.2493844803203626E-3</v>
      </c>
      <c r="L37" s="184">
        <f>_xlfn.XLOOKUP(L$5,Tabl_B3_Comp!$B$55:$B$65,Tabl_B3_Comp!$G$55:$G$65)*Tabl_B4_Tanks!$D37</f>
        <v>1.0132806907784059E-3</v>
      </c>
      <c r="M37" s="184">
        <f>_xlfn.XLOOKUP(M$5,Tabl_B3_Comp!$B$55:$B$65,Tabl_B3_Comp!$G$55:$G$65)*Tabl_B4_Tanks!$D37</f>
        <v>9.8957530432720501E-5</v>
      </c>
      <c r="N37" s="184">
        <f>_xlfn.XLOOKUP(N$5,Tabl_B3_Comp!$B$55:$B$65,Tabl_B3_Comp!$G$55:$G$65)*Tabl_B4_Tanks!$D37</f>
        <v>1.1123615044636501E-2</v>
      </c>
      <c r="O37" s="184">
        <f>_xlfn.XLOOKUP(O$5,Tabl_B3_Comp!$B$55:$B$65,Tabl_B3_Comp!$G$55:$G$65)*Tabl_B4_Tanks!$D37</f>
        <v>1.0179071907978265E-2</v>
      </c>
      <c r="P37" s="184">
        <f>_xlfn.XLOOKUP(P$5,Tabl_B3_Comp!$B$55:$B$65,Tabl_B3_Comp!$G$55:$G$65)*Tabl_B4_Tanks!$D37</f>
        <v>5.2267084596685637E-3</v>
      </c>
      <c r="Q37" s="184">
        <f>_xlfn.XLOOKUP(Q$5,Tabl_B3_Comp!$B$55:$B$65,Tabl_B3_Comp!$G$55:$G$65)*Tabl_B4_Tanks!$D37</f>
        <v>0.65884559628646011</v>
      </c>
      <c r="R37" s="118">
        <v>0</v>
      </c>
      <c r="S37" s="296">
        <f>_xlfn.XLOOKUP(S$5,Tabl_B3_Comp!$B$55:$B$65,Tabl_B3_Comp!$H$55:$H$65)*Tabl_B4_Tanks!$E37</f>
        <v>1.2521099490779328E-5</v>
      </c>
      <c r="T37" s="184">
        <f>_xlfn.XLOOKUP(T$5,Tabl_B3_Comp!$B$55:$B$65,Tabl_B3_Comp!$H$55:$H$65)*Tabl_B4_Tanks!$E37</f>
        <v>2.5285651855280456E-5</v>
      </c>
      <c r="U37" s="118">
        <f>_xlfn.XLOOKUP(U$5,Tabl_B3_Comp!$B$55:$B$65,Tabl_B3_Comp!$H$55:$H$65)*Tabl_B4_Tanks!$E37</f>
        <v>0</v>
      </c>
      <c r="V37" s="118">
        <f>_xlfn.XLOOKUP(V$5,Tabl_B3_Comp!$B$55:$B$65,Tabl_B3_Comp!$H$55:$H$65)*Tabl_B4_Tanks!$E37</f>
        <v>0</v>
      </c>
      <c r="W37" s="184">
        <f>_xlfn.XLOOKUP(W$5,Tabl_B3_Comp!$B$55:$B$65,Tabl_B3_Comp!$H$55:$H$65)*Tabl_B4_Tanks!$E37</f>
        <v>9.8785711645108594E-4</v>
      </c>
      <c r="X37" s="184">
        <f>_xlfn.XLOOKUP(X$5,Tabl_B3_Comp!$B$55:$B$65,Tabl_B3_Comp!$H$55:$H$65)*Tabl_B4_Tanks!$E37</f>
        <v>2.7904608980434389E-4</v>
      </c>
      <c r="Y37" s="184">
        <f>_xlfn.XLOOKUP(Y$5,Tabl_B3_Comp!$B$55:$B$65,Tabl_B3_Comp!$H$55:$H$65)*Tabl_B4_Tanks!$E37</f>
        <v>2.8985676925437217E-5</v>
      </c>
      <c r="Z37" s="184">
        <f>_xlfn.XLOOKUP(Z$5,Tabl_B3_Comp!$B$55:$B$65,Tabl_B3_Comp!$H$55:$H$65)*Tabl_B4_Tanks!$E37</f>
        <v>2.8035546378800649E-3</v>
      </c>
      <c r="AA37" s="184">
        <f>_xlfn.XLOOKUP(AA$5,Tabl_B3_Comp!$B$55:$B$65,Tabl_B3_Comp!$H$55:$H$65)*Tabl_B4_Tanks!$E37</f>
        <v>2.2733382868817568E-3</v>
      </c>
      <c r="AB37" s="184">
        <f>_xlfn.XLOOKUP(AB$5,Tabl_B3_Comp!$B$55:$B$65,Tabl_B3_Comp!$H$55:$H$65)*Tabl_B4_Tanks!$E37</f>
        <v>1.4504751957252976E-3</v>
      </c>
      <c r="AC37" s="184">
        <f>_xlfn.XLOOKUP(AC$5,Tabl_B3_Comp!$B$55:$B$65,Tabl_B3_Comp!$H$55:$H$65)*Tabl_B4_Tanks!$E37</f>
        <v>9.4567773302496244E-2</v>
      </c>
      <c r="AD37" s="313">
        <v>0</v>
      </c>
    </row>
    <row r="38" spans="1:30">
      <c r="A38" s="368"/>
      <c r="B38" t="s">
        <v>1324</v>
      </c>
      <c r="C38">
        <v>1</v>
      </c>
      <c r="D38" s="29">
        <v>8.8879726358380182</v>
      </c>
      <c r="E38" s="10">
        <v>1.455765608913614</v>
      </c>
      <c r="F38" s="118">
        <v>1</v>
      </c>
      <c r="G38" s="296">
        <f>_xlfn.XLOOKUP(G$5,Tabl_B3_Comp!$B$55:$B$65,Tabl_B3_Comp!$G$55:$G$65)*Tabl_B4_Tanks!$D38</f>
        <v>2.7506014988639084E-5</v>
      </c>
      <c r="H38" s="184">
        <f>_xlfn.XLOOKUP(H$5,Tabl_B3_Comp!$B$55:$B$65,Tabl_B3_Comp!$G$55:$G$65)*Tabl_B4_Tanks!$D38</f>
        <v>6.3840282347388646E-5</v>
      </c>
      <c r="I38" s="118">
        <f>_xlfn.XLOOKUP(I$5,Tabl_B3_Comp!$B$55:$B$65,Tabl_B3_Comp!$G$55:$G$65)*Tabl_B4_Tanks!$D38</f>
        <v>0</v>
      </c>
      <c r="J38" s="118">
        <f>_xlfn.XLOOKUP(J$5,Tabl_B3_Comp!$B$55:$B$65,Tabl_B3_Comp!$G$55:$G$65)*Tabl_B4_Tanks!$D38</f>
        <v>0</v>
      </c>
      <c r="K38" s="184">
        <f>_xlfn.XLOOKUP(K$5,Tabl_B3_Comp!$B$55:$B$65,Tabl_B3_Comp!$G$55:$G$65)*Tabl_B4_Tanks!$D38</f>
        <v>3.796388349742311E-3</v>
      </c>
      <c r="L38" s="184">
        <f>_xlfn.XLOOKUP(L$5,Tabl_B3_Comp!$B$55:$B$65,Tabl_B3_Comp!$G$55:$G$65)*Tabl_B4_Tanks!$D38</f>
        <v>9.0526216851057192E-4</v>
      </c>
      <c r="M38" s="184">
        <f>_xlfn.XLOOKUP(M$5,Tabl_B3_Comp!$B$55:$B$65,Tabl_B3_Comp!$G$55:$G$65)*Tabl_B4_Tanks!$D38</f>
        <v>8.8408384177495641E-5</v>
      </c>
      <c r="N38" s="184">
        <f>_xlfn.XLOOKUP(N$5,Tabl_B3_Comp!$B$55:$B$65,Tabl_B3_Comp!$G$55:$G$65)*Tabl_B4_Tanks!$D38</f>
        <v>9.9378069360512664E-3</v>
      </c>
      <c r="O38" s="184">
        <f>_xlfn.XLOOKUP(O$5,Tabl_B3_Comp!$B$55:$B$65,Tabl_B3_Comp!$G$55:$G$65)*Tabl_B4_Tanks!$D38</f>
        <v>9.0939547084062777E-3</v>
      </c>
      <c r="P38" s="184">
        <f>_xlfn.XLOOKUP(P$5,Tabl_B3_Comp!$B$55:$B$65,Tabl_B3_Comp!$G$55:$G$65)*Tabl_B4_Tanks!$D38</f>
        <v>4.6695268916427573E-3</v>
      </c>
      <c r="Q38" s="184">
        <f>_xlfn.XLOOKUP(Q$5,Tabl_B3_Comp!$B$55:$B$65,Tabl_B3_Comp!$G$55:$G$65)*Tabl_B4_Tanks!$D38</f>
        <v>0.58861083472314424</v>
      </c>
      <c r="R38" s="118">
        <v>0</v>
      </c>
      <c r="S38" s="296">
        <f>_xlfn.XLOOKUP(S$5,Tabl_B3_Comp!$B$55:$B$65,Tabl_B3_Comp!$H$55:$H$65)*Tabl_B4_Tanks!$E38</f>
        <v>9.1495613648858657E-6</v>
      </c>
      <c r="T38" s="184">
        <f>_xlfn.XLOOKUP(T$5,Tabl_B3_Comp!$B$55:$B$65,Tabl_B3_Comp!$H$55:$H$65)*Tabl_B4_Tanks!$E38</f>
        <v>1.8477021404661724E-5</v>
      </c>
      <c r="U38" s="118">
        <f>_xlfn.XLOOKUP(U$5,Tabl_B3_Comp!$B$55:$B$65,Tabl_B3_Comp!$H$55:$H$65)*Tabl_B4_Tanks!$E38</f>
        <v>0</v>
      </c>
      <c r="V38" s="118">
        <f>_xlfn.XLOOKUP(V$5,Tabl_B3_Comp!$B$55:$B$65,Tabl_B3_Comp!$H$55:$H$65)*Tabl_B4_Tanks!$E38</f>
        <v>0</v>
      </c>
      <c r="W38" s="184">
        <f>_xlfn.XLOOKUP(W$5,Tabl_B3_Comp!$B$55:$B$65,Tabl_B3_Comp!$H$55:$H$65)*Tabl_B4_Tanks!$E38</f>
        <v>7.2185827717161999E-4</v>
      </c>
      <c r="X38" s="184">
        <f>_xlfn.XLOOKUP(X$5,Tabl_B3_Comp!$B$55:$B$65,Tabl_B3_Comp!$H$55:$H$65)*Tabl_B4_Tanks!$E38</f>
        <v>2.0390775779526892E-4</v>
      </c>
      <c r="Y38" s="184">
        <f>_xlfn.XLOOKUP(Y$5,Tabl_B3_Comp!$B$55:$B$65,Tabl_B3_Comp!$H$55:$H$65)*Tabl_B4_Tanks!$E38</f>
        <v>2.1180746141929851E-5</v>
      </c>
      <c r="Z38" s="184">
        <f>_xlfn.XLOOKUP(Z$5,Tabl_B3_Comp!$B$55:$B$65,Tabl_B3_Comp!$H$55:$H$65)*Tabl_B4_Tanks!$E38</f>
        <v>2.0486455856359833E-3</v>
      </c>
      <c r="AA38" s="184">
        <f>_xlfn.XLOOKUP(AA$5,Tabl_B3_Comp!$B$55:$B$65,Tabl_B3_Comp!$H$55:$H$65)*Tabl_B4_Tanks!$E38</f>
        <v>1.6611998151030204E-3</v>
      </c>
      <c r="AB38" s="184">
        <f>_xlfn.XLOOKUP(AB$5,Tabl_B3_Comp!$B$55:$B$65,Tabl_B3_Comp!$H$55:$H$65)*Tabl_B4_Tanks!$E38</f>
        <v>1.0599078636270331E-3</v>
      </c>
      <c r="AC38" s="184">
        <f>_xlfn.XLOOKUP(AC$5,Tabl_B3_Comp!$B$55:$B$65,Tabl_B3_Comp!$H$55:$H$65)*Tabl_B4_Tanks!$E38</f>
        <v>6.9103647455959177E-2</v>
      </c>
      <c r="AD38" s="313">
        <v>0</v>
      </c>
    </row>
    <row r="39" spans="1:30">
      <c r="A39" s="368"/>
      <c r="B39" t="s">
        <v>1308</v>
      </c>
      <c r="C39">
        <v>1.1000000000000001</v>
      </c>
      <c r="D39" s="29">
        <v>13.170871504078338</v>
      </c>
      <c r="E39" s="10">
        <v>2.9882184292752143</v>
      </c>
      <c r="F39" s="118">
        <v>1</v>
      </c>
      <c r="G39" s="310">
        <f>_xlfn.XLOOKUP(G$5,Tabl_B3_Comp!$B$55:$B$65,Tabl_B3_Comp!$I$55:$I$65)*Tabl_B4_Tanks!$D39</f>
        <v>0</v>
      </c>
      <c r="H39" s="118">
        <f>_xlfn.XLOOKUP(H$5,Tabl_B3_Comp!$B$55:$B$65,Tabl_B3_Comp!$I$55:$I$65)*Tabl_B4_Tanks!$D39</f>
        <v>0</v>
      </c>
      <c r="I39" s="184">
        <f>_xlfn.XLOOKUP(I$5,Tabl_B3_Comp!$B$55:$B$65,Tabl_B3_Comp!$I$55:$I$65)*Tabl_B4_Tanks!$D39</f>
        <v>2.3792134326306538E-6</v>
      </c>
      <c r="J39" s="184">
        <f>_xlfn.XLOOKUP(J$5,Tabl_B3_Comp!$B$55:$B$65,Tabl_B3_Comp!$I$55:$I$65)*Tabl_B4_Tanks!$D39</f>
        <v>5.2646314096110242E-7</v>
      </c>
      <c r="K39" s="184">
        <f>_xlfn.XLOOKUP(K$5,Tabl_B3_Comp!$B$55:$B$65,Tabl_B3_Comp!$I$55:$I$65)*Tabl_B4_Tanks!$D39</f>
        <v>8.8069359862924025E-4</v>
      </c>
      <c r="L39" s="184">
        <f>_xlfn.XLOOKUP(L$5,Tabl_B3_Comp!$B$55:$B$65,Tabl_B3_Comp!$I$55:$I$65)*Tabl_B4_Tanks!$D39</f>
        <v>3.1715800678528956E-4</v>
      </c>
      <c r="M39" s="118">
        <f>_xlfn.XLOOKUP(M$5,Tabl_B3_Comp!$B$55:$B$65,Tabl_B3_Comp!$I$55:$I$65)*Tabl_B4_Tanks!$D39</f>
        <v>0</v>
      </c>
      <c r="N39" s="184">
        <f>_xlfn.XLOOKUP(N$5,Tabl_B3_Comp!$B$55:$B$65,Tabl_B3_Comp!$I$55:$I$65)*Tabl_B4_Tanks!$D39</f>
        <v>3.3679285499174719E-3</v>
      </c>
      <c r="O39" s="184">
        <f>_xlfn.XLOOKUP(O$5,Tabl_B3_Comp!$B$55:$B$65,Tabl_B3_Comp!$I$55:$I$65)*Tabl_B4_Tanks!$D39</f>
        <v>2.0949006688260633E-3</v>
      </c>
      <c r="P39" s="184">
        <f>_xlfn.XLOOKUP(P$5,Tabl_B3_Comp!$B$55:$B$65,Tabl_B3_Comp!$I$55:$I$65)*Tabl_B4_Tanks!$D39</f>
        <v>1.5247763018861585E-3</v>
      </c>
      <c r="Q39" s="118">
        <f>_xlfn.XLOOKUP(Q$5,Tabl_B3_Comp!$B$55:$B$65,Tabl_B3_Comp!$I$55:$I$65)*Tabl_B4_Tanks!$D39</f>
        <v>0</v>
      </c>
      <c r="R39" s="118">
        <v>0</v>
      </c>
      <c r="S39" s="310">
        <f>_xlfn.XLOOKUP(S$5,Tabl_B3_Comp!$B$55:$B$65,Tabl_B3_Comp!$J$55:$J$65)*Tabl_B4_Tanks!$E39</f>
        <v>0</v>
      </c>
      <c r="T39" s="118">
        <f>_xlfn.XLOOKUP(T$5,Tabl_B3_Comp!$B$55:$B$65,Tabl_B3_Comp!$J$55:$J$65)*Tabl_B4_Tanks!$E39</f>
        <v>0</v>
      </c>
      <c r="U39" s="184">
        <f>_xlfn.XLOOKUP(U$5,Tabl_B3_Comp!$B$55:$B$65,Tabl_B3_Comp!$J$55:$J$65)*Tabl_B4_Tanks!$E39</f>
        <v>1.1276893391578838E-6</v>
      </c>
      <c r="V39" s="184">
        <f>_xlfn.XLOOKUP(V$5,Tabl_B3_Comp!$B$55:$B$65,Tabl_B3_Comp!$J$55:$J$65)*Tabl_B4_Tanks!$E39</f>
        <v>2.7074145832345027E-7</v>
      </c>
      <c r="W39" s="184">
        <f>_xlfn.XLOOKUP(W$5,Tabl_B3_Comp!$B$55:$B$65,Tabl_B3_Comp!$J$55:$J$65)*Tabl_B4_Tanks!$E39</f>
        <v>2.3021740325088476E-4</v>
      </c>
      <c r="X39" s="184">
        <f>_xlfn.XLOOKUP(X$5,Tabl_B3_Comp!$B$55:$B$65,Tabl_B3_Comp!$J$55:$J$65)*Tabl_B4_Tanks!$E39</f>
        <v>9.8212566499830187E-5</v>
      </c>
      <c r="Y39" s="118">
        <f>_xlfn.XLOOKUP(Y$5,Tabl_B3_Comp!$B$55:$B$65,Tabl_B3_Comp!$J$55:$J$65)*Tabl_B4_Tanks!$E39</f>
        <v>0</v>
      </c>
      <c r="Z39" s="184">
        <f>_xlfn.XLOOKUP(Z$5,Tabl_B3_Comp!$B$55:$B$65,Tabl_B3_Comp!$J$55:$J$65)*Tabl_B4_Tanks!$E39</f>
        <v>9.5448948612221051E-4</v>
      </c>
      <c r="AA39" s="184">
        <f>_xlfn.XLOOKUP(AA$5,Tabl_B3_Comp!$B$55:$B$65,Tabl_B3_Comp!$J$55:$J$65)*Tabl_B4_Tanks!$E39</f>
        <v>5.2609542510432031E-4</v>
      </c>
      <c r="AB39" s="184">
        <f>_xlfn.XLOOKUP(AB$5,Tabl_B3_Comp!$B$55:$B$65,Tabl_B3_Comp!$J$55:$J$65)*Tabl_B4_Tanks!$E39</f>
        <v>4.7580978559398586E-4</v>
      </c>
      <c r="AC39" s="118">
        <f>_xlfn.XLOOKUP(AC$5,Tabl_B3_Comp!$B$55:$B$65,Tabl_B3_Comp!$J$55:$J$65)*Tabl_B4_Tanks!$E39</f>
        <v>0</v>
      </c>
      <c r="AD39" s="313">
        <v>0</v>
      </c>
    </row>
    <row r="40" spans="1:30">
      <c r="A40" s="368"/>
      <c r="B40" t="s">
        <v>1320</v>
      </c>
      <c r="C40">
        <v>1</v>
      </c>
      <c r="D40" s="29">
        <v>12.893325089861406</v>
      </c>
      <c r="E40" s="10">
        <v>1.9918225820126398</v>
      </c>
      <c r="F40" s="118">
        <v>1</v>
      </c>
      <c r="G40" s="310">
        <f>_xlfn.XLOOKUP(G$5,Tabl_B3_Comp!$B$55:$B$65,Tabl_B3_Comp!$I$55:$I$65)*Tabl_B4_Tanks!$D40</f>
        <v>0</v>
      </c>
      <c r="H40" s="118">
        <f>_xlfn.XLOOKUP(H$5,Tabl_B3_Comp!$B$55:$B$65,Tabl_B3_Comp!$I$55:$I$65)*Tabl_B4_Tanks!$D40</f>
        <v>0</v>
      </c>
      <c r="I40" s="184">
        <f>_xlfn.XLOOKUP(I$5,Tabl_B3_Comp!$B$55:$B$65,Tabl_B3_Comp!$I$55:$I$65)*Tabl_B4_Tanks!$D40</f>
        <v>2.3290768751007346E-6</v>
      </c>
      <c r="J40" s="184">
        <f>_xlfn.XLOOKUP(J$5,Tabl_B3_Comp!$B$55:$B$65,Tabl_B3_Comp!$I$55:$I$65)*Tabl_B4_Tanks!$D40</f>
        <v>5.1536911753631295E-7</v>
      </c>
      <c r="K40" s="184">
        <f>_xlfn.XLOOKUP(K$5,Tabl_B3_Comp!$B$55:$B$65,Tabl_B3_Comp!$I$55:$I$65)*Tabl_B4_Tanks!$D40</f>
        <v>8.6213496716376257E-4</v>
      </c>
      <c r="L40" s="184">
        <f>_xlfn.XLOOKUP(L$5,Tabl_B3_Comp!$B$55:$B$65,Tabl_B3_Comp!$I$55:$I$65)*Tabl_B4_Tanks!$D40</f>
        <v>3.1047461704177947E-4</v>
      </c>
      <c r="M40" s="118">
        <f>_xlfn.XLOOKUP(M$5,Tabl_B3_Comp!$B$55:$B$65,Tabl_B3_Comp!$I$55:$I$65)*Tabl_B4_Tanks!$D40</f>
        <v>0</v>
      </c>
      <c r="N40" s="184">
        <f>_xlfn.XLOOKUP(N$5,Tabl_B3_Comp!$B$55:$B$65,Tabl_B3_Comp!$I$55:$I$65)*Tabl_B4_Tanks!$D40</f>
        <v>3.2969570510247084E-3</v>
      </c>
      <c r="O40" s="184">
        <f>_xlfn.XLOOKUP(O$5,Tabl_B3_Comp!$B$55:$B$65,Tabl_B3_Comp!$I$55:$I$65)*Tabl_B4_Tanks!$D40</f>
        <v>2.0507553616158848E-3</v>
      </c>
      <c r="P40" s="184">
        <f>_xlfn.XLOOKUP(P$5,Tabl_B3_Comp!$B$55:$B$65,Tabl_B3_Comp!$I$55:$I$65)*Tabl_B4_Tanks!$D40</f>
        <v>1.492645079974198E-3</v>
      </c>
      <c r="Q40" s="118">
        <f>_xlfn.XLOOKUP(Q$5,Tabl_B3_Comp!$B$55:$B$65,Tabl_B3_Comp!$I$55:$I$65)*Tabl_B4_Tanks!$D40</f>
        <v>0</v>
      </c>
      <c r="R40" s="118">
        <v>0</v>
      </c>
      <c r="S40" s="310">
        <f>_xlfn.XLOOKUP(S$5,Tabl_B3_Comp!$B$55:$B$65,Tabl_B3_Comp!$J$55:$J$65)*Tabl_B4_Tanks!$E40</f>
        <v>0</v>
      </c>
      <c r="T40" s="118">
        <f>_xlfn.XLOOKUP(T$5,Tabl_B3_Comp!$B$55:$B$65,Tabl_B3_Comp!$J$55:$J$65)*Tabl_B4_Tanks!$E40</f>
        <v>0</v>
      </c>
      <c r="U40" s="184">
        <f>_xlfn.XLOOKUP(U$5,Tabl_B3_Comp!$B$55:$B$65,Tabl_B3_Comp!$J$55:$J$65)*Tabl_B4_Tanks!$E40</f>
        <v>7.5167098536849049E-7</v>
      </c>
      <c r="V40" s="184">
        <f>_xlfn.XLOOKUP(V$5,Tabl_B3_Comp!$B$55:$B$65,Tabl_B3_Comp!$J$55:$J$65)*Tabl_B4_Tanks!$E40</f>
        <v>1.8046503739235715E-7</v>
      </c>
      <c r="W40" s="184">
        <f>_xlfn.XLOOKUP(W$5,Tabl_B3_Comp!$B$55:$B$65,Tabl_B3_Comp!$J$55:$J$65)*Tabl_B4_Tanks!$E40</f>
        <v>1.5345338147808801E-4</v>
      </c>
      <c r="X40" s="184">
        <f>_xlfn.XLOOKUP(X$5,Tabl_B3_Comp!$B$55:$B$65,Tabl_B3_Comp!$J$55:$J$65)*Tabl_B4_Tanks!$E40</f>
        <v>6.5464427190226371E-5</v>
      </c>
      <c r="Y40" s="118">
        <f>_xlfn.XLOOKUP(Y$5,Tabl_B3_Comp!$B$55:$B$65,Tabl_B3_Comp!$J$55:$J$65)*Tabl_B4_Tanks!$E40</f>
        <v>0</v>
      </c>
      <c r="Z40" s="184">
        <f>_xlfn.XLOOKUP(Z$5,Tabl_B3_Comp!$B$55:$B$65,Tabl_B3_Comp!$J$55:$J$65)*Tabl_B4_Tanks!$E40</f>
        <v>6.3622314022505531E-4</v>
      </c>
      <c r="AA40" s="184">
        <f>_xlfn.XLOOKUP(AA$5,Tabl_B3_Comp!$B$55:$B$65,Tabl_B3_Comp!$J$55:$J$65)*Tabl_B4_Tanks!$E40</f>
        <v>3.5067341053461338E-4</v>
      </c>
      <c r="AB40" s="184">
        <f>_xlfn.XLOOKUP(AB$5,Tabl_B3_Comp!$B$55:$B$65,Tabl_B3_Comp!$J$55:$J$65)*Tabl_B4_Tanks!$E40</f>
        <v>3.1715508692534329E-4</v>
      </c>
      <c r="AC40" s="118">
        <f>_xlfn.XLOOKUP(AC$5,Tabl_B3_Comp!$B$55:$B$65,Tabl_B3_Comp!$J$55:$J$65)*Tabl_B4_Tanks!$E40</f>
        <v>0</v>
      </c>
      <c r="AD40" s="313">
        <v>0</v>
      </c>
    </row>
    <row r="41" spans="1:30" ht="21" customHeight="1">
      <c r="A41" s="404" t="s">
        <v>1565</v>
      </c>
      <c r="B41" s="404"/>
      <c r="C41" s="404"/>
      <c r="D41" s="404"/>
      <c r="E41" s="404"/>
      <c r="F41" s="404"/>
      <c r="G41" s="319">
        <f>SUM(G36:G40)</f>
        <v>1.6763188539223851E-4</v>
      </c>
      <c r="H41" s="294">
        <f t="shared" ref="H41:AB41" si="3">SUM(H36:H40)</f>
        <v>3.8906642413616627E-4</v>
      </c>
      <c r="I41" s="293">
        <f t="shared" si="3"/>
        <v>4.7082903077313884E-6</v>
      </c>
      <c r="J41" s="293">
        <f t="shared" si="3"/>
        <v>1.0418322584974153E-6</v>
      </c>
      <c r="K41" s="304">
        <f t="shared" si="3"/>
        <v>2.4879431123862053E-2</v>
      </c>
      <c r="L41" s="304">
        <f t="shared" si="3"/>
        <v>6.144636964309386E-3</v>
      </c>
      <c r="M41" s="294">
        <f t="shared" si="3"/>
        <v>5.3879357407011271E-4</v>
      </c>
      <c r="N41" s="305">
        <f t="shared" si="3"/>
        <v>6.7229577143588737E-2</v>
      </c>
      <c r="O41" s="305">
        <f t="shared" si="3"/>
        <v>5.9567598251858346E-2</v>
      </c>
      <c r="P41" s="304">
        <f t="shared" si="3"/>
        <v>3.1475254952413607E-2</v>
      </c>
      <c r="Q41" s="305">
        <f t="shared" ref="Q41" si="4">SUM(Q36:Q40)</f>
        <v>3.5872133432521576</v>
      </c>
      <c r="R41" s="293">
        <v>0</v>
      </c>
      <c r="S41" s="319">
        <f t="shared" si="3"/>
        <v>4.9843639348782565E-5</v>
      </c>
      <c r="T41" s="303">
        <f t="shared" si="3"/>
        <v>1.0065640902395142E-4</v>
      </c>
      <c r="U41" s="293">
        <f t="shared" si="3"/>
        <v>1.8793603245263743E-6</v>
      </c>
      <c r="V41" s="293">
        <f t="shared" si="3"/>
        <v>4.5120649571580739E-7</v>
      </c>
      <c r="W41" s="304">
        <f t="shared" si="3"/>
        <v>4.3161045040501804E-3</v>
      </c>
      <c r="X41" s="294">
        <f t="shared" si="3"/>
        <v>1.2744957897660885E-3</v>
      </c>
      <c r="Y41" s="303">
        <f t="shared" si="3"/>
        <v>1.153853643616323E-4</v>
      </c>
      <c r="Z41" s="304">
        <f t="shared" si="3"/>
        <v>1.2751023776977947E-2</v>
      </c>
      <c r="AA41" s="304">
        <f t="shared" si="3"/>
        <v>9.9264097056405882E-3</v>
      </c>
      <c r="AB41" s="304">
        <f t="shared" si="3"/>
        <v>6.5669755808702053E-3</v>
      </c>
      <c r="AC41" s="305">
        <f t="shared" ref="AC41" si="5">SUM(AC36:AC40)</f>
        <v>0.37645272206152491</v>
      </c>
      <c r="AD41" s="295">
        <v>0</v>
      </c>
    </row>
    <row r="42" spans="1:30">
      <c r="A42" s="368" t="s">
        <v>1675</v>
      </c>
      <c r="B42" t="s">
        <v>1314</v>
      </c>
      <c r="C42">
        <v>1.1000000000000001</v>
      </c>
      <c r="D42" s="29">
        <v>9.7909422127384858</v>
      </c>
      <c r="E42" s="10">
        <v>2.4705207963913973</v>
      </c>
      <c r="F42" s="118">
        <v>1</v>
      </c>
      <c r="G42" s="296">
        <f>_xlfn.XLOOKUP(G$5,Tabl_B3_Comp!$B$55:$B$65,Tabl_B3_Comp!$G$55:$G$65)*Tabl_B4_Tanks!$D42</f>
        <v>3.0300476193026845E-5</v>
      </c>
      <c r="H42" s="184">
        <f>_xlfn.XLOOKUP(H$5,Tabl_B3_Comp!$B$55:$B$65,Tabl_B3_Comp!$G$55:$G$65)*Tabl_B4_Tanks!$D42</f>
        <v>7.0326107079565338E-5</v>
      </c>
      <c r="I42" s="118">
        <f>_xlfn.XLOOKUP(I$5,Tabl_B3_Comp!$B$55:$B$65,Tabl_B3_Comp!$G$55:$G$65)*Tabl_B4_Tanks!$D42</f>
        <v>0</v>
      </c>
      <c r="J42" s="118">
        <f>_xlfn.XLOOKUP(J$5,Tabl_B3_Comp!$B$55:$B$65,Tabl_B3_Comp!$G$55:$G$65)*Tabl_B4_Tanks!$D42</f>
        <v>0</v>
      </c>
      <c r="K42" s="184">
        <f>_xlfn.XLOOKUP(K$5,Tabl_B3_Comp!$B$55:$B$65,Tabl_B3_Comp!$G$55:$G$65)*Tabl_B4_Tanks!$D42</f>
        <v>4.1820807142860794E-3</v>
      </c>
      <c r="L42" s="184">
        <f>_xlfn.XLOOKUP(L$5,Tabl_B3_Comp!$B$55:$B$65,Tabl_B3_Comp!$G$55:$G$65)*Tabl_B4_Tanks!$D42</f>
        <v>9.9723187080105594E-4</v>
      </c>
      <c r="M42" s="184">
        <f>_xlfn.XLOOKUP(M$5,Tabl_B3_Comp!$B$55:$B$65,Tabl_B3_Comp!$G$55:$G$65)*Tabl_B4_Tanks!$D42</f>
        <v>9.7390194149920276E-5</v>
      </c>
      <c r="N42" s="184">
        <f>_xlfn.XLOOKUP(N$5,Tabl_B3_Comp!$B$55:$B$65,Tabl_B3_Comp!$G$55:$G$65)*Tabl_B4_Tanks!$D42</f>
        <v>1.0947433955848978E-2</v>
      </c>
      <c r="O42" s="184">
        <f>_xlfn.XLOOKUP(O$5,Tabl_B3_Comp!$B$55:$B$65,Tabl_B3_Comp!$G$55:$G$65)*Tabl_B4_Tanks!$D42</f>
        <v>1.0017850941197434E-2</v>
      </c>
      <c r="P42" s="184">
        <f>_xlfn.XLOOKUP(P$5,Tabl_B3_Comp!$B$55:$B$65,Tabl_B3_Comp!$G$55:$G$65)*Tabl_B4_Tanks!$D42</f>
        <v>5.1439253730996551E-3</v>
      </c>
      <c r="Q42" s="184">
        <f>_xlfn.XLOOKUP(Q$5,Tabl_B3_Comp!$B$55:$B$65,Tabl_B3_Comp!$G$55:$G$65)*Tabl_B4_Tanks!$D42</f>
        <v>0.64841048737350093</v>
      </c>
      <c r="R42" s="118">
        <v>0</v>
      </c>
      <c r="S42" s="296">
        <f>_xlfn.XLOOKUP(S$5,Tabl_B3_Comp!$B$55:$B$65,Tabl_B3_Comp!$H$55:$H$65)*Tabl_B4_Tanks!$E42</f>
        <v>1.5527349658080249E-5</v>
      </c>
      <c r="T42" s="184">
        <f>_xlfn.XLOOKUP(T$5,Tabl_B3_Comp!$B$55:$B$65,Tabl_B3_Comp!$H$55:$H$65)*Tabl_B4_Tanks!$E42</f>
        <v>3.135660394508918E-5</v>
      </c>
      <c r="U42" s="118">
        <f>_xlfn.XLOOKUP(U$5,Tabl_B3_Comp!$B$55:$B$65,Tabl_B3_Comp!$H$55:$H$65)*Tabl_B4_Tanks!$E42</f>
        <v>0</v>
      </c>
      <c r="V42" s="118">
        <f>_xlfn.XLOOKUP(V$5,Tabl_B3_Comp!$B$55:$B$65,Tabl_B3_Comp!$H$55:$H$65)*Tabl_B4_Tanks!$E42</f>
        <v>0</v>
      </c>
      <c r="W42" s="184">
        <f>_xlfn.XLOOKUP(W$5,Tabl_B3_Comp!$B$55:$B$65,Tabl_B3_Comp!$H$55:$H$65)*Tabl_B4_Tanks!$E42</f>
        <v>1.2250364171816199E-3</v>
      </c>
      <c r="X42" s="184">
        <f>_xlfn.XLOOKUP(X$5,Tabl_B3_Comp!$B$55:$B$65,Tabl_B3_Comp!$H$55:$H$65)*Tabl_B4_Tanks!$E42</f>
        <v>3.4604358908759281E-4</v>
      </c>
      <c r="Y42" s="184">
        <f>_xlfn.XLOOKUP(Y$5,Tabl_B3_Comp!$B$55:$B$65,Tabl_B3_Comp!$H$55:$H$65)*Tabl_B4_Tanks!$E42</f>
        <v>3.5944985584440815E-5</v>
      </c>
      <c r="Z42" s="184">
        <f>_xlfn.XLOOKUP(Z$5,Tabl_B3_Comp!$B$55:$B$65,Tabl_B3_Comp!$H$55:$H$65)*Tabl_B4_Tanks!$E42</f>
        <v>3.4766733688166595E-3</v>
      </c>
      <c r="AA42" s="184">
        <f>_xlfn.XLOOKUP(AA$5,Tabl_B3_Comp!$B$55:$B$65,Tabl_B3_Comp!$H$55:$H$65)*Tabl_B4_Tanks!$E42</f>
        <v>2.8191548591646196E-3</v>
      </c>
      <c r="AB42" s="184">
        <f>_xlfn.XLOOKUP(AB$5,Tabl_B3_Comp!$B$55:$B$65,Tabl_B3_Comp!$H$55:$H$65)*Tabl_B4_Tanks!$E42</f>
        <v>1.7987266654166075E-3</v>
      </c>
      <c r="AC42" s="184">
        <f>_xlfn.XLOOKUP(AC$5,Tabl_B3_Comp!$B$55:$B$65,Tabl_B3_Comp!$H$55:$H$65)*Tabl_B4_Tanks!$E42</f>
        <v>0.11727299855218477</v>
      </c>
      <c r="AD42" s="313">
        <v>0</v>
      </c>
    </row>
    <row r="43" spans="1:30">
      <c r="A43" s="368"/>
      <c r="B43" t="s">
        <v>1315</v>
      </c>
      <c r="C43">
        <v>1.1000000000000001</v>
      </c>
      <c r="D43" s="29">
        <v>9.7909422127384858</v>
      </c>
      <c r="E43" s="10">
        <v>2.4705207963913973</v>
      </c>
      <c r="F43" s="118">
        <v>1</v>
      </c>
      <c r="G43" s="296">
        <f>_xlfn.XLOOKUP(G$5,Tabl_B3_Comp!$B$55:$B$65,Tabl_B3_Comp!$G$55:$G$65)*Tabl_B4_Tanks!$D43</f>
        <v>3.0300476193026845E-5</v>
      </c>
      <c r="H43" s="184">
        <f>_xlfn.XLOOKUP(H$5,Tabl_B3_Comp!$B$55:$B$65,Tabl_B3_Comp!$G$55:$G$65)*Tabl_B4_Tanks!$D43</f>
        <v>7.0326107079565338E-5</v>
      </c>
      <c r="I43" s="118">
        <f>_xlfn.XLOOKUP(I$5,Tabl_B3_Comp!$B$55:$B$65,Tabl_B3_Comp!$G$55:$G$65)*Tabl_B4_Tanks!$D43</f>
        <v>0</v>
      </c>
      <c r="J43" s="118">
        <f>_xlfn.XLOOKUP(J$5,Tabl_B3_Comp!$B$55:$B$65,Tabl_B3_Comp!$G$55:$G$65)*Tabl_B4_Tanks!$D43</f>
        <v>0</v>
      </c>
      <c r="K43" s="184">
        <f>_xlfn.XLOOKUP(K$5,Tabl_B3_Comp!$B$55:$B$65,Tabl_B3_Comp!$G$55:$G$65)*Tabl_B4_Tanks!$D43</f>
        <v>4.1820807142860794E-3</v>
      </c>
      <c r="L43" s="184">
        <f>_xlfn.XLOOKUP(L$5,Tabl_B3_Comp!$B$55:$B$65,Tabl_B3_Comp!$G$55:$G$65)*Tabl_B4_Tanks!$D43</f>
        <v>9.9723187080105594E-4</v>
      </c>
      <c r="M43" s="184">
        <f>_xlfn.XLOOKUP(M$5,Tabl_B3_Comp!$B$55:$B$65,Tabl_B3_Comp!$G$55:$G$65)*Tabl_B4_Tanks!$D43</f>
        <v>9.7390194149920276E-5</v>
      </c>
      <c r="N43" s="184">
        <f>_xlfn.XLOOKUP(N$5,Tabl_B3_Comp!$B$55:$B$65,Tabl_B3_Comp!$G$55:$G$65)*Tabl_B4_Tanks!$D43</f>
        <v>1.0947433955848978E-2</v>
      </c>
      <c r="O43" s="184">
        <f>_xlfn.XLOOKUP(O$5,Tabl_B3_Comp!$B$55:$B$65,Tabl_B3_Comp!$G$55:$G$65)*Tabl_B4_Tanks!$D43</f>
        <v>1.0017850941197434E-2</v>
      </c>
      <c r="P43" s="184">
        <f>_xlfn.XLOOKUP(P$5,Tabl_B3_Comp!$B$55:$B$65,Tabl_B3_Comp!$G$55:$G$65)*Tabl_B4_Tanks!$D43</f>
        <v>5.1439253730996551E-3</v>
      </c>
      <c r="Q43" s="184">
        <f>_xlfn.XLOOKUP(Q$5,Tabl_B3_Comp!$B$55:$B$65,Tabl_B3_Comp!$G$55:$G$65)*Tabl_B4_Tanks!$D43</f>
        <v>0.64841048737350093</v>
      </c>
      <c r="R43" s="118">
        <v>0</v>
      </c>
      <c r="S43" s="296">
        <f>_xlfn.XLOOKUP(S$5,Tabl_B3_Comp!$B$55:$B$65,Tabl_B3_Comp!$H$55:$H$65)*Tabl_B4_Tanks!$E43</f>
        <v>1.5527349658080249E-5</v>
      </c>
      <c r="T43" s="184">
        <f>_xlfn.XLOOKUP(T$5,Tabl_B3_Comp!$B$55:$B$65,Tabl_B3_Comp!$H$55:$H$65)*Tabl_B4_Tanks!$E43</f>
        <v>3.135660394508918E-5</v>
      </c>
      <c r="U43" s="118">
        <f>_xlfn.XLOOKUP(U$5,Tabl_B3_Comp!$B$55:$B$65,Tabl_B3_Comp!$H$55:$H$65)*Tabl_B4_Tanks!$E43</f>
        <v>0</v>
      </c>
      <c r="V43" s="118">
        <f>_xlfn.XLOOKUP(V$5,Tabl_B3_Comp!$B$55:$B$65,Tabl_B3_Comp!$H$55:$H$65)*Tabl_B4_Tanks!$E43</f>
        <v>0</v>
      </c>
      <c r="W43" s="184">
        <f>_xlfn.XLOOKUP(W$5,Tabl_B3_Comp!$B$55:$B$65,Tabl_B3_Comp!$H$55:$H$65)*Tabl_B4_Tanks!$E43</f>
        <v>1.2250364171816199E-3</v>
      </c>
      <c r="X43" s="184">
        <f>_xlfn.XLOOKUP(X$5,Tabl_B3_Comp!$B$55:$B$65,Tabl_B3_Comp!$H$55:$H$65)*Tabl_B4_Tanks!$E43</f>
        <v>3.4604358908759281E-4</v>
      </c>
      <c r="Y43" s="184">
        <f>_xlfn.XLOOKUP(Y$5,Tabl_B3_Comp!$B$55:$B$65,Tabl_B3_Comp!$H$55:$H$65)*Tabl_B4_Tanks!$E43</f>
        <v>3.5944985584440815E-5</v>
      </c>
      <c r="Z43" s="184">
        <f>_xlfn.XLOOKUP(Z$5,Tabl_B3_Comp!$B$55:$B$65,Tabl_B3_Comp!$H$55:$H$65)*Tabl_B4_Tanks!$E43</f>
        <v>3.4766733688166595E-3</v>
      </c>
      <c r="AA43" s="184">
        <f>_xlfn.XLOOKUP(AA$5,Tabl_B3_Comp!$B$55:$B$65,Tabl_B3_Comp!$H$55:$H$65)*Tabl_B4_Tanks!$E43</f>
        <v>2.8191548591646196E-3</v>
      </c>
      <c r="AB43" s="184">
        <f>_xlfn.XLOOKUP(AB$5,Tabl_B3_Comp!$B$55:$B$65,Tabl_B3_Comp!$H$55:$H$65)*Tabl_B4_Tanks!$E43</f>
        <v>1.7987266654166075E-3</v>
      </c>
      <c r="AC43" s="184">
        <f>_xlfn.XLOOKUP(AC$5,Tabl_B3_Comp!$B$55:$B$65,Tabl_B3_Comp!$H$55:$H$65)*Tabl_B4_Tanks!$E43</f>
        <v>0.11727299855218477</v>
      </c>
      <c r="AD43" s="313">
        <v>0</v>
      </c>
    </row>
    <row r="44" spans="1:30">
      <c r="A44" s="368"/>
      <c r="B44" t="s">
        <v>1316</v>
      </c>
      <c r="C44">
        <v>1.1000000000000001</v>
      </c>
      <c r="D44" s="29">
        <v>9.7909422127384858</v>
      </c>
      <c r="E44" s="10">
        <v>2.4705207963913973</v>
      </c>
      <c r="F44" s="118">
        <v>1</v>
      </c>
      <c r="G44" s="296">
        <f>_xlfn.XLOOKUP(G$5,Tabl_B3_Comp!$B$55:$B$65,Tabl_B3_Comp!$G$55:$G$65)*Tabl_B4_Tanks!$D44</f>
        <v>3.0300476193026845E-5</v>
      </c>
      <c r="H44" s="184">
        <f>_xlfn.XLOOKUP(H$5,Tabl_B3_Comp!$B$55:$B$65,Tabl_B3_Comp!$G$55:$G$65)*Tabl_B4_Tanks!$D44</f>
        <v>7.0326107079565338E-5</v>
      </c>
      <c r="I44" s="118">
        <f>_xlfn.XLOOKUP(I$5,Tabl_B3_Comp!$B$55:$B$65,Tabl_B3_Comp!$G$55:$G$65)*Tabl_B4_Tanks!$D44</f>
        <v>0</v>
      </c>
      <c r="J44" s="118">
        <f>_xlfn.XLOOKUP(J$5,Tabl_B3_Comp!$B$55:$B$65,Tabl_B3_Comp!$G$55:$G$65)*Tabl_B4_Tanks!$D44</f>
        <v>0</v>
      </c>
      <c r="K44" s="184">
        <f>_xlfn.XLOOKUP(K$5,Tabl_B3_Comp!$B$55:$B$65,Tabl_B3_Comp!$G$55:$G$65)*Tabl_B4_Tanks!$D44</f>
        <v>4.1820807142860794E-3</v>
      </c>
      <c r="L44" s="184">
        <f>_xlfn.XLOOKUP(L$5,Tabl_B3_Comp!$B$55:$B$65,Tabl_B3_Comp!$G$55:$G$65)*Tabl_B4_Tanks!$D44</f>
        <v>9.9723187080105594E-4</v>
      </c>
      <c r="M44" s="184">
        <f>_xlfn.XLOOKUP(M$5,Tabl_B3_Comp!$B$55:$B$65,Tabl_B3_Comp!$G$55:$G$65)*Tabl_B4_Tanks!$D44</f>
        <v>9.7390194149920276E-5</v>
      </c>
      <c r="N44" s="184">
        <f>_xlfn.XLOOKUP(N$5,Tabl_B3_Comp!$B$55:$B$65,Tabl_B3_Comp!$G$55:$G$65)*Tabl_B4_Tanks!$D44</f>
        <v>1.0947433955848978E-2</v>
      </c>
      <c r="O44" s="184">
        <f>_xlfn.XLOOKUP(O$5,Tabl_B3_Comp!$B$55:$B$65,Tabl_B3_Comp!$G$55:$G$65)*Tabl_B4_Tanks!$D44</f>
        <v>1.0017850941197434E-2</v>
      </c>
      <c r="P44" s="184">
        <f>_xlfn.XLOOKUP(P$5,Tabl_B3_Comp!$B$55:$B$65,Tabl_B3_Comp!$G$55:$G$65)*Tabl_B4_Tanks!$D44</f>
        <v>5.1439253730996551E-3</v>
      </c>
      <c r="Q44" s="184">
        <f>_xlfn.XLOOKUP(Q$5,Tabl_B3_Comp!$B$55:$B$65,Tabl_B3_Comp!$G$55:$G$65)*Tabl_B4_Tanks!$D44</f>
        <v>0.64841048737350093</v>
      </c>
      <c r="R44" s="118">
        <v>0</v>
      </c>
      <c r="S44" s="296">
        <f>_xlfn.XLOOKUP(S$5,Tabl_B3_Comp!$B$55:$B$65,Tabl_B3_Comp!$H$55:$H$65)*Tabl_B4_Tanks!$E44</f>
        <v>1.5527349658080249E-5</v>
      </c>
      <c r="T44" s="184">
        <f>_xlfn.XLOOKUP(T$5,Tabl_B3_Comp!$B$55:$B$65,Tabl_B3_Comp!$H$55:$H$65)*Tabl_B4_Tanks!$E44</f>
        <v>3.135660394508918E-5</v>
      </c>
      <c r="U44" s="118">
        <f>_xlfn.XLOOKUP(U$5,Tabl_B3_Comp!$B$55:$B$65,Tabl_B3_Comp!$H$55:$H$65)*Tabl_B4_Tanks!$E44</f>
        <v>0</v>
      </c>
      <c r="V44" s="118">
        <f>_xlfn.XLOOKUP(V$5,Tabl_B3_Comp!$B$55:$B$65,Tabl_B3_Comp!$H$55:$H$65)*Tabl_B4_Tanks!$E44</f>
        <v>0</v>
      </c>
      <c r="W44" s="184">
        <f>_xlfn.XLOOKUP(W$5,Tabl_B3_Comp!$B$55:$B$65,Tabl_B3_Comp!$H$55:$H$65)*Tabl_B4_Tanks!$E44</f>
        <v>1.2250364171816199E-3</v>
      </c>
      <c r="X44" s="184">
        <f>_xlfn.XLOOKUP(X$5,Tabl_B3_Comp!$B$55:$B$65,Tabl_B3_Comp!$H$55:$H$65)*Tabl_B4_Tanks!$E44</f>
        <v>3.4604358908759281E-4</v>
      </c>
      <c r="Y44" s="184">
        <f>_xlfn.XLOOKUP(Y$5,Tabl_B3_Comp!$B$55:$B$65,Tabl_B3_Comp!$H$55:$H$65)*Tabl_B4_Tanks!$E44</f>
        <v>3.5944985584440815E-5</v>
      </c>
      <c r="Z44" s="184">
        <f>_xlfn.XLOOKUP(Z$5,Tabl_B3_Comp!$B$55:$B$65,Tabl_B3_Comp!$H$55:$H$65)*Tabl_B4_Tanks!$E44</f>
        <v>3.4766733688166595E-3</v>
      </c>
      <c r="AA44" s="184">
        <f>_xlfn.XLOOKUP(AA$5,Tabl_B3_Comp!$B$55:$B$65,Tabl_B3_Comp!$H$55:$H$65)*Tabl_B4_Tanks!$E44</f>
        <v>2.8191548591646196E-3</v>
      </c>
      <c r="AB44" s="184">
        <f>_xlfn.XLOOKUP(AB$5,Tabl_B3_Comp!$B$55:$B$65,Tabl_B3_Comp!$H$55:$H$65)*Tabl_B4_Tanks!$E44</f>
        <v>1.7987266654166075E-3</v>
      </c>
      <c r="AC44" s="184">
        <f>_xlfn.XLOOKUP(AC$5,Tabl_B3_Comp!$B$55:$B$65,Tabl_B3_Comp!$H$55:$H$65)*Tabl_B4_Tanks!$E44</f>
        <v>0.11727299855218477</v>
      </c>
      <c r="AD44" s="313">
        <v>0</v>
      </c>
    </row>
    <row r="45" spans="1:30">
      <c r="A45" s="368"/>
      <c r="B45" t="s">
        <v>1317</v>
      </c>
      <c r="C45">
        <v>1.1000000000000001</v>
      </c>
      <c r="D45" s="29">
        <v>9.7909422127384858</v>
      </c>
      <c r="E45" s="10">
        <v>2.4705207963913973</v>
      </c>
      <c r="F45" s="118">
        <v>1</v>
      </c>
      <c r="G45" s="296">
        <f>_xlfn.XLOOKUP(G$5,Tabl_B3_Comp!$B$55:$B$65,Tabl_B3_Comp!$G$55:$G$65)*Tabl_B4_Tanks!$D45</f>
        <v>3.0300476193026845E-5</v>
      </c>
      <c r="H45" s="184">
        <f>_xlfn.XLOOKUP(H$5,Tabl_B3_Comp!$B$55:$B$65,Tabl_B3_Comp!$G$55:$G$65)*Tabl_B4_Tanks!$D45</f>
        <v>7.0326107079565338E-5</v>
      </c>
      <c r="I45" s="118">
        <f>_xlfn.XLOOKUP(I$5,Tabl_B3_Comp!$B$55:$B$65,Tabl_B3_Comp!$G$55:$G$65)*Tabl_B4_Tanks!$D45</f>
        <v>0</v>
      </c>
      <c r="J45" s="118">
        <f>_xlfn.XLOOKUP(J$5,Tabl_B3_Comp!$B$55:$B$65,Tabl_B3_Comp!$G$55:$G$65)*Tabl_B4_Tanks!$D45</f>
        <v>0</v>
      </c>
      <c r="K45" s="184">
        <f>_xlfn.XLOOKUP(K$5,Tabl_B3_Comp!$B$55:$B$65,Tabl_B3_Comp!$G$55:$G$65)*Tabl_B4_Tanks!$D45</f>
        <v>4.1820807142860794E-3</v>
      </c>
      <c r="L45" s="184">
        <f>_xlfn.XLOOKUP(L$5,Tabl_B3_Comp!$B$55:$B$65,Tabl_B3_Comp!$G$55:$G$65)*Tabl_B4_Tanks!$D45</f>
        <v>9.9723187080105594E-4</v>
      </c>
      <c r="M45" s="184">
        <f>_xlfn.XLOOKUP(M$5,Tabl_B3_Comp!$B$55:$B$65,Tabl_B3_Comp!$G$55:$G$65)*Tabl_B4_Tanks!$D45</f>
        <v>9.7390194149920276E-5</v>
      </c>
      <c r="N45" s="184">
        <f>_xlfn.XLOOKUP(N$5,Tabl_B3_Comp!$B$55:$B$65,Tabl_B3_Comp!$G$55:$G$65)*Tabl_B4_Tanks!$D45</f>
        <v>1.0947433955848978E-2</v>
      </c>
      <c r="O45" s="184">
        <f>_xlfn.XLOOKUP(O$5,Tabl_B3_Comp!$B$55:$B$65,Tabl_B3_Comp!$G$55:$G$65)*Tabl_B4_Tanks!$D45</f>
        <v>1.0017850941197434E-2</v>
      </c>
      <c r="P45" s="184">
        <f>_xlfn.XLOOKUP(P$5,Tabl_B3_Comp!$B$55:$B$65,Tabl_B3_Comp!$G$55:$G$65)*Tabl_B4_Tanks!$D45</f>
        <v>5.1439253730996551E-3</v>
      </c>
      <c r="Q45" s="184">
        <f>_xlfn.XLOOKUP(Q$5,Tabl_B3_Comp!$B$55:$B$65,Tabl_B3_Comp!$G$55:$G$65)*Tabl_B4_Tanks!$D45</f>
        <v>0.64841048737350093</v>
      </c>
      <c r="R45" s="118">
        <v>0</v>
      </c>
      <c r="S45" s="296">
        <f>_xlfn.XLOOKUP(S$5,Tabl_B3_Comp!$B$55:$B$65,Tabl_B3_Comp!$H$55:$H$65)*Tabl_B4_Tanks!$E45</f>
        <v>1.5527349658080249E-5</v>
      </c>
      <c r="T45" s="184">
        <f>_xlfn.XLOOKUP(T$5,Tabl_B3_Comp!$B$55:$B$65,Tabl_B3_Comp!$H$55:$H$65)*Tabl_B4_Tanks!$E45</f>
        <v>3.135660394508918E-5</v>
      </c>
      <c r="U45" s="118">
        <f>_xlfn.XLOOKUP(U$5,Tabl_B3_Comp!$B$55:$B$65,Tabl_B3_Comp!$H$55:$H$65)*Tabl_B4_Tanks!$E45</f>
        <v>0</v>
      </c>
      <c r="V45" s="118">
        <f>_xlfn.XLOOKUP(V$5,Tabl_B3_Comp!$B$55:$B$65,Tabl_B3_Comp!$H$55:$H$65)*Tabl_B4_Tanks!$E45</f>
        <v>0</v>
      </c>
      <c r="W45" s="184">
        <f>_xlfn.XLOOKUP(W$5,Tabl_B3_Comp!$B$55:$B$65,Tabl_B3_Comp!$H$55:$H$65)*Tabl_B4_Tanks!$E45</f>
        <v>1.2250364171816199E-3</v>
      </c>
      <c r="X45" s="184">
        <f>_xlfn.XLOOKUP(X$5,Tabl_B3_Comp!$B$55:$B$65,Tabl_B3_Comp!$H$55:$H$65)*Tabl_B4_Tanks!$E45</f>
        <v>3.4604358908759281E-4</v>
      </c>
      <c r="Y45" s="184">
        <f>_xlfn.XLOOKUP(Y$5,Tabl_B3_Comp!$B$55:$B$65,Tabl_B3_Comp!$H$55:$H$65)*Tabl_B4_Tanks!$E45</f>
        <v>3.5944985584440815E-5</v>
      </c>
      <c r="Z45" s="184">
        <f>_xlfn.XLOOKUP(Z$5,Tabl_B3_Comp!$B$55:$B$65,Tabl_B3_Comp!$H$55:$H$65)*Tabl_B4_Tanks!$E45</f>
        <v>3.4766733688166595E-3</v>
      </c>
      <c r="AA45" s="184">
        <f>_xlfn.XLOOKUP(AA$5,Tabl_B3_Comp!$B$55:$B$65,Tabl_B3_Comp!$H$55:$H$65)*Tabl_B4_Tanks!$E45</f>
        <v>2.8191548591646196E-3</v>
      </c>
      <c r="AB45" s="184">
        <f>_xlfn.XLOOKUP(AB$5,Tabl_B3_Comp!$B$55:$B$65,Tabl_B3_Comp!$H$55:$H$65)*Tabl_B4_Tanks!$E45</f>
        <v>1.7987266654166075E-3</v>
      </c>
      <c r="AC45" s="184">
        <f>_xlfn.XLOOKUP(AC$5,Tabl_B3_Comp!$B$55:$B$65,Tabl_B3_Comp!$H$55:$H$65)*Tabl_B4_Tanks!$E45</f>
        <v>0.11727299855218477</v>
      </c>
      <c r="AD45" s="313">
        <v>0</v>
      </c>
    </row>
    <row r="46" spans="1:30">
      <c r="A46" s="368"/>
      <c r="B46" t="s">
        <v>1318</v>
      </c>
      <c r="C46">
        <v>1.1000000000000001</v>
      </c>
      <c r="D46" s="29">
        <v>9.7909422127384858</v>
      </c>
      <c r="E46" s="10">
        <v>2.4705207963913973</v>
      </c>
      <c r="F46" s="118">
        <v>1</v>
      </c>
      <c r="G46" s="296">
        <f>_xlfn.XLOOKUP(G$5,Tabl_B3_Comp!$B$55:$B$65,Tabl_B3_Comp!$G$55:$G$65)*Tabl_B4_Tanks!$D46</f>
        <v>3.0300476193026845E-5</v>
      </c>
      <c r="H46" s="184">
        <f>_xlfn.XLOOKUP(H$5,Tabl_B3_Comp!$B$55:$B$65,Tabl_B3_Comp!$G$55:$G$65)*Tabl_B4_Tanks!$D46</f>
        <v>7.0326107079565338E-5</v>
      </c>
      <c r="I46" s="118">
        <f>_xlfn.XLOOKUP(I$5,Tabl_B3_Comp!$B$55:$B$65,Tabl_B3_Comp!$G$55:$G$65)*Tabl_B4_Tanks!$D46</f>
        <v>0</v>
      </c>
      <c r="J46" s="118">
        <f>_xlfn.XLOOKUP(J$5,Tabl_B3_Comp!$B$55:$B$65,Tabl_B3_Comp!$G$55:$G$65)*Tabl_B4_Tanks!$D46</f>
        <v>0</v>
      </c>
      <c r="K46" s="184">
        <f>_xlfn.XLOOKUP(K$5,Tabl_B3_Comp!$B$55:$B$65,Tabl_B3_Comp!$G$55:$G$65)*Tabl_B4_Tanks!$D46</f>
        <v>4.1820807142860794E-3</v>
      </c>
      <c r="L46" s="184">
        <f>_xlfn.XLOOKUP(L$5,Tabl_B3_Comp!$B$55:$B$65,Tabl_B3_Comp!$G$55:$G$65)*Tabl_B4_Tanks!$D46</f>
        <v>9.9723187080105594E-4</v>
      </c>
      <c r="M46" s="184">
        <f>_xlfn.XLOOKUP(M$5,Tabl_B3_Comp!$B$55:$B$65,Tabl_B3_Comp!$G$55:$G$65)*Tabl_B4_Tanks!$D46</f>
        <v>9.7390194149920276E-5</v>
      </c>
      <c r="N46" s="184">
        <f>_xlfn.XLOOKUP(N$5,Tabl_B3_Comp!$B$55:$B$65,Tabl_B3_Comp!$G$55:$G$65)*Tabl_B4_Tanks!$D46</f>
        <v>1.0947433955848978E-2</v>
      </c>
      <c r="O46" s="184">
        <f>_xlfn.XLOOKUP(O$5,Tabl_B3_Comp!$B$55:$B$65,Tabl_B3_Comp!$G$55:$G$65)*Tabl_B4_Tanks!$D46</f>
        <v>1.0017850941197434E-2</v>
      </c>
      <c r="P46" s="184">
        <f>_xlfn.XLOOKUP(P$5,Tabl_B3_Comp!$B$55:$B$65,Tabl_B3_Comp!$G$55:$G$65)*Tabl_B4_Tanks!$D46</f>
        <v>5.1439253730996551E-3</v>
      </c>
      <c r="Q46" s="184">
        <f>_xlfn.XLOOKUP(Q$5,Tabl_B3_Comp!$B$55:$B$65,Tabl_B3_Comp!$G$55:$G$65)*Tabl_B4_Tanks!$D46</f>
        <v>0.64841048737350093</v>
      </c>
      <c r="R46" s="118">
        <v>0</v>
      </c>
      <c r="S46" s="296">
        <f>_xlfn.XLOOKUP(S$5,Tabl_B3_Comp!$B$55:$B$65,Tabl_B3_Comp!$H$55:$H$65)*Tabl_B4_Tanks!$E46</f>
        <v>1.5527349658080249E-5</v>
      </c>
      <c r="T46" s="184">
        <f>_xlfn.XLOOKUP(T$5,Tabl_B3_Comp!$B$55:$B$65,Tabl_B3_Comp!$H$55:$H$65)*Tabl_B4_Tanks!$E46</f>
        <v>3.135660394508918E-5</v>
      </c>
      <c r="U46" s="118">
        <f>_xlfn.XLOOKUP(U$5,Tabl_B3_Comp!$B$55:$B$65,Tabl_B3_Comp!$H$55:$H$65)*Tabl_B4_Tanks!$E46</f>
        <v>0</v>
      </c>
      <c r="V46" s="118">
        <f>_xlfn.XLOOKUP(V$5,Tabl_B3_Comp!$B$55:$B$65,Tabl_B3_Comp!$H$55:$H$65)*Tabl_B4_Tanks!$E46</f>
        <v>0</v>
      </c>
      <c r="W46" s="184">
        <f>_xlfn.XLOOKUP(W$5,Tabl_B3_Comp!$B$55:$B$65,Tabl_B3_Comp!$H$55:$H$65)*Tabl_B4_Tanks!$E46</f>
        <v>1.2250364171816199E-3</v>
      </c>
      <c r="X46" s="184">
        <f>_xlfn.XLOOKUP(X$5,Tabl_B3_Comp!$B$55:$B$65,Tabl_B3_Comp!$H$55:$H$65)*Tabl_B4_Tanks!$E46</f>
        <v>3.4604358908759281E-4</v>
      </c>
      <c r="Y46" s="184">
        <f>_xlfn.XLOOKUP(Y$5,Tabl_B3_Comp!$B$55:$B$65,Tabl_B3_Comp!$H$55:$H$65)*Tabl_B4_Tanks!$E46</f>
        <v>3.5944985584440815E-5</v>
      </c>
      <c r="Z46" s="184">
        <f>_xlfn.XLOOKUP(Z$5,Tabl_B3_Comp!$B$55:$B$65,Tabl_B3_Comp!$H$55:$H$65)*Tabl_B4_Tanks!$E46</f>
        <v>3.4766733688166595E-3</v>
      </c>
      <c r="AA46" s="184">
        <f>_xlfn.XLOOKUP(AA$5,Tabl_B3_Comp!$B$55:$B$65,Tabl_B3_Comp!$H$55:$H$65)*Tabl_B4_Tanks!$E46</f>
        <v>2.8191548591646196E-3</v>
      </c>
      <c r="AB46" s="184">
        <f>_xlfn.XLOOKUP(AB$5,Tabl_B3_Comp!$B$55:$B$65,Tabl_B3_Comp!$H$55:$H$65)*Tabl_B4_Tanks!$E46</f>
        <v>1.7987266654166075E-3</v>
      </c>
      <c r="AC46" s="184">
        <f>_xlfn.XLOOKUP(AC$5,Tabl_B3_Comp!$B$55:$B$65,Tabl_B3_Comp!$H$55:$H$65)*Tabl_B4_Tanks!$E46</f>
        <v>0.11727299855218477</v>
      </c>
      <c r="AD46" s="313">
        <v>0</v>
      </c>
    </row>
    <row r="47" spans="1:30">
      <c r="A47" s="368"/>
      <c r="B47" t="s">
        <v>1319</v>
      </c>
      <c r="C47">
        <v>1.1000000000000001</v>
      </c>
      <c r="D47" s="29">
        <v>9.7909422127384858</v>
      </c>
      <c r="E47" s="10">
        <v>2.4705207963913973</v>
      </c>
      <c r="F47" s="118">
        <v>1</v>
      </c>
      <c r="G47" s="297">
        <f>_xlfn.XLOOKUP(G$5,Tabl_B3_Comp!$B$55:$B$65,Tabl_B3_Comp!$G$55:$G$65)*Tabl_B4_Tanks!$D47</f>
        <v>3.0300476193026845E-5</v>
      </c>
      <c r="H47" s="291">
        <f>_xlfn.XLOOKUP(H$5,Tabl_B3_Comp!$B$55:$B$65,Tabl_B3_Comp!$G$55:$G$65)*Tabl_B4_Tanks!$D47</f>
        <v>7.0326107079565338E-5</v>
      </c>
      <c r="I47" s="312">
        <f>_xlfn.XLOOKUP(I$5,Tabl_B3_Comp!$B$55:$B$65,Tabl_B3_Comp!$G$55:$G$65)*Tabl_B4_Tanks!$D47</f>
        <v>0</v>
      </c>
      <c r="J47" s="312">
        <f>_xlfn.XLOOKUP(J$5,Tabl_B3_Comp!$B$55:$B$65,Tabl_B3_Comp!$G$55:$G$65)*Tabl_B4_Tanks!$D47</f>
        <v>0</v>
      </c>
      <c r="K47" s="291">
        <f>_xlfn.XLOOKUP(K$5,Tabl_B3_Comp!$B$55:$B$65,Tabl_B3_Comp!$G$55:$G$65)*Tabl_B4_Tanks!$D47</f>
        <v>4.1820807142860794E-3</v>
      </c>
      <c r="L47" s="291">
        <f>_xlfn.XLOOKUP(L$5,Tabl_B3_Comp!$B$55:$B$65,Tabl_B3_Comp!$G$55:$G$65)*Tabl_B4_Tanks!$D47</f>
        <v>9.9723187080105594E-4</v>
      </c>
      <c r="M47" s="291">
        <f>_xlfn.XLOOKUP(M$5,Tabl_B3_Comp!$B$55:$B$65,Tabl_B3_Comp!$G$55:$G$65)*Tabl_B4_Tanks!$D47</f>
        <v>9.7390194149920276E-5</v>
      </c>
      <c r="N47" s="291">
        <f>_xlfn.XLOOKUP(N$5,Tabl_B3_Comp!$B$55:$B$65,Tabl_B3_Comp!$G$55:$G$65)*Tabl_B4_Tanks!$D47</f>
        <v>1.0947433955848978E-2</v>
      </c>
      <c r="O47" s="291">
        <f>_xlfn.XLOOKUP(O$5,Tabl_B3_Comp!$B$55:$B$65,Tabl_B3_Comp!$G$55:$G$65)*Tabl_B4_Tanks!$D47</f>
        <v>1.0017850941197434E-2</v>
      </c>
      <c r="P47" s="291">
        <f>_xlfn.XLOOKUP(P$5,Tabl_B3_Comp!$B$55:$B$65,Tabl_B3_Comp!$G$55:$G$65)*Tabl_B4_Tanks!$D47</f>
        <v>5.1439253730996551E-3</v>
      </c>
      <c r="Q47" s="291">
        <f>_xlfn.XLOOKUP(Q$5,Tabl_B3_Comp!$B$55:$B$65,Tabl_B3_Comp!$G$55:$G$65)*Tabl_B4_Tanks!$D47</f>
        <v>0.64841048737350093</v>
      </c>
      <c r="R47" s="312">
        <v>0</v>
      </c>
      <c r="S47" s="297">
        <f>_xlfn.XLOOKUP(S$5,Tabl_B3_Comp!$B$55:$B$65,Tabl_B3_Comp!$H$55:$H$65)*Tabl_B4_Tanks!$E47</f>
        <v>1.5527349658080249E-5</v>
      </c>
      <c r="T47" s="291">
        <f>_xlfn.XLOOKUP(T$5,Tabl_B3_Comp!$B$55:$B$65,Tabl_B3_Comp!$H$55:$H$65)*Tabl_B4_Tanks!$E47</f>
        <v>3.135660394508918E-5</v>
      </c>
      <c r="U47" s="312">
        <f>_xlfn.XLOOKUP(U$5,Tabl_B3_Comp!$B$55:$B$65,Tabl_B3_Comp!$H$55:$H$65)*Tabl_B4_Tanks!$E47</f>
        <v>0</v>
      </c>
      <c r="V47" s="312">
        <f>_xlfn.XLOOKUP(V$5,Tabl_B3_Comp!$B$55:$B$65,Tabl_B3_Comp!$H$55:$H$65)*Tabl_B4_Tanks!$E47</f>
        <v>0</v>
      </c>
      <c r="W47" s="291">
        <f>_xlfn.XLOOKUP(W$5,Tabl_B3_Comp!$B$55:$B$65,Tabl_B3_Comp!$H$55:$H$65)*Tabl_B4_Tanks!$E47</f>
        <v>1.2250364171816199E-3</v>
      </c>
      <c r="X47" s="291">
        <f>_xlfn.XLOOKUP(X$5,Tabl_B3_Comp!$B$55:$B$65,Tabl_B3_Comp!$H$55:$H$65)*Tabl_B4_Tanks!$E47</f>
        <v>3.4604358908759281E-4</v>
      </c>
      <c r="Y47" s="291">
        <f>_xlfn.XLOOKUP(Y$5,Tabl_B3_Comp!$B$55:$B$65,Tabl_B3_Comp!$H$55:$H$65)*Tabl_B4_Tanks!$E47</f>
        <v>3.5944985584440815E-5</v>
      </c>
      <c r="Z47" s="291">
        <f>_xlfn.XLOOKUP(Z$5,Tabl_B3_Comp!$B$55:$B$65,Tabl_B3_Comp!$H$55:$H$65)*Tabl_B4_Tanks!$E47</f>
        <v>3.4766733688166595E-3</v>
      </c>
      <c r="AA47" s="291">
        <f>_xlfn.XLOOKUP(AA$5,Tabl_B3_Comp!$B$55:$B$65,Tabl_B3_Comp!$H$55:$H$65)*Tabl_B4_Tanks!$E47</f>
        <v>2.8191548591646196E-3</v>
      </c>
      <c r="AB47" s="291">
        <f>_xlfn.XLOOKUP(AB$5,Tabl_B3_Comp!$B$55:$B$65,Tabl_B3_Comp!$H$55:$H$65)*Tabl_B4_Tanks!$E47</f>
        <v>1.7987266654166075E-3</v>
      </c>
      <c r="AC47" s="291">
        <f>_xlfn.XLOOKUP(AC$5,Tabl_B3_Comp!$B$55:$B$65,Tabl_B3_Comp!$H$55:$H$65)*Tabl_B4_Tanks!$E47</f>
        <v>0.11727299855218477</v>
      </c>
      <c r="AD47" s="314">
        <v>0</v>
      </c>
    </row>
    <row r="48" spans="1:30" ht="21" customHeight="1" thickBot="1">
      <c r="A48" s="404" t="s">
        <v>1676</v>
      </c>
      <c r="B48" s="404"/>
      <c r="C48" s="404"/>
      <c r="D48" s="404"/>
      <c r="E48" s="404"/>
      <c r="F48" s="404"/>
      <c r="G48" s="298">
        <f>SUM(G42:G47)</f>
        <v>1.8180285715816108E-4</v>
      </c>
      <c r="H48" s="299">
        <f t="shared" ref="H48:AB48" si="6">SUM(H42:H47)</f>
        <v>4.21956642477392E-4</v>
      </c>
      <c r="I48" s="302">
        <f t="shared" si="6"/>
        <v>0</v>
      </c>
      <c r="J48" s="302">
        <f t="shared" si="6"/>
        <v>0</v>
      </c>
      <c r="K48" s="300">
        <f t="shared" si="6"/>
        <v>2.5092484285716476E-2</v>
      </c>
      <c r="L48" s="300">
        <f t="shared" si="6"/>
        <v>5.9833912248063352E-3</v>
      </c>
      <c r="M48" s="299">
        <f t="shared" si="6"/>
        <v>5.843411648995216E-4</v>
      </c>
      <c r="N48" s="301">
        <f t="shared" si="6"/>
        <v>6.5684603735093869E-2</v>
      </c>
      <c r="O48" s="301">
        <f t="shared" si="6"/>
        <v>6.0107105647184605E-2</v>
      </c>
      <c r="P48" s="300">
        <f t="shared" si="6"/>
        <v>3.0863552238597932E-2</v>
      </c>
      <c r="Q48" s="301">
        <f t="shared" ref="Q48" si="7">SUM(Q42:Q47)</f>
        <v>3.8904629242410054</v>
      </c>
      <c r="R48" s="302">
        <v>0</v>
      </c>
      <c r="S48" s="298">
        <f t="shared" si="6"/>
        <v>9.3164097948481511E-5</v>
      </c>
      <c r="T48" s="306">
        <f t="shared" si="6"/>
        <v>1.8813962367053509E-4</v>
      </c>
      <c r="U48" s="302">
        <f t="shared" si="6"/>
        <v>0</v>
      </c>
      <c r="V48" s="302">
        <f t="shared" si="6"/>
        <v>0</v>
      </c>
      <c r="W48" s="300">
        <f t="shared" si="6"/>
        <v>7.3502185030897187E-3</v>
      </c>
      <c r="X48" s="299">
        <f t="shared" si="6"/>
        <v>2.0762615345255569E-3</v>
      </c>
      <c r="Y48" s="306">
        <f t="shared" si="6"/>
        <v>2.1566991350664491E-4</v>
      </c>
      <c r="Z48" s="300">
        <f t="shared" si="6"/>
        <v>2.0860040212899958E-2</v>
      </c>
      <c r="AA48" s="300">
        <f t="shared" si="6"/>
        <v>1.6914929154987716E-2</v>
      </c>
      <c r="AB48" s="300">
        <f t="shared" si="6"/>
        <v>1.0792359992499645E-2</v>
      </c>
      <c r="AC48" s="301">
        <f t="shared" ref="AC48" si="8">SUM(AC42:AC47)</f>
        <v>0.70363799131310867</v>
      </c>
      <c r="AD48" s="367">
        <v>0</v>
      </c>
    </row>
    <row r="50" spans="1:8">
      <c r="A50" t="s">
        <v>1329</v>
      </c>
    </row>
    <row r="52" spans="1:8">
      <c r="B52" s="181" t="s">
        <v>1661</v>
      </c>
      <c r="C52" s="181"/>
      <c r="D52" s="181"/>
      <c r="E52" s="181"/>
      <c r="F52" s="181"/>
      <c r="G52" s="181" t="s">
        <v>1440</v>
      </c>
      <c r="H52" s="181" t="s">
        <v>1439</v>
      </c>
    </row>
    <row r="53" spans="1:8">
      <c r="B53" t="s">
        <v>998</v>
      </c>
      <c r="C53" t="s">
        <v>88</v>
      </c>
      <c r="G53" s="309">
        <f>G35</f>
        <v>0</v>
      </c>
      <c r="H53" s="309">
        <f>S35</f>
        <v>0</v>
      </c>
    </row>
    <row r="54" spans="1:8">
      <c r="B54" t="s">
        <v>692</v>
      </c>
      <c r="C54" t="s">
        <v>693</v>
      </c>
      <c r="G54" s="309">
        <f>H35</f>
        <v>0</v>
      </c>
      <c r="H54" s="309">
        <f>T35</f>
        <v>0</v>
      </c>
    </row>
    <row r="55" spans="1:8">
      <c r="B55" t="s">
        <v>813</v>
      </c>
      <c r="C55" t="s">
        <v>814</v>
      </c>
      <c r="G55" s="308">
        <f>I35</f>
        <v>1.707687773982805E-3</v>
      </c>
      <c r="H55" s="308">
        <f>U35</f>
        <v>2.7444238724227271E-4</v>
      </c>
    </row>
    <row r="56" spans="1:8">
      <c r="B56" t="s">
        <v>312</v>
      </c>
      <c r="C56" t="s">
        <v>313</v>
      </c>
      <c r="G56" s="308">
        <f>J35</f>
        <v>3.7787054197899948E-4</v>
      </c>
      <c r="H56" s="308">
        <f>V35</f>
        <v>6.5889540290616424E-5</v>
      </c>
    </row>
    <row r="57" spans="1:8">
      <c r="B57" t="s">
        <v>147</v>
      </c>
      <c r="C57" t="s">
        <v>148</v>
      </c>
      <c r="G57" s="307">
        <f>K35</f>
        <v>0.6321205447050553</v>
      </c>
      <c r="H57" s="307">
        <f>W35</f>
        <v>5.6027322010573664E-2</v>
      </c>
    </row>
    <row r="58" spans="1:8">
      <c r="B58" t="s">
        <v>498</v>
      </c>
      <c r="C58" t="s">
        <v>499</v>
      </c>
      <c r="G58" s="307">
        <f>L35</f>
        <v>0.22764113684796625</v>
      </c>
      <c r="H58" s="307">
        <f>X35</f>
        <v>2.3901699050850184E-2</v>
      </c>
    </row>
    <row r="59" spans="1:8">
      <c r="B59" t="s">
        <v>604</v>
      </c>
      <c r="C59" t="s">
        <v>605</v>
      </c>
      <c r="G59" s="309">
        <f>M35</f>
        <v>0</v>
      </c>
      <c r="H59" s="309">
        <f>Y35</f>
        <v>0</v>
      </c>
    </row>
    <row r="60" spans="1:8">
      <c r="B60" t="s">
        <v>1128</v>
      </c>
      <c r="C60" t="s">
        <v>1129</v>
      </c>
      <c r="G60" s="10">
        <f>N35</f>
        <v>2.4173410966255835</v>
      </c>
      <c r="H60" s="10">
        <f>Z35</f>
        <v>0.2322912561757885</v>
      </c>
    </row>
    <row r="61" spans="1:8">
      <c r="B61" t="s">
        <v>578</v>
      </c>
      <c r="C61" t="s">
        <v>579</v>
      </c>
      <c r="G61" s="10">
        <f>O35</f>
        <v>1.5036214115129474</v>
      </c>
      <c r="H61" s="10">
        <f>AA35</f>
        <v>0.12803427271085821</v>
      </c>
    </row>
    <row r="62" spans="1:8">
      <c r="B62" t="s">
        <v>1222</v>
      </c>
      <c r="C62" t="s">
        <v>1223</v>
      </c>
      <c r="G62" s="10">
        <f>P35</f>
        <v>1.0944128900241983</v>
      </c>
      <c r="H62" s="10">
        <f>AB35</f>
        <v>0.11579640677383843</v>
      </c>
    </row>
    <row r="63" spans="1:8">
      <c r="B63" t="s">
        <v>590</v>
      </c>
      <c r="C63" t="s">
        <v>591</v>
      </c>
      <c r="G63" s="309">
        <f>R35</f>
        <v>0</v>
      </c>
      <c r="H63" s="309">
        <f>AD34</f>
        <v>0.62288510906688044</v>
      </c>
    </row>
    <row r="65" spans="2:8">
      <c r="B65" s="181" t="s">
        <v>1660</v>
      </c>
      <c r="C65" s="181"/>
      <c r="D65" s="181"/>
      <c r="E65" s="181"/>
      <c r="F65" s="181"/>
      <c r="G65" s="181" t="s">
        <v>1440</v>
      </c>
      <c r="H65" s="181" t="s">
        <v>1439</v>
      </c>
    </row>
    <row r="66" spans="2:8">
      <c r="B66" t="s">
        <v>998</v>
      </c>
      <c r="C66" t="s">
        <v>88</v>
      </c>
      <c r="G66" s="308">
        <f>G41</f>
        <v>1.6763188539223851E-4</v>
      </c>
      <c r="H66" s="308">
        <f>S41</f>
        <v>4.9843639348782565E-5</v>
      </c>
    </row>
    <row r="67" spans="2:8">
      <c r="B67" t="s">
        <v>692</v>
      </c>
      <c r="C67" t="s">
        <v>693</v>
      </c>
      <c r="G67" s="261">
        <f>H41</f>
        <v>3.8906642413616627E-4</v>
      </c>
      <c r="H67" s="261">
        <f>T41</f>
        <v>1.0065640902395142E-4</v>
      </c>
    </row>
    <row r="68" spans="2:8">
      <c r="B68" t="s">
        <v>813</v>
      </c>
      <c r="C68" t="s">
        <v>814</v>
      </c>
      <c r="G68" s="335">
        <f>I41</f>
        <v>4.7082903077313884E-6</v>
      </c>
      <c r="H68" s="335">
        <f>U41</f>
        <v>1.8793603245263743E-6</v>
      </c>
    </row>
    <row r="69" spans="2:8">
      <c r="B69" t="s">
        <v>312</v>
      </c>
      <c r="C69" t="s">
        <v>313</v>
      </c>
      <c r="G69" s="335">
        <f>J41</f>
        <v>1.0418322584974153E-6</v>
      </c>
      <c r="H69" s="335">
        <f>V41</f>
        <v>4.5120649571580739E-7</v>
      </c>
    </row>
    <row r="70" spans="2:8">
      <c r="B70" t="s">
        <v>147</v>
      </c>
      <c r="C70" t="s">
        <v>148</v>
      </c>
      <c r="G70" s="307">
        <f>K41</f>
        <v>2.4879431123862053E-2</v>
      </c>
      <c r="H70" s="307">
        <f>W41</f>
        <v>4.3161045040501804E-3</v>
      </c>
    </row>
    <row r="71" spans="2:8">
      <c r="B71" t="s">
        <v>498</v>
      </c>
      <c r="C71" t="s">
        <v>499</v>
      </c>
      <c r="G71" s="307">
        <f>L41</f>
        <v>6.144636964309386E-3</v>
      </c>
      <c r="H71" s="307">
        <f>X41</f>
        <v>1.2744957897660885E-3</v>
      </c>
    </row>
    <row r="72" spans="2:8">
      <c r="B72" t="s">
        <v>604</v>
      </c>
      <c r="C72" t="s">
        <v>605</v>
      </c>
      <c r="G72" s="261">
        <f>M41</f>
        <v>5.3879357407011271E-4</v>
      </c>
      <c r="H72" s="261">
        <f>Y41</f>
        <v>1.153853643616323E-4</v>
      </c>
    </row>
    <row r="73" spans="2:8">
      <c r="B73" t="s">
        <v>1128</v>
      </c>
      <c r="C73" t="s">
        <v>1129</v>
      </c>
      <c r="G73" s="307">
        <f>N41</f>
        <v>6.7229577143588737E-2</v>
      </c>
      <c r="H73" s="307">
        <f>Z41</f>
        <v>1.2751023776977947E-2</v>
      </c>
    </row>
    <row r="74" spans="2:8">
      <c r="B74" t="s">
        <v>578</v>
      </c>
      <c r="C74" t="s">
        <v>579</v>
      </c>
      <c r="G74" s="10">
        <f>O41</f>
        <v>5.9567598251858346E-2</v>
      </c>
      <c r="H74" s="10">
        <f>AA41</f>
        <v>9.9264097056405882E-3</v>
      </c>
    </row>
    <row r="75" spans="2:8">
      <c r="B75" t="s">
        <v>1222</v>
      </c>
      <c r="C75" t="s">
        <v>1223</v>
      </c>
      <c r="G75" s="307">
        <f>P41</f>
        <v>3.1475254952413607E-2</v>
      </c>
      <c r="H75" s="307">
        <f>AB41</f>
        <v>6.5669755808702053E-3</v>
      </c>
    </row>
    <row r="76" spans="2:8">
      <c r="B76" t="s">
        <v>590</v>
      </c>
      <c r="C76" t="s">
        <v>591</v>
      </c>
      <c r="G76" s="10">
        <f>R41</f>
        <v>0</v>
      </c>
      <c r="H76" s="10">
        <f>AD41</f>
        <v>0</v>
      </c>
    </row>
    <row r="78" spans="2:8">
      <c r="B78" s="181" t="s">
        <v>1678</v>
      </c>
      <c r="C78" s="181"/>
      <c r="D78" s="181"/>
      <c r="E78" s="181"/>
      <c r="F78" s="181"/>
      <c r="G78" s="181" t="s">
        <v>1440</v>
      </c>
      <c r="H78" s="181" t="s">
        <v>1439</v>
      </c>
    </row>
    <row r="79" spans="2:8">
      <c r="B79" t="s">
        <v>998</v>
      </c>
      <c r="C79" t="s">
        <v>88</v>
      </c>
      <c r="G79" s="308">
        <f>G48</f>
        <v>1.8180285715816108E-4</v>
      </c>
      <c r="H79" s="308">
        <f>S48</f>
        <v>9.3164097948481511E-5</v>
      </c>
    </row>
    <row r="80" spans="2:8">
      <c r="B80" t="s">
        <v>692</v>
      </c>
      <c r="C80" t="s">
        <v>693</v>
      </c>
      <c r="G80" s="261">
        <f>H48</f>
        <v>4.21956642477392E-4</v>
      </c>
      <c r="H80" s="261">
        <f>T48</f>
        <v>1.8813962367053509E-4</v>
      </c>
    </row>
    <row r="81" spans="2:8">
      <c r="B81" t="s">
        <v>813</v>
      </c>
      <c r="C81" t="s">
        <v>814</v>
      </c>
      <c r="G81" s="309">
        <f>I48</f>
        <v>0</v>
      </c>
      <c r="H81" s="309">
        <f>U48</f>
        <v>0</v>
      </c>
    </row>
    <row r="82" spans="2:8">
      <c r="B82" t="s">
        <v>312</v>
      </c>
      <c r="C82" t="s">
        <v>313</v>
      </c>
      <c r="G82" s="309">
        <f>J48</f>
        <v>0</v>
      </c>
      <c r="H82" s="309">
        <f>V48</f>
        <v>0</v>
      </c>
    </row>
    <row r="83" spans="2:8">
      <c r="B83" t="s">
        <v>147</v>
      </c>
      <c r="C83" t="s">
        <v>148</v>
      </c>
      <c r="G83" s="307">
        <f>K48</f>
        <v>2.5092484285716476E-2</v>
      </c>
      <c r="H83" s="307">
        <f>W48</f>
        <v>7.3502185030897187E-3</v>
      </c>
    </row>
    <row r="84" spans="2:8">
      <c r="B84" t="s">
        <v>498</v>
      </c>
      <c r="C84" t="s">
        <v>499</v>
      </c>
      <c r="G84" s="307">
        <f>L48</f>
        <v>5.9833912248063352E-3</v>
      </c>
      <c r="H84" s="307">
        <f>X48</f>
        <v>2.0762615345255569E-3</v>
      </c>
    </row>
    <row r="85" spans="2:8">
      <c r="B85" t="s">
        <v>604</v>
      </c>
      <c r="C85" t="s">
        <v>605</v>
      </c>
      <c r="G85" s="261">
        <f>M48</f>
        <v>5.843411648995216E-4</v>
      </c>
      <c r="H85" s="261">
        <f>Y48</f>
        <v>2.1566991350664491E-4</v>
      </c>
    </row>
    <row r="86" spans="2:8">
      <c r="B86" t="s">
        <v>1128</v>
      </c>
      <c r="C86" t="s">
        <v>1129</v>
      </c>
      <c r="G86" s="307">
        <f>N48</f>
        <v>6.5684603735093869E-2</v>
      </c>
      <c r="H86" s="307">
        <f>Z48</f>
        <v>2.0860040212899958E-2</v>
      </c>
    </row>
    <row r="87" spans="2:8">
      <c r="B87" t="s">
        <v>578</v>
      </c>
      <c r="C87" t="s">
        <v>579</v>
      </c>
      <c r="G87" s="10">
        <f>O48</f>
        <v>6.0107105647184605E-2</v>
      </c>
      <c r="H87" s="10">
        <f>AA48</f>
        <v>1.6914929154987716E-2</v>
      </c>
    </row>
    <row r="88" spans="2:8">
      <c r="B88" t="s">
        <v>1222</v>
      </c>
      <c r="C88" t="s">
        <v>1223</v>
      </c>
      <c r="G88" s="307">
        <f>P48</f>
        <v>3.0863552238597932E-2</v>
      </c>
      <c r="H88" s="307">
        <f>AB48</f>
        <v>1.0792359992499645E-2</v>
      </c>
    </row>
    <row r="89" spans="2:8">
      <c r="B89" t="s">
        <v>590</v>
      </c>
      <c r="C89" t="s">
        <v>591</v>
      </c>
      <c r="G89" s="10">
        <f>R48</f>
        <v>0</v>
      </c>
      <c r="H89" s="10">
        <f>AD48</f>
        <v>0</v>
      </c>
    </row>
  </sheetData>
  <mergeCells count="8">
    <mergeCell ref="A48:F48"/>
    <mergeCell ref="S4:AD4"/>
    <mergeCell ref="G4:R4"/>
    <mergeCell ref="A35:F35"/>
    <mergeCell ref="A7:A33"/>
    <mergeCell ref="A36:A40"/>
    <mergeCell ref="A42:A47"/>
    <mergeCell ref="A41:F41"/>
  </mergeCells>
  <phoneticPr fontId="6"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8D8E-3E38-A940-92F3-302CC4747E28}">
  <sheetPr codeName="Sheet5"/>
  <dimension ref="A1:P61"/>
  <sheetViews>
    <sheetView topLeftCell="A26" zoomScale="130" zoomScaleNormal="130" workbookViewId="0">
      <selection activeCell="C60" sqref="C60"/>
    </sheetView>
  </sheetViews>
  <sheetFormatPr defaultColWidth="10.796875" defaultRowHeight="15.6"/>
  <cols>
    <col min="1" max="1" width="28.69921875" style="32" customWidth="1"/>
    <col min="2" max="2" width="21.796875" style="32" customWidth="1"/>
    <col min="3" max="3" width="16.69921875" style="32" customWidth="1"/>
    <col min="4" max="7" width="17.19921875" style="32" customWidth="1"/>
    <col min="8" max="8" width="15.5" style="32" customWidth="1"/>
    <col min="9" max="9" width="13.296875" style="32" customWidth="1"/>
    <col min="10" max="10" width="10.796875" style="32"/>
    <col min="11" max="12" width="15.5" style="32" customWidth="1"/>
    <col min="13" max="13" width="10.796875" style="32"/>
    <col min="14" max="14" width="21.296875" style="32" customWidth="1"/>
    <col min="15" max="15" width="26.296875" style="32" customWidth="1"/>
    <col min="16" max="16384" width="10.796875" style="32"/>
  </cols>
  <sheetData>
    <row r="1" spans="1:13" ht="18">
      <c r="A1" s="157" t="s">
        <v>1526</v>
      </c>
      <c r="D1" s="33"/>
    </row>
    <row r="2" spans="1:13" s="14" customFormat="1" ht="18">
      <c r="A2" s="157" t="s">
        <v>1538</v>
      </c>
      <c r="B2" s="34"/>
      <c r="F2" s="35"/>
      <c r="G2" s="35"/>
    </row>
    <row r="3" spans="1:13" s="14" customFormat="1" ht="18">
      <c r="A3" s="157"/>
      <c r="B3" s="34"/>
      <c r="F3" s="35"/>
      <c r="G3" s="35"/>
    </row>
    <row r="4" spans="1:13" customFormat="1">
      <c r="B4" s="3" t="s">
        <v>1551</v>
      </c>
      <c r="C4" t="s">
        <v>1399</v>
      </c>
    </row>
    <row r="5" spans="1:13" customFormat="1">
      <c r="B5" s="3" t="s">
        <v>29</v>
      </c>
      <c r="C5" t="s">
        <v>1399</v>
      </c>
    </row>
    <row r="6" spans="1:13" customFormat="1">
      <c r="B6" s="3" t="s">
        <v>30</v>
      </c>
      <c r="C6" t="s">
        <v>1557</v>
      </c>
    </row>
    <row r="8" spans="1:13">
      <c r="A8" s="36" t="s">
        <v>1330</v>
      </c>
    </row>
    <row r="10" spans="1:13">
      <c r="B10" s="37" t="s">
        <v>1331</v>
      </c>
      <c r="C10" s="38" t="s">
        <v>1332</v>
      </c>
      <c r="D10" s="32" t="s">
        <v>1333</v>
      </c>
      <c r="F10" s="39"/>
      <c r="L10" s="39"/>
      <c r="M10" s="39"/>
    </row>
    <row r="11" spans="1:13">
      <c r="B11" s="36"/>
      <c r="C11" s="37" t="s">
        <v>1334</v>
      </c>
      <c r="F11" s="39"/>
      <c r="L11" s="39"/>
      <c r="M11" s="39"/>
    </row>
    <row r="12" spans="1:13">
      <c r="F12" s="39"/>
      <c r="L12" s="39"/>
      <c r="M12" s="39"/>
    </row>
    <row r="13" spans="1:13">
      <c r="A13" s="39"/>
      <c r="B13" s="40" t="s">
        <v>1331</v>
      </c>
      <c r="C13" s="39" t="s">
        <v>1335</v>
      </c>
      <c r="D13" s="39"/>
      <c r="E13" s="39"/>
      <c r="F13" s="39"/>
      <c r="L13" s="39"/>
      <c r="M13" s="39"/>
    </row>
    <row r="14" spans="1:13">
      <c r="A14" s="39"/>
      <c r="B14" s="40" t="s">
        <v>1336</v>
      </c>
      <c r="C14" s="39" t="s">
        <v>1558</v>
      </c>
      <c r="D14" s="39"/>
      <c r="E14" s="39"/>
      <c r="F14" s="39"/>
      <c r="L14" s="39"/>
      <c r="M14" s="39"/>
    </row>
    <row r="15" spans="1:13">
      <c r="A15" s="39"/>
      <c r="B15" s="40" t="s">
        <v>1337</v>
      </c>
      <c r="C15" s="39" t="s">
        <v>1338</v>
      </c>
      <c r="D15" s="39"/>
      <c r="E15" s="39"/>
      <c r="F15" s="39"/>
      <c r="L15" s="39"/>
      <c r="M15" s="39"/>
    </row>
    <row r="16" spans="1:13">
      <c r="A16" s="39"/>
      <c r="B16" s="40" t="s">
        <v>1339</v>
      </c>
      <c r="C16" s="39" t="s">
        <v>1340</v>
      </c>
      <c r="D16" s="39"/>
      <c r="E16" s="39"/>
      <c r="F16" s="39"/>
      <c r="L16" s="39"/>
      <c r="M16" s="39"/>
    </row>
    <row r="17" spans="1:16">
      <c r="A17" s="39"/>
      <c r="B17" s="40" t="s">
        <v>1341</v>
      </c>
      <c r="C17" s="39" t="s">
        <v>1342</v>
      </c>
      <c r="D17" s="39"/>
      <c r="E17" s="39"/>
      <c r="F17" s="39"/>
      <c r="G17" s="39"/>
      <c r="H17" s="39"/>
      <c r="I17" s="39"/>
      <c r="J17" s="39"/>
      <c r="K17" s="39"/>
      <c r="L17" s="39"/>
      <c r="M17" s="39"/>
    </row>
    <row r="18" spans="1:16">
      <c r="A18" s="39"/>
      <c r="B18" s="40"/>
      <c r="C18" s="39"/>
      <c r="D18" s="39"/>
      <c r="E18" s="39"/>
      <c r="F18" s="39"/>
      <c r="G18" s="39"/>
      <c r="H18" s="39"/>
      <c r="I18" s="39"/>
      <c r="J18" s="39"/>
      <c r="K18" s="39"/>
      <c r="L18" s="39"/>
      <c r="M18" s="39"/>
    </row>
    <row r="19" spans="1:16">
      <c r="A19" s="39"/>
      <c r="B19" s="40"/>
      <c r="C19" s="39"/>
      <c r="D19" s="39"/>
      <c r="E19" s="39"/>
      <c r="F19" s="39"/>
      <c r="G19" s="39"/>
      <c r="H19" s="39"/>
      <c r="I19" s="39"/>
      <c r="J19" s="39"/>
      <c r="K19" s="409" t="s">
        <v>1593</v>
      </c>
      <c r="L19" s="409"/>
      <c r="M19" s="39"/>
    </row>
    <row r="20" spans="1:16">
      <c r="K20" s="409"/>
      <c r="L20" s="409"/>
      <c r="M20" s="35"/>
      <c r="N20" s="35"/>
      <c r="O20" s="35"/>
      <c r="P20" s="35"/>
    </row>
    <row r="21" spans="1:16" ht="57" customHeight="1">
      <c r="A21" s="41" t="s">
        <v>1348</v>
      </c>
      <c r="B21" s="41" t="s">
        <v>1347</v>
      </c>
      <c r="C21" s="41" t="s">
        <v>1343</v>
      </c>
      <c r="D21" s="41" t="s">
        <v>1344</v>
      </c>
      <c r="E21" s="41" t="s">
        <v>1446</v>
      </c>
      <c r="F21" s="41" t="s">
        <v>1447</v>
      </c>
      <c r="G21" s="41" t="s">
        <v>1334</v>
      </c>
      <c r="H21" s="41" t="s">
        <v>1345</v>
      </c>
      <c r="I21" s="41" t="s">
        <v>1346</v>
      </c>
      <c r="J21" s="41" t="s">
        <v>1281</v>
      </c>
      <c r="K21" s="41" t="s">
        <v>1346</v>
      </c>
      <c r="L21" s="41" t="s">
        <v>1281</v>
      </c>
      <c r="M21" s="35"/>
      <c r="N21" s="35"/>
    </row>
    <row r="22" spans="1:16">
      <c r="A22" s="32" t="s">
        <v>1349</v>
      </c>
      <c r="B22" s="42">
        <v>6000000</v>
      </c>
      <c r="C22" s="32" t="s">
        <v>1461</v>
      </c>
      <c r="D22" s="32">
        <v>1</v>
      </c>
      <c r="E22" s="32">
        <v>0.05</v>
      </c>
      <c r="F22" s="32">
        <v>130</v>
      </c>
      <c r="G22" s="32">
        <v>528</v>
      </c>
      <c r="H22" s="43">
        <f t="shared" ref="H22:H26" si="0">(12.46*D22*E22*F22)/G22</f>
        <v>0.15339015151515153</v>
      </c>
      <c r="I22" s="44">
        <f t="shared" ref="I22:I26" si="1">J22/365</f>
        <v>2.5214819427148196</v>
      </c>
      <c r="J22" s="42">
        <f>B22/1000*H22</f>
        <v>920.34090909090924</v>
      </c>
      <c r="K22" s="35"/>
      <c r="L22" s="35"/>
      <c r="M22" s="35"/>
      <c r="N22" s="35"/>
    </row>
    <row r="23" spans="1:16">
      <c r="A23" s="32" t="s">
        <v>1350</v>
      </c>
      <c r="B23" s="42">
        <v>6000000</v>
      </c>
      <c r="C23" s="32" t="s">
        <v>1461</v>
      </c>
      <c r="D23" s="32">
        <v>1</v>
      </c>
      <c r="E23" s="32">
        <v>7.0000000000000007E-2</v>
      </c>
      <c r="F23" s="32">
        <v>130</v>
      </c>
      <c r="G23" s="32">
        <v>528</v>
      </c>
      <c r="H23" s="43">
        <f t="shared" si="0"/>
        <v>0.21474621212121217</v>
      </c>
      <c r="I23" s="44">
        <f t="shared" si="1"/>
        <v>3.5300747198007478</v>
      </c>
      <c r="J23" s="42">
        <f t="shared" ref="J23:J26" si="2">B23/1000*H23</f>
        <v>1288.477272727273</v>
      </c>
      <c r="K23" s="35"/>
      <c r="L23" s="35"/>
      <c r="M23" s="35"/>
      <c r="N23" s="35"/>
    </row>
    <row r="24" spans="1:16">
      <c r="A24" s="32" t="s">
        <v>1535</v>
      </c>
      <c r="B24" s="42">
        <v>1000000</v>
      </c>
      <c r="C24" s="32" t="s">
        <v>1461</v>
      </c>
      <c r="D24" s="32">
        <v>1</v>
      </c>
      <c r="E24" s="32">
        <v>0.09</v>
      </c>
      <c r="F24" s="32">
        <v>130</v>
      </c>
      <c r="G24" s="32">
        <v>528</v>
      </c>
      <c r="H24" s="43">
        <f t="shared" si="0"/>
        <v>0.27610227272727267</v>
      </c>
      <c r="I24" s="44">
        <f t="shared" si="1"/>
        <v>0.75644458281444571</v>
      </c>
      <c r="J24" s="42">
        <f t="shared" si="2"/>
        <v>276.10227272727269</v>
      </c>
      <c r="K24" s="35"/>
      <c r="L24" s="35"/>
      <c r="M24" s="35"/>
      <c r="N24" s="35"/>
    </row>
    <row r="25" spans="1:16">
      <c r="A25" s="32" t="s">
        <v>1536</v>
      </c>
      <c r="B25" s="42">
        <v>3600000</v>
      </c>
      <c r="C25" s="32" t="s">
        <v>1461</v>
      </c>
      <c r="D25" s="32">
        <v>1</v>
      </c>
      <c r="E25" s="32">
        <v>0.08</v>
      </c>
      <c r="F25" s="32">
        <v>130</v>
      </c>
      <c r="G25" s="32">
        <v>528</v>
      </c>
      <c r="H25" s="43">
        <f t="shared" ref="H25" si="3">(12.46*D25*E25*F25)/G25</f>
        <v>0.24542424242424243</v>
      </c>
      <c r="I25" s="44">
        <f t="shared" ref="I25" si="4">J25/365</f>
        <v>2.4206226650062268</v>
      </c>
      <c r="J25" s="42">
        <f t="shared" ref="J25" si="5">B25/1000*H25</f>
        <v>883.52727272727282</v>
      </c>
      <c r="K25" s="35"/>
      <c r="L25" s="35"/>
      <c r="M25" s="35"/>
      <c r="N25" s="35"/>
    </row>
    <row r="26" spans="1:16">
      <c r="A26" s="32" t="s">
        <v>1541</v>
      </c>
      <c r="B26" s="42">
        <v>1200000</v>
      </c>
      <c r="C26" s="32" t="s">
        <v>1461</v>
      </c>
      <c r="D26" s="32">
        <v>1</v>
      </c>
      <c r="E26" s="32">
        <v>0.25</v>
      </c>
      <c r="F26" s="32">
        <v>130</v>
      </c>
      <c r="G26" s="32">
        <v>810</v>
      </c>
      <c r="H26" s="43">
        <f t="shared" si="0"/>
        <v>0.49993827160493831</v>
      </c>
      <c r="I26" s="44">
        <f t="shared" si="1"/>
        <v>1.6436326737696603</v>
      </c>
      <c r="J26" s="42">
        <f t="shared" si="2"/>
        <v>599.92592592592598</v>
      </c>
      <c r="K26" s="198">
        <f>H26*B29/1000</f>
        <v>37.995308641975306</v>
      </c>
      <c r="L26" s="198">
        <f>H26*B28/1000</f>
        <v>8898.9012345679002</v>
      </c>
      <c r="M26" s="35"/>
      <c r="N26" s="197"/>
    </row>
    <row r="27" spans="1:16">
      <c r="H27" s="36" t="s">
        <v>1351</v>
      </c>
      <c r="I27" s="54">
        <f>SUM(I22:I26)</f>
        <v>10.8722565841059</v>
      </c>
      <c r="J27" s="54">
        <f>SUM(J22:J26)</f>
        <v>3968.3736531986533</v>
      </c>
      <c r="L27" s="35"/>
      <c r="M27" s="35"/>
      <c r="N27" s="197"/>
      <c r="O27" s="35"/>
    </row>
    <row r="28" spans="1:16">
      <c r="A28" s="32" t="s">
        <v>1566</v>
      </c>
      <c r="B28" s="42">
        <f>SUM(B22:B26)</f>
        <v>17800000</v>
      </c>
      <c r="C28" s="32" t="s">
        <v>1243</v>
      </c>
      <c r="H28" s="36"/>
      <c r="I28" s="54"/>
      <c r="J28" s="54"/>
      <c r="L28" s="35"/>
      <c r="M28" s="35"/>
      <c r="N28" s="35"/>
      <c r="O28" s="35"/>
    </row>
    <row r="29" spans="1:16">
      <c r="A29" s="32" t="s">
        <v>1567</v>
      </c>
      <c r="B29" s="179">
        <v>76000</v>
      </c>
      <c r="C29" s="32" t="s">
        <v>1242</v>
      </c>
      <c r="H29" s="36"/>
      <c r="I29" s="54"/>
      <c r="J29" s="54"/>
      <c r="L29" s="35"/>
      <c r="M29" s="35"/>
      <c r="N29" s="35"/>
      <c r="O29" s="35"/>
    </row>
    <row r="30" spans="1:16">
      <c r="H30" s="36"/>
      <c r="I30" s="54"/>
      <c r="J30" s="54"/>
      <c r="L30" s="35"/>
      <c r="M30" s="35"/>
      <c r="N30" s="35"/>
      <c r="O30" s="35"/>
    </row>
    <row r="31" spans="1:16">
      <c r="A31" s="32" t="s">
        <v>1540</v>
      </c>
      <c r="M31" s="35"/>
      <c r="N31" s="35"/>
      <c r="O31" s="35"/>
      <c r="P31" s="35"/>
    </row>
    <row r="32" spans="1:16">
      <c r="A32" s="32" t="s">
        <v>1448</v>
      </c>
      <c r="M32" s="35"/>
      <c r="N32" s="35"/>
      <c r="O32" s="35"/>
      <c r="P32" s="35"/>
    </row>
    <row r="33" spans="1:16">
      <c r="M33" s="35"/>
      <c r="N33" s="35"/>
      <c r="O33" s="35"/>
      <c r="P33" s="35"/>
    </row>
    <row r="34" spans="1:16">
      <c r="M34" s="35"/>
      <c r="N34" s="35"/>
      <c r="O34" s="35"/>
      <c r="P34" s="35"/>
    </row>
    <row r="35" spans="1:16">
      <c r="M35" s="35"/>
      <c r="N35" s="35"/>
      <c r="O35" s="35"/>
      <c r="P35" s="35"/>
    </row>
    <row r="36" spans="1:16">
      <c r="A36" s="160" t="s">
        <v>1545</v>
      </c>
      <c r="B36" s="161" t="s">
        <v>1546</v>
      </c>
      <c r="C36" s="162"/>
      <c r="D36" s="163"/>
      <c r="E36" s="164"/>
      <c r="F36" s="165"/>
      <c r="M36" s="35"/>
      <c r="N36" s="35"/>
      <c r="O36" s="35"/>
      <c r="P36" s="35"/>
    </row>
    <row r="37" spans="1:16">
      <c r="A37" s="166"/>
      <c r="B37" s="167" t="s">
        <v>1542</v>
      </c>
      <c r="C37" s="167"/>
      <c r="D37" s="167"/>
      <c r="E37" s="167"/>
      <c r="F37" s="168"/>
      <c r="M37" s="35"/>
      <c r="N37" s="35"/>
      <c r="O37" s="35"/>
      <c r="P37" s="35"/>
    </row>
    <row r="38" spans="1:16">
      <c r="A38" s="166"/>
      <c r="B38" s="167" t="s">
        <v>1543</v>
      </c>
      <c r="C38" s="167"/>
      <c r="D38" s="167"/>
      <c r="E38" s="167"/>
      <c r="F38" s="168"/>
      <c r="M38" s="35"/>
      <c r="N38" s="35"/>
      <c r="O38" s="35"/>
      <c r="P38" s="35"/>
    </row>
    <row r="39" spans="1:16">
      <c r="A39" s="166"/>
      <c r="B39" s="167" t="s">
        <v>1544</v>
      </c>
      <c r="C39" s="167" t="s">
        <v>1549</v>
      </c>
      <c r="D39" s="167"/>
      <c r="E39" s="167"/>
      <c r="F39" s="168"/>
      <c r="M39" s="35"/>
      <c r="N39" s="35"/>
      <c r="O39" s="35"/>
      <c r="P39" s="35"/>
    </row>
    <row r="40" spans="1:16">
      <c r="A40" s="166"/>
      <c r="B40" s="167" t="s">
        <v>1548</v>
      </c>
      <c r="C40" s="167"/>
      <c r="D40" s="167"/>
      <c r="E40" s="167"/>
      <c r="F40" s="168"/>
      <c r="M40" s="35"/>
      <c r="N40" s="35"/>
      <c r="O40" s="35"/>
      <c r="P40" s="35"/>
    </row>
    <row r="41" spans="1:16">
      <c r="A41" s="169"/>
      <c r="B41" s="170" t="s">
        <v>1547</v>
      </c>
      <c r="C41" s="171"/>
      <c r="D41" s="171"/>
      <c r="E41" s="171"/>
      <c r="F41" s="172"/>
      <c r="M41" s="35"/>
      <c r="N41" s="35"/>
      <c r="O41" s="35"/>
      <c r="P41" s="35"/>
    </row>
    <row r="42" spans="1:16">
      <c r="M42" s="35"/>
      <c r="N42" s="35"/>
      <c r="O42" s="35"/>
      <c r="P42" s="35"/>
    </row>
    <row r="43" spans="1:16">
      <c r="M43" s="35"/>
      <c r="N43" s="35"/>
      <c r="O43" s="35"/>
      <c r="P43" s="35"/>
    </row>
    <row r="44" spans="1:16">
      <c r="M44" s="35"/>
      <c r="N44" s="35"/>
      <c r="O44" s="35"/>
      <c r="P44" s="35"/>
    </row>
    <row r="45" spans="1:16" s="14" customFormat="1" ht="31.95" customHeight="1">
      <c r="B45" s="34"/>
      <c r="F45" s="35"/>
      <c r="G45" s="410" t="s">
        <v>1594</v>
      </c>
      <c r="H45" s="411"/>
      <c r="I45" s="411"/>
    </row>
    <row r="46" spans="1:16" s="14" customFormat="1" ht="26.4">
      <c r="A46" s="45" t="s">
        <v>1292</v>
      </c>
      <c r="B46" s="46" t="s">
        <v>24</v>
      </c>
      <c r="C46" s="47" t="s">
        <v>1327</v>
      </c>
      <c r="D46" s="47" t="s">
        <v>22</v>
      </c>
      <c r="E46" s="47" t="s">
        <v>1293</v>
      </c>
      <c r="F46" s="48" t="s">
        <v>1591</v>
      </c>
      <c r="G46" s="47" t="s">
        <v>22</v>
      </c>
      <c r="H46" s="47" t="s">
        <v>1293</v>
      </c>
      <c r="I46" s="48" t="s">
        <v>1591</v>
      </c>
    </row>
    <row r="47" spans="1:16" s="14" customFormat="1" ht="13.2">
      <c r="A47" s="49" t="s">
        <v>88</v>
      </c>
      <c r="B47" s="14" t="s">
        <v>998</v>
      </c>
      <c r="C47" s="135">
        <f>VLOOKUP(B47,Tabl_B3_Comp!$B$55:$C$65,2,FALSE)</f>
        <v>2.8600000000000001E-3</v>
      </c>
      <c r="D47" s="176">
        <f>C47*$I$27</f>
        <v>3.1094653830542874E-2</v>
      </c>
      <c r="E47" s="200">
        <f>C47*$J$27</f>
        <v>11.349548648148149</v>
      </c>
      <c r="F47" s="201">
        <f>E47/$B$28</f>
        <v>6.3761509259259267E-7</v>
      </c>
      <c r="G47" s="206">
        <f>C47*$K$26</f>
        <v>0.10866658271604938</v>
      </c>
      <c r="H47" s="206">
        <f>C47*$L$26</f>
        <v>25.450857530864194</v>
      </c>
      <c r="I47" s="207">
        <f>H47/$B$28</f>
        <v>1.4298234567901234E-6</v>
      </c>
      <c r="K47" s="199"/>
      <c r="L47" s="199"/>
    </row>
    <row r="48" spans="1:16" s="14" customFormat="1" ht="13.2">
      <c r="A48" s="49" t="s">
        <v>693</v>
      </c>
      <c r="B48" s="14" t="s">
        <v>692</v>
      </c>
      <c r="C48" s="135">
        <f>VLOOKUP(B48,Tabl_B3_Comp!$B$55:$C$65,2,FALSE)</f>
        <v>1.66E-3</v>
      </c>
      <c r="D48" s="177">
        <f t="shared" ref="D48:D57" si="6">C48*$I$27</f>
        <v>1.8047945929615793E-2</v>
      </c>
      <c r="E48" s="202">
        <f t="shared" ref="E48:E57" si="7">C48*$J$27</f>
        <v>6.5875002643097647</v>
      </c>
      <c r="F48" s="203">
        <f t="shared" ref="F48:F57" si="8">E48/$B$28</f>
        <v>3.7008428451178452E-7</v>
      </c>
      <c r="G48" s="15">
        <f t="shared" ref="G48:G57" si="9">C48*$K$26</f>
        <v>6.3072212345679016E-2</v>
      </c>
      <c r="H48" s="15">
        <f t="shared" ref="H48:H57" si="10">C48*$L$26</f>
        <v>14.772176049382715</v>
      </c>
      <c r="I48" s="208">
        <f t="shared" ref="I48:I57" si="11">H48/$B$28</f>
        <v>8.2989753086419746E-7</v>
      </c>
    </row>
    <row r="49" spans="1:13" s="14" customFormat="1" ht="13.2">
      <c r="A49" s="49" t="s">
        <v>814</v>
      </c>
      <c r="B49" s="14" t="s">
        <v>813</v>
      </c>
      <c r="C49" s="135">
        <f>VLOOKUP(B49,Tabl_B3_Comp!$B$55:$C$65,2,FALSE)</f>
        <v>0</v>
      </c>
      <c r="D49" s="177">
        <f t="shared" si="6"/>
        <v>0</v>
      </c>
      <c r="E49" s="202">
        <f t="shared" si="7"/>
        <v>0</v>
      </c>
      <c r="F49" s="203">
        <f t="shared" si="8"/>
        <v>0</v>
      </c>
      <c r="G49" s="15">
        <f t="shared" si="9"/>
        <v>0</v>
      </c>
      <c r="H49" s="15">
        <f t="shared" si="10"/>
        <v>0</v>
      </c>
      <c r="I49" s="208">
        <f t="shared" si="11"/>
        <v>0</v>
      </c>
    </row>
    <row r="50" spans="1:13" s="14" customFormat="1" ht="26.4">
      <c r="A50" s="50" t="s">
        <v>313</v>
      </c>
      <c r="B50" s="14" t="s">
        <v>312</v>
      </c>
      <c r="C50" s="135">
        <f>VLOOKUP(B50,Tabl_B3_Comp!$B$55:$C$65,2,FALSE)</f>
        <v>0</v>
      </c>
      <c r="D50" s="177">
        <f t="shared" si="6"/>
        <v>0</v>
      </c>
      <c r="E50" s="202">
        <f t="shared" si="7"/>
        <v>0</v>
      </c>
      <c r="F50" s="203">
        <f t="shared" si="8"/>
        <v>0</v>
      </c>
      <c r="G50" s="15">
        <f t="shared" si="9"/>
        <v>0</v>
      </c>
      <c r="H50" s="15">
        <f t="shared" si="10"/>
        <v>0</v>
      </c>
      <c r="I50" s="208">
        <f t="shared" si="11"/>
        <v>0</v>
      </c>
    </row>
    <row r="51" spans="1:13" s="14" customFormat="1" ht="13.2">
      <c r="A51" s="49" t="s">
        <v>148</v>
      </c>
      <c r="B51" s="14" t="s">
        <v>147</v>
      </c>
      <c r="C51" s="135">
        <f>VLOOKUP(B51,Tabl_B3_Comp!$B$55:$C$65,2,FALSE)</f>
        <v>2.32E-4</v>
      </c>
      <c r="D51" s="177">
        <f t="shared" si="6"/>
        <v>2.5223635275125689E-3</v>
      </c>
      <c r="E51" s="202">
        <f t="shared" si="7"/>
        <v>0.92066268754208758</v>
      </c>
      <c r="F51" s="203">
        <f t="shared" si="8"/>
        <v>5.1722622895622898E-8</v>
      </c>
      <c r="G51" s="15">
        <f t="shared" si="9"/>
        <v>8.8149116049382713E-3</v>
      </c>
      <c r="H51" s="15">
        <f t="shared" si="10"/>
        <v>2.064545086419753</v>
      </c>
      <c r="I51" s="208">
        <f t="shared" si="11"/>
        <v>1.1598567901234567E-7</v>
      </c>
    </row>
    <row r="52" spans="1:13" s="14" customFormat="1" ht="13.2">
      <c r="A52" s="49" t="s">
        <v>499</v>
      </c>
      <c r="B52" s="14" t="s">
        <v>498</v>
      </c>
      <c r="C52" s="135">
        <f>VLOOKUP(B52,Tabl_B3_Comp!$B$55:$C$65,2,FALSE)</f>
        <v>5.8900000000000001E-4</v>
      </c>
      <c r="D52" s="177">
        <f t="shared" si="6"/>
        <v>6.4037591280383752E-3</v>
      </c>
      <c r="E52" s="202">
        <f t="shared" si="7"/>
        <v>2.3373720817340069</v>
      </c>
      <c r="F52" s="203">
        <f t="shared" si="8"/>
        <v>1.313130382996633E-7</v>
      </c>
      <c r="G52" s="15">
        <f t="shared" si="9"/>
        <v>2.2379236790123457E-2</v>
      </c>
      <c r="H52" s="15">
        <f t="shared" si="10"/>
        <v>5.2414528271604937</v>
      </c>
      <c r="I52" s="208">
        <f t="shared" si="11"/>
        <v>2.9446364197530865E-7</v>
      </c>
    </row>
    <row r="53" spans="1:13" s="14" customFormat="1" ht="13.2">
      <c r="A53" s="49" t="s">
        <v>605</v>
      </c>
      <c r="B53" s="14" t="s">
        <v>604</v>
      </c>
      <c r="C53" s="135">
        <f>VLOOKUP(B53,Tabl_B3_Comp!$B$55:$C$65,2,FALSE)</f>
        <v>1.22E-4</v>
      </c>
      <c r="D53" s="177">
        <f t="shared" si="6"/>
        <v>1.3264153032609197E-3</v>
      </c>
      <c r="E53" s="202">
        <f t="shared" si="7"/>
        <v>0.48414158569023569</v>
      </c>
      <c r="F53" s="203">
        <f t="shared" si="8"/>
        <v>2.7198965488215487E-8</v>
      </c>
      <c r="G53" s="15">
        <f t="shared" si="9"/>
        <v>4.6354276543209873E-3</v>
      </c>
      <c r="H53" s="15">
        <f t="shared" si="10"/>
        <v>1.0856659506172839</v>
      </c>
      <c r="I53" s="208">
        <f t="shared" si="11"/>
        <v>6.0992469135802465E-8</v>
      </c>
    </row>
    <row r="54" spans="1:13" s="14" customFormat="1" ht="13.2">
      <c r="A54" s="49" t="s">
        <v>1129</v>
      </c>
      <c r="B54" s="14" t="s">
        <v>1128</v>
      </c>
      <c r="C54" s="135">
        <f>VLOOKUP(B54,Tabl_B3_Comp!$B$55:$C$65,2,FALSE)</f>
        <v>2.0899999999999998E-3</v>
      </c>
      <c r="D54" s="177">
        <f t="shared" si="6"/>
        <v>2.2723016260781329E-2</v>
      </c>
      <c r="E54" s="202">
        <f t="shared" si="7"/>
        <v>8.2939009351851851</v>
      </c>
      <c r="F54" s="203">
        <f t="shared" si="8"/>
        <v>4.6594949074074076E-7</v>
      </c>
      <c r="G54" s="15">
        <f t="shared" si="9"/>
        <v>7.9410195061728389E-2</v>
      </c>
      <c r="H54" s="15">
        <f t="shared" si="10"/>
        <v>18.598703580246909</v>
      </c>
      <c r="I54" s="208">
        <f t="shared" si="11"/>
        <v>1.0448709876543207E-6</v>
      </c>
    </row>
    <row r="55" spans="1:13" s="14" customFormat="1" ht="13.2">
      <c r="A55" s="49" t="s">
        <v>579</v>
      </c>
      <c r="B55" s="14" t="s">
        <v>578</v>
      </c>
      <c r="C55" s="135">
        <f>VLOOKUP(B55,Tabl_B3_Comp!$B$55:$C$65,2,FALSE)</f>
        <v>3.4499999999999998E-4</v>
      </c>
      <c r="D55" s="177">
        <f t="shared" si="6"/>
        <v>3.7509285215165354E-3</v>
      </c>
      <c r="E55" s="202">
        <f t="shared" si="7"/>
        <v>1.3690889103535353</v>
      </c>
      <c r="F55" s="203">
        <f t="shared" si="8"/>
        <v>7.6915107323232314E-8</v>
      </c>
      <c r="G55" s="15">
        <f t="shared" si="9"/>
        <v>1.310838148148148E-2</v>
      </c>
      <c r="H55" s="15">
        <f t="shared" si="10"/>
        <v>3.0701209259259254</v>
      </c>
      <c r="I55" s="208">
        <f t="shared" si="11"/>
        <v>1.7247870370370367E-7</v>
      </c>
    </row>
    <row r="56" spans="1:13" s="14" customFormat="1" ht="26.4">
      <c r="A56" s="50" t="s">
        <v>1223</v>
      </c>
      <c r="B56" s="14" t="s">
        <v>1222</v>
      </c>
      <c r="C56" s="135">
        <f>VLOOKUP(B56,Tabl_B3_Comp!$B$55:$C$65,2,FALSE)</f>
        <v>3.48E-3</v>
      </c>
      <c r="D56" s="177">
        <f t="shared" si="6"/>
        <v>3.7835452912688534E-2</v>
      </c>
      <c r="E56" s="202">
        <f t="shared" si="7"/>
        <v>13.809940313131314</v>
      </c>
      <c r="F56" s="203">
        <f t="shared" si="8"/>
        <v>7.758393434343435E-7</v>
      </c>
      <c r="G56" s="15">
        <f t="shared" si="9"/>
        <v>0.13222367407407407</v>
      </c>
      <c r="H56" s="15">
        <f t="shared" si="10"/>
        <v>30.968176296296292</v>
      </c>
      <c r="I56" s="208">
        <f t="shared" si="11"/>
        <v>1.7397851851851849E-6</v>
      </c>
    </row>
    <row r="57" spans="1:13" s="14" customFormat="1" ht="13.2">
      <c r="A57" s="51" t="s">
        <v>591</v>
      </c>
      <c r="B57" s="52" t="s">
        <v>590</v>
      </c>
      <c r="C57" s="136">
        <f>VLOOKUP(B57,Tabl_B3_Comp!$B$55:$C$65,2,FALSE)</f>
        <v>1.7000000000000001E-4</v>
      </c>
      <c r="D57" s="178">
        <f t="shared" si="6"/>
        <v>1.8482836192980031E-3</v>
      </c>
      <c r="E57" s="204">
        <f t="shared" si="7"/>
        <v>0.6746235210437711</v>
      </c>
      <c r="F57" s="205">
        <f t="shared" si="8"/>
        <v>3.7900197811447818E-8</v>
      </c>
      <c r="G57" s="209">
        <f t="shared" si="9"/>
        <v>6.4592024691358029E-3</v>
      </c>
      <c r="H57" s="209">
        <f t="shared" si="10"/>
        <v>1.5128132098765432</v>
      </c>
      <c r="I57" s="210">
        <f t="shared" si="11"/>
        <v>8.4989506172839511E-8</v>
      </c>
    </row>
    <row r="58" spans="1:13" s="14" customFormat="1" ht="13.2">
      <c r="B58" s="15"/>
      <c r="C58" s="55" t="s">
        <v>1351</v>
      </c>
      <c r="D58" s="27">
        <f>SUM(D47:D57)</f>
        <v>0.12555281903325494</v>
      </c>
      <c r="E58" s="27">
        <f>SUM(E47:E57)</f>
        <v>45.826778947138052</v>
      </c>
      <c r="F58" s="27"/>
      <c r="G58" s="27">
        <f>SUM(G47:G57)</f>
        <v>0.43876982419753086</v>
      </c>
      <c r="H58" s="27">
        <f>SUM(H47:H57)</f>
        <v>102.7645114567901</v>
      </c>
      <c r="I58" s="27"/>
    </row>
    <row r="59" spans="1:13" s="14" customFormat="1" ht="14.4">
      <c r="B59" s="15"/>
      <c r="C59" s="15"/>
      <c r="D59" s="15"/>
      <c r="E59" s="15"/>
      <c r="F59" s="35"/>
      <c r="G59" s="35"/>
      <c r="H59" s="15"/>
    </row>
    <row r="60" spans="1:13" s="14" customFormat="1" ht="14.4">
      <c r="A60" s="53"/>
      <c r="F60" s="35"/>
      <c r="G60" s="35"/>
      <c r="H60" s="134"/>
    </row>
    <row r="61" spans="1:13">
      <c r="A61" s="39"/>
      <c r="B61" s="40"/>
      <c r="C61" s="39"/>
      <c r="D61" s="39"/>
      <c r="E61" s="39"/>
      <c r="F61" s="39"/>
      <c r="G61" s="39"/>
      <c r="H61" s="39"/>
      <c r="I61" s="39"/>
      <c r="J61" s="39"/>
      <c r="K61" s="39"/>
      <c r="L61" s="39"/>
      <c r="M61" s="39"/>
    </row>
  </sheetData>
  <mergeCells count="2">
    <mergeCell ref="K19:L20"/>
    <mergeCell ref="G45:I45"/>
  </mergeCells>
  <pageMargins left="0.75" right="0.75" top="1" bottom="1" header="0.5" footer="0.5"/>
  <pageSetup scale="61" orientation="landscape" horizontalDpi="4294967292" vertic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2BA7-637D-DF4D-8051-0C98D6C80297}">
  <sheetPr codeName="Sheet10"/>
  <dimension ref="A1:H29"/>
  <sheetViews>
    <sheetView workbookViewId="0">
      <selection activeCell="A28" sqref="A28"/>
    </sheetView>
  </sheetViews>
  <sheetFormatPr defaultColWidth="8.796875" defaultRowHeight="14.4"/>
  <cols>
    <col min="1" max="1" width="44.796875" style="126" customWidth="1"/>
    <col min="2" max="2" width="10.5" style="126" customWidth="1"/>
    <col min="3" max="16384" width="8.796875" style="126"/>
  </cols>
  <sheetData>
    <row r="1" spans="1:7" s="32" customFormat="1" ht="18">
      <c r="A1" s="157" t="s">
        <v>1526</v>
      </c>
      <c r="D1" s="33"/>
    </row>
    <row r="2" spans="1:7" s="14" customFormat="1" ht="18">
      <c r="A2" s="157" t="s">
        <v>1539</v>
      </c>
      <c r="B2" s="34"/>
      <c r="F2" s="35"/>
      <c r="G2" s="35"/>
    </row>
    <row r="3" spans="1:7" customFormat="1" ht="15.6">
      <c r="A3" s="3" t="s">
        <v>28</v>
      </c>
      <c r="B3" t="s">
        <v>1506</v>
      </c>
    </row>
    <row r="4" spans="1:7" customFormat="1" ht="15.6">
      <c r="A4" s="3" t="s">
        <v>29</v>
      </c>
      <c r="B4" t="s">
        <v>1506</v>
      </c>
    </row>
    <row r="5" spans="1:7" customFormat="1" ht="15.6">
      <c r="A5" s="3" t="s">
        <v>30</v>
      </c>
      <c r="B5" t="s">
        <v>1430</v>
      </c>
    </row>
    <row r="6" spans="1:7" customFormat="1" ht="15.6"/>
    <row r="7" spans="1:7" customFormat="1" ht="15.6">
      <c r="A7" s="4" t="s">
        <v>1431</v>
      </c>
      <c r="G7" t="s">
        <v>1245</v>
      </c>
    </row>
    <row r="8" spans="1:7" customFormat="1" ht="15.6">
      <c r="G8" t="s">
        <v>1568</v>
      </c>
    </row>
    <row r="9" spans="1:7" customFormat="1" ht="15.6">
      <c r="A9" t="s">
        <v>1436</v>
      </c>
      <c r="B9">
        <v>8</v>
      </c>
      <c r="C9" t="s">
        <v>1442</v>
      </c>
    </row>
    <row r="10" spans="1:7" customFormat="1" ht="15.6">
      <c r="A10" t="s">
        <v>33</v>
      </c>
      <c r="B10">
        <v>92</v>
      </c>
      <c r="C10" t="s">
        <v>35</v>
      </c>
      <c r="D10" t="s">
        <v>1437</v>
      </c>
    </row>
    <row r="11" spans="1:7" customFormat="1" ht="15.6"/>
    <row r="12" spans="1:7" customFormat="1" ht="15.6">
      <c r="A12" t="s">
        <v>1252</v>
      </c>
      <c r="B12" s="9">
        <v>57</v>
      </c>
      <c r="C12" t="s">
        <v>1254</v>
      </c>
    </row>
    <row r="13" spans="1:7" customFormat="1" ht="15.6">
      <c r="A13" t="s">
        <v>1253</v>
      </c>
      <c r="B13" s="9">
        <v>140</v>
      </c>
      <c r="C13" t="s">
        <v>1256</v>
      </c>
    </row>
    <row r="14" spans="1:7" customFormat="1" ht="15.6">
      <c r="B14" s="9">
        <f>CONVERT(B13,"F","K")</f>
        <v>333.15</v>
      </c>
      <c r="C14" t="s">
        <v>1433</v>
      </c>
    </row>
    <row r="16" spans="1:7">
      <c r="A16" s="126" t="s">
        <v>1432</v>
      </c>
      <c r="B16" s="130">
        <f>22.4*(B14/273.18)</f>
        <v>27.317373160553476</v>
      </c>
      <c r="C16" s="126" t="s">
        <v>1434</v>
      </c>
    </row>
    <row r="17" spans="1:8">
      <c r="A17" s="126" t="s">
        <v>1435</v>
      </c>
      <c r="B17" s="132">
        <v>0.9</v>
      </c>
    </row>
    <row r="19" spans="1:8" ht="30" customHeight="1">
      <c r="G19" s="412" t="s">
        <v>1441</v>
      </c>
      <c r="H19" s="412"/>
    </row>
    <row r="20" spans="1:8" ht="28.8">
      <c r="A20" s="133" t="s">
        <v>1269</v>
      </c>
      <c r="B20" s="133" t="s">
        <v>24</v>
      </c>
      <c r="C20" s="133" t="s">
        <v>1451</v>
      </c>
      <c r="D20" s="133" t="s">
        <v>1427</v>
      </c>
      <c r="E20" s="133" t="s">
        <v>1452</v>
      </c>
      <c r="F20" s="133" t="s">
        <v>1438</v>
      </c>
      <c r="G20" s="133" t="s">
        <v>1439</v>
      </c>
      <c r="H20" s="133" t="s">
        <v>1440</v>
      </c>
    </row>
    <row r="21" spans="1:8" ht="19.05" customHeight="1">
      <c r="A21" s="126" t="s">
        <v>1428</v>
      </c>
      <c r="B21" s="126" t="s">
        <v>225</v>
      </c>
      <c r="C21" s="193">
        <f>(42+51)/2</f>
        <v>46.5</v>
      </c>
      <c r="D21" s="126">
        <v>76.138999999999996</v>
      </c>
      <c r="E21" s="128">
        <f>C21/1000000*$B$12*60/$B$16*D21/453.59*28.32</f>
        <v>2.7674327103167824E-2</v>
      </c>
      <c r="F21" s="126">
        <f>E21*(1-$B$17)</f>
        <v>2.7674327103167817E-3</v>
      </c>
      <c r="G21" s="180">
        <f>F21*$B$9</f>
        <v>2.2139461682534254E-2</v>
      </c>
      <c r="H21" s="180">
        <f>F21*$B$10</f>
        <v>0.25460380934914389</v>
      </c>
    </row>
    <row r="22" spans="1:8" ht="19.05" customHeight="1">
      <c r="A22" s="126" t="s">
        <v>1429</v>
      </c>
      <c r="B22" s="126" t="s">
        <v>229</v>
      </c>
      <c r="C22" s="126">
        <v>510</v>
      </c>
      <c r="D22" s="126">
        <v>60.07</v>
      </c>
      <c r="E22" s="127">
        <f t="shared" ref="E22:E28" si="0">C22/1000000*$B$12*60/$B$16*D22/453.59*28.32</f>
        <v>0.23946649438259099</v>
      </c>
      <c r="F22" s="128">
        <f t="shared" ref="F22:F28" si="1">E22*(1-$B$17)</f>
        <v>2.3946649438259093E-2</v>
      </c>
      <c r="G22" s="180">
        <f t="shared" ref="G22:G28" si="2">F22*$B$9</f>
        <v>0.19157319550607274</v>
      </c>
      <c r="H22" s="180">
        <f t="shared" ref="H22:H28" si="3">F22*$B$10</f>
        <v>2.2030917483198365</v>
      </c>
    </row>
    <row r="23" spans="1:8" ht="19.05" customHeight="1">
      <c r="A23" s="126" t="s">
        <v>1262</v>
      </c>
      <c r="B23" s="126" t="s">
        <v>590</v>
      </c>
      <c r="C23" s="126">
        <v>7500</v>
      </c>
      <c r="D23" s="126">
        <v>34.1</v>
      </c>
      <c r="E23" s="127">
        <f t="shared" si="0"/>
        <v>1.9990911237003772</v>
      </c>
      <c r="F23" s="127">
        <f t="shared" si="1"/>
        <v>0.19990911237003767</v>
      </c>
      <c r="G23" s="180">
        <f t="shared" si="2"/>
        <v>1.5992728989603013</v>
      </c>
      <c r="H23" s="180">
        <f t="shared" si="3"/>
        <v>18.391638338043464</v>
      </c>
    </row>
    <row r="24" spans="1:8" ht="19.05" customHeight="1">
      <c r="A24" s="126" t="s">
        <v>47</v>
      </c>
      <c r="B24" s="126" t="s">
        <v>46</v>
      </c>
      <c r="C24" s="126">
        <v>390</v>
      </c>
      <c r="D24" s="126">
        <v>58.08</v>
      </c>
      <c r="E24" s="127">
        <f t="shared" si="0"/>
        <v>0.17705498674941147</v>
      </c>
      <c r="F24" s="128">
        <f t="shared" si="1"/>
        <v>1.7705498674941145E-2</v>
      </c>
      <c r="G24" s="180">
        <f t="shared" si="2"/>
        <v>0.14164398939952916</v>
      </c>
      <c r="H24" s="180">
        <f t="shared" si="3"/>
        <v>1.6289058780945853</v>
      </c>
    </row>
    <row r="25" spans="1:8" ht="19.05" customHeight="1">
      <c r="A25" s="126" t="s">
        <v>148</v>
      </c>
      <c r="B25" s="126" t="s">
        <v>147</v>
      </c>
      <c r="C25" s="126">
        <v>87</v>
      </c>
      <c r="D25" s="126">
        <v>78.11</v>
      </c>
      <c r="E25" s="128">
        <f t="shared" si="0"/>
        <v>5.3118137507271047E-2</v>
      </c>
      <c r="F25" s="129">
        <f t="shared" si="1"/>
        <v>5.3118137507271032E-3</v>
      </c>
      <c r="G25" s="180">
        <f t="shared" si="2"/>
        <v>4.2494510005816825E-2</v>
      </c>
      <c r="H25" s="180">
        <f t="shared" si="3"/>
        <v>0.48868686506689352</v>
      </c>
    </row>
    <row r="26" spans="1:8" ht="19.05" customHeight="1">
      <c r="A26" s="126" t="s">
        <v>196</v>
      </c>
      <c r="B26" s="126" t="s">
        <v>195</v>
      </c>
      <c r="C26" s="126">
        <v>37</v>
      </c>
      <c r="D26" s="126">
        <v>72.11</v>
      </c>
      <c r="E26" s="128">
        <f t="shared" si="0"/>
        <v>2.0855190828587548E-2</v>
      </c>
      <c r="F26" s="129">
        <f t="shared" si="1"/>
        <v>2.0855190828587542E-3</v>
      </c>
      <c r="G26" s="180">
        <f t="shared" si="2"/>
        <v>1.6684152662870034E-2</v>
      </c>
      <c r="H26" s="180">
        <f t="shared" si="3"/>
        <v>0.1918677556230054</v>
      </c>
    </row>
    <row r="27" spans="1:8" ht="19.05" customHeight="1">
      <c r="A27" s="126" t="s">
        <v>271</v>
      </c>
      <c r="B27" s="126" t="s">
        <v>270</v>
      </c>
      <c r="C27" s="126">
        <v>13</v>
      </c>
      <c r="D27" s="126">
        <v>64.510000000000005</v>
      </c>
      <c r="E27" s="129">
        <f t="shared" si="0"/>
        <v>6.5552210716279457E-3</v>
      </c>
      <c r="F27" s="131">
        <f t="shared" si="1"/>
        <v>6.5552210716279444E-4</v>
      </c>
      <c r="G27" s="180">
        <f t="shared" si="2"/>
        <v>5.2441768573023555E-3</v>
      </c>
      <c r="H27" s="180">
        <f t="shared" si="3"/>
        <v>6.0308033858977088E-2</v>
      </c>
    </row>
    <row r="28" spans="1:8" ht="19.05" customHeight="1">
      <c r="A28" s="126" t="s">
        <v>1223</v>
      </c>
      <c r="B28" s="126" t="s">
        <v>1222</v>
      </c>
      <c r="C28" s="126">
        <v>21</v>
      </c>
      <c r="D28" s="126">
        <v>106.16</v>
      </c>
      <c r="E28" s="128">
        <f t="shared" si="0"/>
        <v>1.7425977663861867E-2</v>
      </c>
      <c r="F28" s="129">
        <f t="shared" si="1"/>
        <v>1.7425977663861863E-3</v>
      </c>
      <c r="G28" s="180">
        <f t="shared" si="2"/>
        <v>1.394078213108949E-2</v>
      </c>
      <c r="H28" s="180">
        <f t="shared" si="3"/>
        <v>0.16031899450752915</v>
      </c>
    </row>
    <row r="29" spans="1:8">
      <c r="G29" s="128"/>
      <c r="H29" s="128"/>
    </row>
  </sheetData>
  <mergeCells count="1">
    <mergeCell ref="G19:H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2DA1-78C4-6043-B564-31722D4D83BB}">
  <sheetPr codeName="Sheet11"/>
  <dimension ref="A1:C7"/>
  <sheetViews>
    <sheetView workbookViewId="0"/>
  </sheetViews>
  <sheetFormatPr defaultColWidth="11" defaultRowHeight="15.6"/>
  <cols>
    <col min="1" max="1" width="26.796875" customWidth="1"/>
  </cols>
  <sheetData>
    <row r="1" spans="1:3" ht="33" customHeight="1">
      <c r="A1" s="1" t="s">
        <v>1453</v>
      </c>
      <c r="B1" s="1" t="s">
        <v>1440</v>
      </c>
      <c r="C1" s="1" t="s">
        <v>1439</v>
      </c>
    </row>
    <row r="2" spans="1:3" ht="22.05" customHeight="1">
      <c r="A2" t="s">
        <v>1454</v>
      </c>
      <c r="B2" s="29">
        <f>Tabl_B1_RTO!D206</f>
        <v>6134.8519367993867</v>
      </c>
      <c r="C2" s="29">
        <f>Tabl_B1_RTO!E206</f>
        <v>16.807813525477769</v>
      </c>
    </row>
    <row r="3" spans="1:3" ht="22.05" customHeight="1">
      <c r="A3" t="s">
        <v>1455</v>
      </c>
      <c r="B3" s="29">
        <f>Tabl_B6_Carbon_BU!H29</f>
        <v>0</v>
      </c>
      <c r="C3" s="29">
        <f>Tabl_B6_Carbon_BU!G29</f>
        <v>0</v>
      </c>
    </row>
    <row r="4" spans="1:3" ht="22.05" customHeight="1">
      <c r="A4" t="s">
        <v>14</v>
      </c>
      <c r="B4" s="29" t="e">
        <f>Tabl_B4_Tanks!#REF!</f>
        <v>#REF!</v>
      </c>
      <c r="C4" s="29" t="e">
        <f>Tabl_B4_Tanks!#REF!</f>
        <v>#REF!</v>
      </c>
    </row>
    <row r="5" spans="1:3" ht="22.05" customHeight="1">
      <c r="A5" t="s">
        <v>1456</v>
      </c>
      <c r="B5" s="29">
        <f>Tabl_B2_Fug!B75</f>
        <v>0</v>
      </c>
      <c r="C5" s="29">
        <f>Tabl_B2_Fug!B76</f>
        <v>0</v>
      </c>
    </row>
    <row r="6" spans="1:3" ht="22.05" customHeight="1">
      <c r="A6" t="s">
        <v>1457</v>
      </c>
      <c r="B6" s="29">
        <f>Tabl_B5_TLoad!E58</f>
        <v>45.826778947138052</v>
      </c>
      <c r="C6" s="29">
        <f>Tabl_B5_TLoad!D58</f>
        <v>0.12555281903325494</v>
      </c>
    </row>
    <row r="7" spans="1:3" ht="22.05" customHeight="1">
      <c r="A7" s="122" t="s">
        <v>1458</v>
      </c>
      <c r="B7" s="139" t="e">
        <f>SUM(B2:B6)</f>
        <v>#REF!</v>
      </c>
      <c r="C7" s="139" t="e">
        <f>SUM(C2:C6)</f>
        <v>#REF!</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C1BC-3595-9047-8B20-037F2EBBA3FC}">
  <sheetPr codeName="Sheet6"/>
  <dimension ref="A3:I611"/>
  <sheetViews>
    <sheetView workbookViewId="0"/>
  </sheetViews>
  <sheetFormatPr defaultColWidth="11" defaultRowHeight="15.6"/>
  <cols>
    <col min="1" max="1" width="18.19921875" customWidth="1"/>
    <col min="2" max="2" width="55.19921875" customWidth="1"/>
    <col min="3" max="3" width="18.19921875" customWidth="1"/>
    <col min="5" max="5" width="30.5" customWidth="1"/>
    <col min="6" max="6" width="19.296875" customWidth="1"/>
    <col min="8" max="8" width="16.5" customWidth="1"/>
  </cols>
  <sheetData>
    <row r="3" spans="1:9" ht="31.2">
      <c r="A3" t="s">
        <v>36</v>
      </c>
      <c r="B3" t="s">
        <v>37</v>
      </c>
      <c r="C3" t="s">
        <v>36</v>
      </c>
      <c r="E3" s="6" t="s">
        <v>1244</v>
      </c>
      <c r="F3" s="1" t="s">
        <v>38</v>
      </c>
      <c r="G3" s="6"/>
      <c r="H3" s="1" t="s">
        <v>39</v>
      </c>
    </row>
    <row r="4" spans="1:9">
      <c r="A4" t="s">
        <v>40</v>
      </c>
      <c r="B4" t="s">
        <v>41</v>
      </c>
      <c r="C4" t="s">
        <v>40</v>
      </c>
      <c r="E4" t="s">
        <v>88</v>
      </c>
      <c r="F4" t="str">
        <f t="shared" ref="F4:F48" si="0">VLOOKUP(E4,$B$4:$C$611,2,FALSE)</f>
        <v>91-57-6</v>
      </c>
      <c r="H4" t="s">
        <v>195</v>
      </c>
      <c r="I4" t="str">
        <f t="shared" ref="I4:I12" si="1">VLOOKUP(H4,$A$4:$B$524,2,FALSE)</f>
        <v>2-Butanone (Methyl ethyl ketone)</v>
      </c>
    </row>
    <row r="5" spans="1:9">
      <c r="A5" t="s">
        <v>43</v>
      </c>
      <c r="B5" t="s">
        <v>44</v>
      </c>
      <c r="C5" t="s">
        <v>43</v>
      </c>
      <c r="E5" t="s">
        <v>693</v>
      </c>
      <c r="F5" t="str">
        <f t="shared" si="0"/>
        <v>91-20-3</v>
      </c>
      <c r="H5" t="s">
        <v>604</v>
      </c>
      <c r="I5" t="str">
        <f t="shared" si="1"/>
        <v>Isopropylbenzene (Cumene)</v>
      </c>
    </row>
    <row r="6" spans="1:9">
      <c r="A6" t="s">
        <v>46</v>
      </c>
      <c r="B6" t="s">
        <v>47</v>
      </c>
      <c r="C6" t="s">
        <v>46</v>
      </c>
      <c r="E6" t="s">
        <v>814</v>
      </c>
      <c r="F6" t="str">
        <f t="shared" si="0"/>
        <v>108-95-2</v>
      </c>
      <c r="I6" t="e">
        <f t="shared" si="1"/>
        <v>#N/A</v>
      </c>
    </row>
    <row r="7" spans="1:9">
      <c r="A7" t="s">
        <v>49</v>
      </c>
      <c r="B7" t="s">
        <v>50</v>
      </c>
      <c r="C7" t="s">
        <v>49</v>
      </c>
      <c r="E7" t="s">
        <v>313</v>
      </c>
      <c r="F7" t="str">
        <f t="shared" si="0"/>
        <v>1319-77-3</v>
      </c>
      <c r="I7" t="e">
        <f t="shared" si="1"/>
        <v>#N/A</v>
      </c>
    </row>
    <row r="8" spans="1:9">
      <c r="A8" t="s">
        <v>52</v>
      </c>
      <c r="B8" t="s">
        <v>53</v>
      </c>
      <c r="C8" t="s">
        <v>52</v>
      </c>
      <c r="E8" t="s">
        <v>148</v>
      </c>
      <c r="F8" t="str">
        <f t="shared" si="0"/>
        <v>71-43-2</v>
      </c>
      <c r="I8" t="e">
        <f t="shared" si="1"/>
        <v>#N/A</v>
      </c>
    </row>
    <row r="9" spans="1:9">
      <c r="A9" t="s">
        <v>55</v>
      </c>
      <c r="B9" t="s">
        <v>56</v>
      </c>
      <c r="C9" t="s">
        <v>55</v>
      </c>
      <c r="E9" t="s">
        <v>499</v>
      </c>
      <c r="F9" t="str">
        <f t="shared" si="0"/>
        <v>100-41-4</v>
      </c>
      <c r="I9" t="e">
        <f t="shared" si="1"/>
        <v>#N/A</v>
      </c>
    </row>
    <row r="10" spans="1:9">
      <c r="A10" t="s">
        <v>58</v>
      </c>
      <c r="B10" t="s">
        <v>59</v>
      </c>
      <c r="C10" t="s">
        <v>58</v>
      </c>
      <c r="E10" s="124" t="s">
        <v>605</v>
      </c>
      <c r="F10" t="str">
        <f t="shared" si="0"/>
        <v>98-82-8</v>
      </c>
      <c r="I10" t="e">
        <f t="shared" si="1"/>
        <v>#N/A</v>
      </c>
    </row>
    <row r="11" spans="1:9">
      <c r="A11" t="s">
        <v>61</v>
      </c>
      <c r="B11" t="s">
        <v>62</v>
      </c>
      <c r="C11" t="s">
        <v>61</v>
      </c>
      <c r="E11" t="s">
        <v>1129</v>
      </c>
      <c r="F11" t="str">
        <f t="shared" si="0"/>
        <v>108-88-3</v>
      </c>
      <c r="I11" t="e">
        <f t="shared" si="1"/>
        <v>#N/A</v>
      </c>
    </row>
    <row r="12" spans="1:9">
      <c r="A12" t="s">
        <v>64</v>
      </c>
      <c r="B12" t="s">
        <v>65</v>
      </c>
      <c r="C12" t="s">
        <v>64</v>
      </c>
      <c r="E12" t="s">
        <v>579</v>
      </c>
      <c r="F12" t="str">
        <f t="shared" si="0"/>
        <v>110-54-3</v>
      </c>
      <c r="I12" t="e">
        <f t="shared" si="1"/>
        <v>#N/A</v>
      </c>
    </row>
    <row r="13" spans="1:9">
      <c r="A13" t="s">
        <v>67</v>
      </c>
      <c r="B13" t="s">
        <v>68</v>
      </c>
      <c r="C13" t="s">
        <v>67</v>
      </c>
      <c r="E13" t="s">
        <v>1223</v>
      </c>
      <c r="F13" t="str">
        <f t="shared" si="0"/>
        <v>1330-20-7</v>
      </c>
      <c r="I13" t="e">
        <f>VLOOKUP(H13,$A$4:$B$524,2,FALSE)</f>
        <v>#N/A</v>
      </c>
    </row>
    <row r="14" spans="1:9">
      <c r="A14" t="s">
        <v>71</v>
      </c>
      <c r="B14" t="s">
        <v>72</v>
      </c>
      <c r="C14" t="s">
        <v>71</v>
      </c>
      <c r="E14" t="s">
        <v>591</v>
      </c>
      <c r="F14" t="str">
        <f t="shared" si="0"/>
        <v>7783-06-4</v>
      </c>
      <c r="I14" t="e">
        <f t="shared" ref="I14:I35" si="2">VLOOKUP(H14,$A$4:$B$524,2,FALSE)</f>
        <v>#N/A</v>
      </c>
    </row>
    <row r="15" spans="1:9">
      <c r="A15" t="s">
        <v>74</v>
      </c>
      <c r="B15" t="s">
        <v>75</v>
      </c>
      <c r="C15" t="s">
        <v>74</v>
      </c>
      <c r="F15" t="e">
        <f t="shared" si="0"/>
        <v>#N/A</v>
      </c>
      <c r="I15" t="e">
        <f t="shared" si="2"/>
        <v>#N/A</v>
      </c>
    </row>
    <row r="16" spans="1:9">
      <c r="A16" t="s">
        <v>77</v>
      </c>
      <c r="B16" t="s">
        <v>78</v>
      </c>
      <c r="C16" t="s">
        <v>77</v>
      </c>
      <c r="F16" t="e">
        <f t="shared" si="0"/>
        <v>#N/A</v>
      </c>
      <c r="I16" t="e">
        <f t="shared" si="2"/>
        <v>#N/A</v>
      </c>
    </row>
    <row r="17" spans="1:9">
      <c r="A17" t="s">
        <v>80</v>
      </c>
      <c r="B17" t="s">
        <v>81</v>
      </c>
      <c r="C17" t="s">
        <v>80</v>
      </c>
      <c r="F17" t="e">
        <f t="shared" si="0"/>
        <v>#N/A</v>
      </c>
      <c r="I17" t="e">
        <f t="shared" si="2"/>
        <v>#N/A</v>
      </c>
    </row>
    <row r="18" spans="1:9">
      <c r="A18" t="s">
        <v>83</v>
      </c>
      <c r="B18" t="s">
        <v>84</v>
      </c>
      <c r="C18" t="s">
        <v>83</v>
      </c>
      <c r="F18" t="e">
        <f t="shared" si="0"/>
        <v>#N/A</v>
      </c>
      <c r="I18" t="e">
        <f t="shared" si="2"/>
        <v>#N/A</v>
      </c>
    </row>
    <row r="19" spans="1:9">
      <c r="A19" t="s">
        <v>86</v>
      </c>
      <c r="B19" t="s">
        <v>87</v>
      </c>
      <c r="C19" t="s">
        <v>86</v>
      </c>
      <c r="F19" t="e">
        <f t="shared" si="0"/>
        <v>#N/A</v>
      </c>
      <c r="I19" t="e">
        <f t="shared" si="2"/>
        <v>#N/A</v>
      </c>
    </row>
    <row r="20" spans="1:9">
      <c r="A20" t="s">
        <v>89</v>
      </c>
      <c r="B20" t="s">
        <v>90</v>
      </c>
      <c r="C20" t="s">
        <v>89</v>
      </c>
      <c r="F20" t="e">
        <f t="shared" si="0"/>
        <v>#N/A</v>
      </c>
      <c r="I20" t="e">
        <f t="shared" si="2"/>
        <v>#N/A</v>
      </c>
    </row>
    <row r="21" spans="1:9">
      <c r="A21" t="s">
        <v>92</v>
      </c>
      <c r="B21" t="s">
        <v>93</v>
      </c>
      <c r="C21" t="s">
        <v>92</v>
      </c>
      <c r="F21" t="e">
        <f t="shared" si="0"/>
        <v>#N/A</v>
      </c>
      <c r="I21" t="e">
        <f t="shared" si="2"/>
        <v>#N/A</v>
      </c>
    </row>
    <row r="22" spans="1:9">
      <c r="A22" t="s">
        <v>95</v>
      </c>
      <c r="B22" t="s">
        <v>96</v>
      </c>
      <c r="C22" t="s">
        <v>95</v>
      </c>
      <c r="F22" t="e">
        <f t="shared" si="0"/>
        <v>#N/A</v>
      </c>
      <c r="I22" t="e">
        <f t="shared" si="2"/>
        <v>#N/A</v>
      </c>
    </row>
    <row r="23" spans="1:9">
      <c r="A23" t="s">
        <v>98</v>
      </c>
      <c r="B23" t="s">
        <v>99</v>
      </c>
      <c r="C23" t="s">
        <v>98</v>
      </c>
      <c r="F23" t="e">
        <f t="shared" si="0"/>
        <v>#N/A</v>
      </c>
      <c r="I23" t="e">
        <f t="shared" si="2"/>
        <v>#N/A</v>
      </c>
    </row>
    <row r="24" spans="1:9">
      <c r="A24" t="s">
        <v>100</v>
      </c>
      <c r="B24" t="s">
        <v>101</v>
      </c>
      <c r="C24" t="s">
        <v>100</v>
      </c>
      <c r="F24" t="e">
        <f t="shared" si="0"/>
        <v>#N/A</v>
      </c>
      <c r="I24" t="e">
        <f t="shared" si="2"/>
        <v>#N/A</v>
      </c>
    </row>
    <row r="25" spans="1:9">
      <c r="A25" t="s">
        <v>102</v>
      </c>
      <c r="B25" t="s">
        <v>103</v>
      </c>
      <c r="C25" t="s">
        <v>102</v>
      </c>
      <c r="F25" t="e">
        <f t="shared" si="0"/>
        <v>#N/A</v>
      </c>
      <c r="I25" t="e">
        <f t="shared" si="2"/>
        <v>#N/A</v>
      </c>
    </row>
    <row r="26" spans="1:9">
      <c r="A26" t="s">
        <v>104</v>
      </c>
      <c r="B26" t="s">
        <v>105</v>
      </c>
      <c r="C26" t="s">
        <v>104</v>
      </c>
      <c r="F26" t="e">
        <f t="shared" si="0"/>
        <v>#N/A</v>
      </c>
      <c r="I26" t="e">
        <f t="shared" si="2"/>
        <v>#N/A</v>
      </c>
    </row>
    <row r="27" spans="1:9">
      <c r="A27" t="s">
        <v>107</v>
      </c>
      <c r="B27" t="s">
        <v>108</v>
      </c>
      <c r="C27" t="s">
        <v>107</v>
      </c>
      <c r="F27" t="e">
        <f t="shared" si="0"/>
        <v>#N/A</v>
      </c>
      <c r="I27" t="e">
        <f t="shared" si="2"/>
        <v>#N/A</v>
      </c>
    </row>
    <row r="28" spans="1:9">
      <c r="A28" t="s">
        <v>109</v>
      </c>
      <c r="B28" t="s">
        <v>110</v>
      </c>
      <c r="C28" t="s">
        <v>109</v>
      </c>
      <c r="F28" t="e">
        <f t="shared" si="0"/>
        <v>#N/A</v>
      </c>
      <c r="I28" t="e">
        <f t="shared" si="2"/>
        <v>#N/A</v>
      </c>
    </row>
    <row r="29" spans="1:9">
      <c r="A29" t="s">
        <v>111</v>
      </c>
      <c r="B29" t="s">
        <v>112</v>
      </c>
      <c r="C29" t="s">
        <v>111</v>
      </c>
      <c r="F29" t="e">
        <f t="shared" si="0"/>
        <v>#N/A</v>
      </c>
      <c r="I29" t="e">
        <f t="shared" si="2"/>
        <v>#N/A</v>
      </c>
    </row>
    <row r="30" spans="1:9">
      <c r="A30" t="s">
        <v>113</v>
      </c>
      <c r="B30" t="s">
        <v>114</v>
      </c>
      <c r="C30" t="s">
        <v>113</v>
      </c>
      <c r="F30" t="e">
        <f t="shared" si="0"/>
        <v>#N/A</v>
      </c>
      <c r="I30" t="e">
        <f t="shared" si="2"/>
        <v>#N/A</v>
      </c>
    </row>
    <row r="31" spans="1:9">
      <c r="A31" t="s">
        <v>115</v>
      </c>
      <c r="B31" t="s">
        <v>116</v>
      </c>
      <c r="C31" t="s">
        <v>115</v>
      </c>
      <c r="F31" t="e">
        <f t="shared" si="0"/>
        <v>#N/A</v>
      </c>
      <c r="I31" t="e">
        <f t="shared" si="2"/>
        <v>#N/A</v>
      </c>
    </row>
    <row r="32" spans="1:9">
      <c r="A32" t="s">
        <v>117</v>
      </c>
      <c r="B32" t="s">
        <v>118</v>
      </c>
      <c r="C32" t="s">
        <v>117</v>
      </c>
      <c r="F32" t="e">
        <f t="shared" si="0"/>
        <v>#N/A</v>
      </c>
      <c r="I32" t="e">
        <f t="shared" si="2"/>
        <v>#N/A</v>
      </c>
    </row>
    <row r="33" spans="1:9">
      <c r="A33" t="s">
        <v>119</v>
      </c>
      <c r="B33" t="s">
        <v>120</v>
      </c>
      <c r="C33" t="s">
        <v>119</v>
      </c>
      <c r="F33" t="e">
        <f t="shared" si="0"/>
        <v>#N/A</v>
      </c>
      <c r="I33" t="e">
        <f t="shared" si="2"/>
        <v>#N/A</v>
      </c>
    </row>
    <row r="34" spans="1:9">
      <c r="A34" t="s">
        <v>121</v>
      </c>
      <c r="B34" t="s">
        <v>122</v>
      </c>
      <c r="C34" t="s">
        <v>121</v>
      </c>
      <c r="F34" t="e">
        <f t="shared" si="0"/>
        <v>#N/A</v>
      </c>
      <c r="I34" t="e">
        <f t="shared" si="2"/>
        <v>#N/A</v>
      </c>
    </row>
    <row r="35" spans="1:9">
      <c r="A35" t="s">
        <v>123</v>
      </c>
      <c r="B35" t="s">
        <v>124</v>
      </c>
      <c r="C35" t="s">
        <v>123</v>
      </c>
      <c r="F35" t="e">
        <f t="shared" si="0"/>
        <v>#N/A</v>
      </c>
      <c r="I35" t="e">
        <f t="shared" si="2"/>
        <v>#N/A</v>
      </c>
    </row>
    <row r="36" spans="1:9">
      <c r="A36" t="s">
        <v>125</v>
      </c>
      <c r="B36" t="s">
        <v>126</v>
      </c>
      <c r="C36" t="s">
        <v>125</v>
      </c>
      <c r="F36" t="e">
        <f t="shared" si="0"/>
        <v>#N/A</v>
      </c>
    </row>
    <row r="37" spans="1:9">
      <c r="A37" t="s">
        <v>127</v>
      </c>
      <c r="B37" t="s">
        <v>128</v>
      </c>
      <c r="C37" t="s">
        <v>127</v>
      </c>
      <c r="F37" t="e">
        <f t="shared" si="0"/>
        <v>#N/A</v>
      </c>
    </row>
    <row r="38" spans="1:9">
      <c r="A38" t="s">
        <v>129</v>
      </c>
      <c r="B38" t="s">
        <v>130</v>
      </c>
      <c r="C38" t="s">
        <v>129</v>
      </c>
      <c r="F38" t="e">
        <f t="shared" si="0"/>
        <v>#N/A</v>
      </c>
    </row>
    <row r="39" spans="1:9">
      <c r="A39" t="s">
        <v>131</v>
      </c>
      <c r="B39" t="s">
        <v>132</v>
      </c>
      <c r="C39" t="s">
        <v>131</v>
      </c>
      <c r="F39" t="e">
        <f t="shared" si="0"/>
        <v>#N/A</v>
      </c>
    </row>
    <row r="40" spans="1:9">
      <c r="A40" t="s">
        <v>133</v>
      </c>
      <c r="B40" t="s">
        <v>134</v>
      </c>
      <c r="C40" t="s">
        <v>133</v>
      </c>
      <c r="F40" t="e">
        <f t="shared" si="0"/>
        <v>#N/A</v>
      </c>
    </row>
    <row r="41" spans="1:9">
      <c r="A41" t="s">
        <v>135</v>
      </c>
      <c r="B41" t="s">
        <v>136</v>
      </c>
      <c r="C41" t="s">
        <v>135</v>
      </c>
      <c r="F41" t="e">
        <f t="shared" si="0"/>
        <v>#N/A</v>
      </c>
    </row>
    <row r="42" spans="1:9">
      <c r="A42" t="s">
        <v>137</v>
      </c>
      <c r="B42" t="s">
        <v>138</v>
      </c>
      <c r="C42" t="s">
        <v>137</v>
      </c>
      <c r="F42" t="e">
        <f t="shared" si="0"/>
        <v>#N/A</v>
      </c>
    </row>
    <row r="43" spans="1:9">
      <c r="A43" t="s">
        <v>139</v>
      </c>
      <c r="B43" t="s">
        <v>140</v>
      </c>
      <c r="C43" t="s">
        <v>139</v>
      </c>
      <c r="F43" t="e">
        <f t="shared" si="0"/>
        <v>#N/A</v>
      </c>
    </row>
    <row r="44" spans="1:9">
      <c r="A44" t="s">
        <v>141</v>
      </c>
      <c r="B44" t="s">
        <v>142</v>
      </c>
      <c r="C44" t="s">
        <v>141</v>
      </c>
      <c r="F44" t="e">
        <f t="shared" si="0"/>
        <v>#N/A</v>
      </c>
    </row>
    <row r="45" spans="1:9">
      <c r="A45" t="s">
        <v>143</v>
      </c>
      <c r="B45" t="s">
        <v>144</v>
      </c>
      <c r="C45" t="s">
        <v>143</v>
      </c>
      <c r="F45" t="e">
        <f t="shared" si="0"/>
        <v>#N/A</v>
      </c>
    </row>
    <row r="46" spans="1:9">
      <c r="A46" t="s">
        <v>145</v>
      </c>
      <c r="B46" t="s">
        <v>146</v>
      </c>
      <c r="C46" t="s">
        <v>145</v>
      </c>
      <c r="F46" t="e">
        <f t="shared" si="0"/>
        <v>#N/A</v>
      </c>
    </row>
    <row r="47" spans="1:9">
      <c r="A47" t="s">
        <v>147</v>
      </c>
      <c r="B47" t="s">
        <v>148</v>
      </c>
      <c r="C47" t="s">
        <v>147</v>
      </c>
      <c r="F47" t="e">
        <f t="shared" si="0"/>
        <v>#N/A</v>
      </c>
    </row>
    <row r="48" spans="1:9">
      <c r="A48" t="s">
        <v>149</v>
      </c>
      <c r="B48" t="s">
        <v>150</v>
      </c>
      <c r="C48" t="s">
        <v>149</v>
      </c>
      <c r="F48" t="e">
        <f t="shared" si="0"/>
        <v>#N/A</v>
      </c>
    </row>
    <row r="49" spans="1:3">
      <c r="A49" t="s">
        <v>151</v>
      </c>
      <c r="B49" t="s">
        <v>152</v>
      </c>
      <c r="C49" t="s">
        <v>151</v>
      </c>
    </row>
    <row r="50" spans="1:3">
      <c r="A50" t="s">
        <v>153</v>
      </c>
      <c r="B50" t="s">
        <v>154</v>
      </c>
      <c r="C50" t="s">
        <v>153</v>
      </c>
    </row>
    <row r="51" spans="1:3">
      <c r="A51" t="s">
        <v>155</v>
      </c>
      <c r="B51" t="s">
        <v>156</v>
      </c>
      <c r="C51" t="s">
        <v>155</v>
      </c>
    </row>
    <row r="52" spans="1:3">
      <c r="A52" t="s">
        <v>157</v>
      </c>
      <c r="B52" t="s">
        <v>158</v>
      </c>
      <c r="C52" t="s">
        <v>157</v>
      </c>
    </row>
    <row r="53" spans="1:3">
      <c r="A53" t="s">
        <v>159</v>
      </c>
      <c r="B53" t="s">
        <v>160</v>
      </c>
      <c r="C53" t="s">
        <v>159</v>
      </c>
    </row>
    <row r="54" spans="1:3">
      <c r="A54" t="s">
        <v>161</v>
      </c>
      <c r="B54" t="s">
        <v>162</v>
      </c>
      <c r="C54" t="s">
        <v>161</v>
      </c>
    </row>
    <row r="55" spans="1:3">
      <c r="A55" t="s">
        <v>163</v>
      </c>
      <c r="B55" t="s">
        <v>164</v>
      </c>
      <c r="C55" t="s">
        <v>163</v>
      </c>
    </row>
    <row r="56" spans="1:3">
      <c r="A56" t="s">
        <v>165</v>
      </c>
      <c r="B56" t="s">
        <v>166</v>
      </c>
      <c r="C56" t="s">
        <v>165</v>
      </c>
    </row>
    <row r="57" spans="1:3">
      <c r="A57" t="s">
        <v>167</v>
      </c>
      <c r="B57" t="s">
        <v>168</v>
      </c>
      <c r="C57" t="s">
        <v>167</v>
      </c>
    </row>
    <row r="58" spans="1:3">
      <c r="A58" t="s">
        <v>169</v>
      </c>
      <c r="B58" t="s">
        <v>170</v>
      </c>
      <c r="C58" t="s">
        <v>169</v>
      </c>
    </row>
    <row r="59" spans="1:3">
      <c r="A59" t="s">
        <v>171</v>
      </c>
      <c r="B59" t="s">
        <v>172</v>
      </c>
      <c r="C59" t="s">
        <v>171</v>
      </c>
    </row>
    <row r="60" spans="1:3">
      <c r="A60" t="s">
        <v>173</v>
      </c>
      <c r="B60" t="s">
        <v>174</v>
      </c>
      <c r="C60" t="s">
        <v>173</v>
      </c>
    </row>
    <row r="61" spans="1:3">
      <c r="A61" t="s">
        <v>175</v>
      </c>
      <c r="B61" t="s">
        <v>176</v>
      </c>
      <c r="C61" t="s">
        <v>175</v>
      </c>
    </row>
    <row r="62" spans="1:3">
      <c r="A62" t="s">
        <v>177</v>
      </c>
      <c r="B62" t="s">
        <v>178</v>
      </c>
      <c r="C62" t="s">
        <v>177</v>
      </c>
    </row>
    <row r="63" spans="1:3">
      <c r="A63" t="s">
        <v>179</v>
      </c>
      <c r="B63" t="s">
        <v>180</v>
      </c>
      <c r="C63" t="s">
        <v>179</v>
      </c>
    </row>
    <row r="64" spans="1:3">
      <c r="A64" t="s">
        <v>181</v>
      </c>
      <c r="B64" t="s">
        <v>182</v>
      </c>
      <c r="C64" t="s">
        <v>181</v>
      </c>
    </row>
    <row r="65" spans="1:3">
      <c r="A65" t="s">
        <v>183</v>
      </c>
      <c r="B65" t="s">
        <v>184</v>
      </c>
      <c r="C65" t="s">
        <v>183</v>
      </c>
    </row>
    <row r="66" spans="1:3">
      <c r="A66" t="s">
        <v>185</v>
      </c>
      <c r="B66" t="s">
        <v>186</v>
      </c>
      <c r="C66" t="s">
        <v>185</v>
      </c>
    </row>
    <row r="67" spans="1:3">
      <c r="A67" t="s">
        <v>187</v>
      </c>
      <c r="B67" t="s">
        <v>188</v>
      </c>
      <c r="C67" t="s">
        <v>187</v>
      </c>
    </row>
    <row r="68" spans="1:3">
      <c r="A68" t="s">
        <v>189</v>
      </c>
      <c r="B68" t="s">
        <v>190</v>
      </c>
      <c r="C68" t="s">
        <v>189</v>
      </c>
    </row>
    <row r="69" spans="1:3">
      <c r="A69" t="s">
        <v>191</v>
      </c>
      <c r="B69" t="s">
        <v>192</v>
      </c>
      <c r="C69" t="s">
        <v>191</v>
      </c>
    </row>
    <row r="70" spans="1:3">
      <c r="A70" t="s">
        <v>193</v>
      </c>
      <c r="B70" t="s">
        <v>194</v>
      </c>
      <c r="C70" t="s">
        <v>193</v>
      </c>
    </row>
    <row r="71" spans="1:3">
      <c r="A71" t="s">
        <v>195</v>
      </c>
      <c r="B71" t="s">
        <v>196</v>
      </c>
      <c r="C71" t="s">
        <v>195</v>
      </c>
    </row>
    <row r="72" spans="1:3">
      <c r="A72" t="s">
        <v>197</v>
      </c>
      <c r="B72" t="s">
        <v>198</v>
      </c>
      <c r="C72" t="s">
        <v>197</v>
      </c>
    </row>
    <row r="73" spans="1:3">
      <c r="A73" t="s">
        <v>199</v>
      </c>
      <c r="B73" t="s">
        <v>200</v>
      </c>
      <c r="C73" t="s">
        <v>199</v>
      </c>
    </row>
    <row r="74" spans="1:3">
      <c r="A74" t="s">
        <v>201</v>
      </c>
      <c r="B74" t="s">
        <v>202</v>
      </c>
      <c r="C74" t="s">
        <v>201</v>
      </c>
    </row>
    <row r="75" spans="1:3">
      <c r="A75" t="s">
        <v>203</v>
      </c>
      <c r="B75" t="s">
        <v>204</v>
      </c>
      <c r="C75" t="s">
        <v>203</v>
      </c>
    </row>
    <row r="76" spans="1:3">
      <c r="A76" t="s">
        <v>205</v>
      </c>
      <c r="B76" t="s">
        <v>206</v>
      </c>
      <c r="C76" t="s">
        <v>205</v>
      </c>
    </row>
    <row r="77" spans="1:3">
      <c r="A77" t="s">
        <v>207</v>
      </c>
      <c r="B77" t="s">
        <v>208</v>
      </c>
      <c r="C77" t="s">
        <v>207</v>
      </c>
    </row>
    <row r="78" spans="1:3">
      <c r="A78" t="s">
        <v>209</v>
      </c>
      <c r="B78" t="s">
        <v>210</v>
      </c>
      <c r="C78" t="s">
        <v>209</v>
      </c>
    </row>
    <row r="79" spans="1:3">
      <c r="A79" t="s">
        <v>211</v>
      </c>
      <c r="B79" t="s">
        <v>212</v>
      </c>
      <c r="C79" t="s">
        <v>211</v>
      </c>
    </row>
    <row r="80" spans="1:3">
      <c r="A80" t="s">
        <v>213</v>
      </c>
      <c r="B80" t="s">
        <v>214</v>
      </c>
      <c r="C80" t="s">
        <v>213</v>
      </c>
    </row>
    <row r="81" spans="1:3">
      <c r="A81" t="s">
        <v>215</v>
      </c>
      <c r="B81" t="s">
        <v>216</v>
      </c>
      <c r="C81" t="s">
        <v>215</v>
      </c>
    </row>
    <row r="82" spans="1:3">
      <c r="A82" t="s">
        <v>217</v>
      </c>
      <c r="B82" t="s">
        <v>218</v>
      </c>
      <c r="C82" t="s">
        <v>217</v>
      </c>
    </row>
    <row r="83" spans="1:3">
      <c r="A83" t="s">
        <v>219</v>
      </c>
      <c r="B83" t="s">
        <v>220</v>
      </c>
      <c r="C83" t="s">
        <v>219</v>
      </c>
    </row>
    <row r="84" spans="1:3">
      <c r="A84" t="s">
        <v>221</v>
      </c>
      <c r="B84" t="s">
        <v>222</v>
      </c>
      <c r="C84" t="s">
        <v>221</v>
      </c>
    </row>
    <row r="85" spans="1:3">
      <c r="A85" t="s">
        <v>1462</v>
      </c>
      <c r="B85" t="s">
        <v>224</v>
      </c>
      <c r="C85" t="s">
        <v>1462</v>
      </c>
    </row>
    <row r="86" spans="1:3">
      <c r="A86" t="s">
        <v>225</v>
      </c>
      <c r="B86" t="s">
        <v>226</v>
      </c>
      <c r="C86" t="s">
        <v>225</v>
      </c>
    </row>
    <row r="87" spans="1:3">
      <c r="A87" t="s">
        <v>227</v>
      </c>
      <c r="B87" t="s">
        <v>228</v>
      </c>
      <c r="C87" t="s">
        <v>227</v>
      </c>
    </row>
    <row r="88" spans="1:3">
      <c r="A88" t="s">
        <v>229</v>
      </c>
      <c r="B88" t="s">
        <v>230</v>
      </c>
      <c r="C88" t="s">
        <v>229</v>
      </c>
    </row>
    <row r="89" spans="1:3">
      <c r="A89" t="s">
        <v>231</v>
      </c>
      <c r="B89" t="s">
        <v>232</v>
      </c>
      <c r="C89" t="s">
        <v>231</v>
      </c>
    </row>
    <row r="90" spans="1:3">
      <c r="A90" t="s">
        <v>233</v>
      </c>
      <c r="B90" t="s">
        <v>234</v>
      </c>
      <c r="C90" t="s">
        <v>233</v>
      </c>
    </row>
    <row r="91" spans="1:3">
      <c r="A91" t="s">
        <v>1463</v>
      </c>
      <c r="B91" t="s">
        <v>235</v>
      </c>
      <c r="C91" t="s">
        <v>1463</v>
      </c>
    </row>
    <row r="92" spans="1:3">
      <c r="A92" t="s">
        <v>236</v>
      </c>
      <c r="B92" t="s">
        <v>237</v>
      </c>
      <c r="C92" t="s">
        <v>236</v>
      </c>
    </row>
    <row r="93" spans="1:3">
      <c r="A93" t="s">
        <v>238</v>
      </c>
      <c r="B93" t="s">
        <v>239</v>
      </c>
      <c r="C93" t="s">
        <v>238</v>
      </c>
    </row>
    <row r="94" spans="1:3">
      <c r="A94" t="s">
        <v>240</v>
      </c>
      <c r="B94" t="s">
        <v>241</v>
      </c>
      <c r="C94" t="s">
        <v>240</v>
      </c>
    </row>
    <row r="95" spans="1:3">
      <c r="A95" t="s">
        <v>242</v>
      </c>
      <c r="B95" t="s">
        <v>243</v>
      </c>
      <c r="C95" t="s">
        <v>242</v>
      </c>
    </row>
    <row r="96" spans="1:3">
      <c r="A96" t="s">
        <v>244</v>
      </c>
      <c r="B96" t="s">
        <v>245</v>
      </c>
      <c r="C96" t="s">
        <v>244</v>
      </c>
    </row>
    <row r="97" spans="1:3">
      <c r="A97" t="s">
        <v>246</v>
      </c>
      <c r="B97" t="s">
        <v>247</v>
      </c>
      <c r="C97" t="s">
        <v>246</v>
      </c>
    </row>
    <row r="98" spans="1:3">
      <c r="A98" t="s">
        <v>248</v>
      </c>
      <c r="B98" t="s">
        <v>249</v>
      </c>
      <c r="C98" t="s">
        <v>248</v>
      </c>
    </row>
    <row r="99" spans="1:3">
      <c r="A99" t="s">
        <v>250</v>
      </c>
      <c r="B99" t="s">
        <v>251</v>
      </c>
      <c r="C99" t="s">
        <v>250</v>
      </c>
    </row>
    <row r="100" spans="1:3">
      <c r="A100" t="s">
        <v>252</v>
      </c>
      <c r="B100" t="s">
        <v>253</v>
      </c>
      <c r="C100" t="s">
        <v>252</v>
      </c>
    </row>
    <row r="101" spans="1:3">
      <c r="A101" t="s">
        <v>254</v>
      </c>
      <c r="B101" t="s">
        <v>255</v>
      </c>
      <c r="C101" t="s">
        <v>254</v>
      </c>
    </row>
    <row r="102" spans="1:3">
      <c r="A102" t="s">
        <v>256</v>
      </c>
      <c r="B102" t="s">
        <v>257</v>
      </c>
      <c r="C102" t="s">
        <v>256</v>
      </c>
    </row>
    <row r="103" spans="1:3">
      <c r="A103" t="s">
        <v>258</v>
      </c>
      <c r="B103" t="s">
        <v>259</v>
      </c>
      <c r="C103" t="s">
        <v>258</v>
      </c>
    </row>
    <row r="104" spans="1:3">
      <c r="A104" t="s">
        <v>260</v>
      </c>
      <c r="B104" t="s">
        <v>261</v>
      </c>
      <c r="C104" t="s">
        <v>260</v>
      </c>
    </row>
    <row r="105" spans="1:3">
      <c r="A105" t="s">
        <v>262</v>
      </c>
      <c r="B105" t="s">
        <v>263</v>
      </c>
      <c r="C105" t="s">
        <v>262</v>
      </c>
    </row>
    <row r="106" spans="1:3">
      <c r="A106" t="s">
        <v>264</v>
      </c>
      <c r="B106" t="s">
        <v>265</v>
      </c>
      <c r="C106" t="s">
        <v>264</v>
      </c>
    </row>
    <row r="107" spans="1:3">
      <c r="A107" t="s">
        <v>266</v>
      </c>
      <c r="B107" t="s">
        <v>267</v>
      </c>
      <c r="C107" t="s">
        <v>266</v>
      </c>
    </row>
    <row r="108" spans="1:3">
      <c r="A108" t="s">
        <v>268</v>
      </c>
      <c r="B108" t="s">
        <v>269</v>
      </c>
      <c r="C108" t="s">
        <v>268</v>
      </c>
    </row>
    <row r="109" spans="1:3">
      <c r="A109" t="s">
        <v>270</v>
      </c>
      <c r="B109" t="s">
        <v>271</v>
      </c>
      <c r="C109" t="s">
        <v>270</v>
      </c>
    </row>
    <row r="110" spans="1:3">
      <c r="A110" t="s">
        <v>272</v>
      </c>
      <c r="B110" t="s">
        <v>273</v>
      </c>
      <c r="C110" t="s">
        <v>272</v>
      </c>
    </row>
    <row r="111" spans="1:3">
      <c r="A111" t="s">
        <v>274</v>
      </c>
      <c r="B111" t="s">
        <v>275</v>
      </c>
      <c r="C111" t="s">
        <v>274</v>
      </c>
    </row>
    <row r="112" spans="1:3">
      <c r="A112" t="s">
        <v>276</v>
      </c>
      <c r="B112" t="s">
        <v>277</v>
      </c>
      <c r="C112" t="s">
        <v>276</v>
      </c>
    </row>
    <row r="113" spans="1:3">
      <c r="A113" t="s">
        <v>278</v>
      </c>
      <c r="B113" t="s">
        <v>279</v>
      </c>
      <c r="C113" t="s">
        <v>278</v>
      </c>
    </row>
    <row r="114" spans="1:3">
      <c r="A114" t="s">
        <v>280</v>
      </c>
      <c r="B114" t="s">
        <v>281</v>
      </c>
      <c r="C114" t="s">
        <v>280</v>
      </c>
    </row>
    <row r="115" spans="1:3">
      <c r="A115" t="s">
        <v>282</v>
      </c>
      <c r="B115" t="s">
        <v>283</v>
      </c>
      <c r="C115" t="s">
        <v>282</v>
      </c>
    </row>
    <row r="116" spans="1:3">
      <c r="A116" t="s">
        <v>284</v>
      </c>
      <c r="B116" t="s">
        <v>285</v>
      </c>
      <c r="C116" t="s">
        <v>284</v>
      </c>
    </row>
    <row r="117" spans="1:3">
      <c r="A117" t="s">
        <v>286</v>
      </c>
      <c r="B117" t="s">
        <v>287</v>
      </c>
      <c r="C117" t="s">
        <v>286</v>
      </c>
    </row>
    <row r="118" spans="1:3">
      <c r="A118" t="s">
        <v>288</v>
      </c>
      <c r="B118" t="s">
        <v>289</v>
      </c>
      <c r="C118" t="s">
        <v>288</v>
      </c>
    </row>
    <row r="119" spans="1:3">
      <c r="A119" t="s">
        <v>290</v>
      </c>
      <c r="B119" t="s">
        <v>291</v>
      </c>
      <c r="C119" t="s">
        <v>290</v>
      </c>
    </row>
    <row r="120" spans="1:3">
      <c r="A120" t="s">
        <v>292</v>
      </c>
      <c r="B120" t="s">
        <v>293</v>
      </c>
      <c r="C120" t="s">
        <v>292</v>
      </c>
    </row>
    <row r="121" spans="1:3">
      <c r="A121" t="s">
        <v>294</v>
      </c>
      <c r="B121" t="s">
        <v>295</v>
      </c>
      <c r="C121" t="s">
        <v>294</v>
      </c>
    </row>
    <row r="122" spans="1:3">
      <c r="A122" t="s">
        <v>296</v>
      </c>
      <c r="B122" t="s">
        <v>297</v>
      </c>
      <c r="C122" t="s">
        <v>296</v>
      </c>
    </row>
    <row r="123" spans="1:3">
      <c r="A123" t="s">
        <v>298</v>
      </c>
      <c r="B123" t="s">
        <v>299</v>
      </c>
      <c r="C123" t="s">
        <v>298</v>
      </c>
    </row>
    <row r="124" spans="1:3">
      <c r="A124" t="s">
        <v>300</v>
      </c>
      <c r="B124" t="s">
        <v>301</v>
      </c>
      <c r="C124" t="s">
        <v>300</v>
      </c>
    </row>
    <row r="125" spans="1:3">
      <c r="A125" t="s">
        <v>302</v>
      </c>
      <c r="B125" t="s">
        <v>303</v>
      </c>
      <c r="C125" t="s">
        <v>302</v>
      </c>
    </row>
    <row r="126" spans="1:3">
      <c r="A126" t="s">
        <v>304</v>
      </c>
      <c r="B126" t="s">
        <v>305</v>
      </c>
      <c r="C126" t="s">
        <v>304</v>
      </c>
    </row>
    <row r="127" spans="1:3">
      <c r="A127" t="s">
        <v>1464</v>
      </c>
      <c r="B127" t="s">
        <v>306</v>
      </c>
      <c r="C127" t="s">
        <v>1464</v>
      </c>
    </row>
    <row r="128" spans="1:3">
      <c r="A128" t="s">
        <v>307</v>
      </c>
      <c r="B128" t="s">
        <v>308</v>
      </c>
      <c r="C128" t="s">
        <v>307</v>
      </c>
    </row>
    <row r="129" spans="1:3">
      <c r="A129" t="s">
        <v>1465</v>
      </c>
      <c r="B129" t="s">
        <v>309</v>
      </c>
      <c r="C129" t="s">
        <v>1465</v>
      </c>
    </row>
    <row r="130" spans="1:3">
      <c r="A130" t="s">
        <v>310</v>
      </c>
      <c r="B130" t="s">
        <v>311</v>
      </c>
      <c r="C130" t="s">
        <v>310</v>
      </c>
    </row>
    <row r="131" spans="1:3">
      <c r="A131" t="s">
        <v>312</v>
      </c>
      <c r="B131" t="s">
        <v>313</v>
      </c>
      <c r="C131" t="s">
        <v>312</v>
      </c>
    </row>
    <row r="132" spans="1:3">
      <c r="A132" t="s">
        <v>314</v>
      </c>
      <c r="B132" t="s">
        <v>315</v>
      </c>
      <c r="C132" t="s">
        <v>314</v>
      </c>
    </row>
    <row r="133" spans="1:3">
      <c r="A133" t="s">
        <v>316</v>
      </c>
      <c r="B133" t="s">
        <v>317</v>
      </c>
      <c r="C133" t="s">
        <v>316</v>
      </c>
    </row>
    <row r="134" spans="1:3">
      <c r="A134" t="s">
        <v>318</v>
      </c>
      <c r="B134" t="s">
        <v>319</v>
      </c>
      <c r="C134" t="s">
        <v>318</v>
      </c>
    </row>
    <row r="135" spans="1:3">
      <c r="A135" t="s">
        <v>320</v>
      </c>
      <c r="B135" t="s">
        <v>321</v>
      </c>
      <c r="C135" t="s">
        <v>320</v>
      </c>
    </row>
    <row r="136" spans="1:3">
      <c r="A136" t="s">
        <v>322</v>
      </c>
      <c r="B136" t="s">
        <v>323</v>
      </c>
      <c r="C136" t="s">
        <v>322</v>
      </c>
    </row>
    <row r="137" spans="1:3">
      <c r="A137" t="s">
        <v>324</v>
      </c>
      <c r="B137" t="s">
        <v>325</v>
      </c>
      <c r="C137" t="s">
        <v>324</v>
      </c>
    </row>
    <row r="138" spans="1:3">
      <c r="A138" t="s">
        <v>326</v>
      </c>
      <c r="B138" t="s">
        <v>327</v>
      </c>
      <c r="C138" t="s">
        <v>326</v>
      </c>
    </row>
    <row r="139" spans="1:3">
      <c r="A139" t="s">
        <v>328</v>
      </c>
      <c r="B139" t="s">
        <v>329</v>
      </c>
      <c r="C139" t="s">
        <v>328</v>
      </c>
    </row>
    <row r="140" spans="1:3">
      <c r="A140" t="s">
        <v>330</v>
      </c>
      <c r="B140" t="s">
        <v>331</v>
      </c>
      <c r="C140" t="s">
        <v>330</v>
      </c>
    </row>
    <row r="141" spans="1:3">
      <c r="A141" t="s">
        <v>332</v>
      </c>
      <c r="B141" t="s">
        <v>333</v>
      </c>
      <c r="C141" t="s">
        <v>332</v>
      </c>
    </row>
    <row r="142" spans="1:3">
      <c r="A142" t="s">
        <v>334</v>
      </c>
      <c r="B142" t="s">
        <v>335</v>
      </c>
      <c r="C142" t="s">
        <v>334</v>
      </c>
    </row>
    <row r="143" spans="1:3">
      <c r="A143" t="s">
        <v>336</v>
      </c>
      <c r="B143" t="s">
        <v>337</v>
      </c>
      <c r="C143" t="s">
        <v>336</v>
      </c>
    </row>
    <row r="144" spans="1:3">
      <c r="A144" t="s">
        <v>338</v>
      </c>
      <c r="B144" t="s">
        <v>339</v>
      </c>
      <c r="C144" t="s">
        <v>338</v>
      </c>
    </row>
    <row r="145" spans="1:3">
      <c r="A145" t="s">
        <v>340</v>
      </c>
      <c r="B145" t="s">
        <v>341</v>
      </c>
      <c r="C145" t="s">
        <v>340</v>
      </c>
    </row>
    <row r="146" spans="1:3">
      <c r="A146" t="s">
        <v>342</v>
      </c>
      <c r="B146" t="s">
        <v>343</v>
      </c>
      <c r="C146" t="s">
        <v>342</v>
      </c>
    </row>
    <row r="147" spans="1:3">
      <c r="A147" t="s">
        <v>344</v>
      </c>
      <c r="B147" t="s">
        <v>345</v>
      </c>
      <c r="C147" t="s">
        <v>344</v>
      </c>
    </row>
    <row r="148" spans="1:3">
      <c r="A148" t="s">
        <v>346</v>
      </c>
      <c r="B148" t="s">
        <v>347</v>
      </c>
      <c r="C148" t="s">
        <v>346</v>
      </c>
    </row>
    <row r="149" spans="1:3">
      <c r="A149" t="s">
        <v>348</v>
      </c>
      <c r="B149" t="s">
        <v>349</v>
      </c>
      <c r="C149" t="s">
        <v>348</v>
      </c>
    </row>
    <row r="150" spans="1:3">
      <c r="A150" t="s">
        <v>350</v>
      </c>
      <c r="B150" t="s">
        <v>351</v>
      </c>
      <c r="C150" t="s">
        <v>350</v>
      </c>
    </row>
    <row r="151" spans="1:3">
      <c r="A151" t="s">
        <v>352</v>
      </c>
      <c r="B151" t="s">
        <v>353</v>
      </c>
      <c r="C151" t="s">
        <v>352</v>
      </c>
    </row>
    <row r="152" spans="1:3">
      <c r="A152" t="s">
        <v>354</v>
      </c>
      <c r="B152" t="s">
        <v>355</v>
      </c>
      <c r="C152" t="s">
        <v>354</v>
      </c>
    </row>
    <row r="153" spans="1:3">
      <c r="A153" t="s">
        <v>356</v>
      </c>
      <c r="B153" t="s">
        <v>357</v>
      </c>
      <c r="C153" t="s">
        <v>356</v>
      </c>
    </row>
    <row r="154" spans="1:3">
      <c r="A154" t="s">
        <v>358</v>
      </c>
      <c r="B154" t="s">
        <v>359</v>
      </c>
      <c r="C154" t="s">
        <v>358</v>
      </c>
    </row>
    <row r="155" spans="1:3">
      <c r="A155" t="s">
        <v>360</v>
      </c>
      <c r="B155" t="s">
        <v>361</v>
      </c>
      <c r="C155" t="s">
        <v>360</v>
      </c>
    </row>
    <row r="156" spans="1:3">
      <c r="A156" t="s">
        <v>362</v>
      </c>
      <c r="B156" t="s">
        <v>363</v>
      </c>
      <c r="C156" t="s">
        <v>362</v>
      </c>
    </row>
    <row r="157" spans="1:3">
      <c r="A157" t="s">
        <v>364</v>
      </c>
      <c r="B157" t="s">
        <v>365</v>
      </c>
      <c r="C157" t="s">
        <v>364</v>
      </c>
    </row>
    <row r="158" spans="1:3">
      <c r="A158" t="s">
        <v>366</v>
      </c>
      <c r="B158" t="s">
        <v>367</v>
      </c>
      <c r="C158" t="s">
        <v>366</v>
      </c>
    </row>
    <row r="159" spans="1:3">
      <c r="A159" t="s">
        <v>368</v>
      </c>
      <c r="B159" t="s">
        <v>369</v>
      </c>
      <c r="C159" t="s">
        <v>368</v>
      </c>
    </row>
    <row r="160" spans="1:3">
      <c r="A160" t="s">
        <v>370</v>
      </c>
      <c r="B160" t="s">
        <v>371</v>
      </c>
      <c r="C160" t="s">
        <v>370</v>
      </c>
    </row>
    <row r="161" spans="1:3">
      <c r="A161" t="s">
        <v>372</v>
      </c>
      <c r="B161" t="s">
        <v>373</v>
      </c>
      <c r="C161" t="s">
        <v>372</v>
      </c>
    </row>
    <row r="162" spans="1:3">
      <c r="A162" t="s">
        <v>374</v>
      </c>
      <c r="B162" t="s">
        <v>375</v>
      </c>
      <c r="C162" t="s">
        <v>374</v>
      </c>
    </row>
    <row r="163" spans="1:3">
      <c r="A163" t="s">
        <v>376</v>
      </c>
      <c r="B163" t="s">
        <v>377</v>
      </c>
      <c r="C163" t="s">
        <v>376</v>
      </c>
    </row>
    <row r="164" spans="1:3">
      <c r="A164" t="s">
        <v>378</v>
      </c>
      <c r="B164" t="s">
        <v>379</v>
      </c>
      <c r="C164" t="s">
        <v>378</v>
      </c>
    </row>
    <row r="165" spans="1:3">
      <c r="A165" t="s">
        <v>380</v>
      </c>
      <c r="B165" t="s">
        <v>381</v>
      </c>
      <c r="C165" t="s">
        <v>380</v>
      </c>
    </row>
    <row r="166" spans="1:3">
      <c r="A166" t="s">
        <v>382</v>
      </c>
      <c r="B166" t="s">
        <v>383</v>
      </c>
      <c r="C166" t="s">
        <v>382</v>
      </c>
    </row>
    <row r="167" spans="1:3">
      <c r="A167" t="s">
        <v>384</v>
      </c>
      <c r="B167" t="s">
        <v>385</v>
      </c>
      <c r="C167" t="s">
        <v>384</v>
      </c>
    </row>
    <row r="168" spans="1:3">
      <c r="A168" t="s">
        <v>386</v>
      </c>
      <c r="B168" t="s">
        <v>387</v>
      </c>
      <c r="C168" t="s">
        <v>386</v>
      </c>
    </row>
    <row r="169" spans="1:3">
      <c r="A169" t="s">
        <v>388</v>
      </c>
      <c r="B169" t="s">
        <v>389</v>
      </c>
      <c r="C169" t="s">
        <v>388</v>
      </c>
    </row>
    <row r="170" spans="1:3">
      <c r="A170" t="s">
        <v>390</v>
      </c>
      <c r="B170" t="s">
        <v>391</v>
      </c>
      <c r="C170" t="s">
        <v>390</v>
      </c>
    </row>
    <row r="171" spans="1:3">
      <c r="A171" t="s">
        <v>392</v>
      </c>
      <c r="B171" t="s">
        <v>393</v>
      </c>
      <c r="C171" t="s">
        <v>392</v>
      </c>
    </row>
    <row r="172" spans="1:3">
      <c r="A172" t="s">
        <v>394</v>
      </c>
      <c r="B172" t="s">
        <v>395</v>
      </c>
      <c r="C172" t="s">
        <v>394</v>
      </c>
    </row>
    <row r="173" spans="1:3">
      <c r="A173" t="s">
        <v>396</v>
      </c>
      <c r="B173" t="s">
        <v>397</v>
      </c>
      <c r="C173" t="s">
        <v>396</v>
      </c>
    </row>
    <row r="174" spans="1:3">
      <c r="A174" t="s">
        <v>398</v>
      </c>
      <c r="B174" t="s">
        <v>399</v>
      </c>
      <c r="C174" t="s">
        <v>398</v>
      </c>
    </row>
    <row r="175" spans="1:3">
      <c r="A175" t="s">
        <v>400</v>
      </c>
      <c r="B175" t="s">
        <v>401</v>
      </c>
      <c r="C175" t="s">
        <v>400</v>
      </c>
    </row>
    <row r="176" spans="1:3">
      <c r="A176" t="s">
        <v>402</v>
      </c>
      <c r="B176" t="s">
        <v>403</v>
      </c>
      <c r="C176" t="s">
        <v>402</v>
      </c>
    </row>
    <row r="177" spans="1:3">
      <c r="A177" t="s">
        <v>404</v>
      </c>
      <c r="B177" t="s">
        <v>405</v>
      </c>
      <c r="C177" t="s">
        <v>404</v>
      </c>
    </row>
    <row r="178" spans="1:3">
      <c r="A178" t="s">
        <v>406</v>
      </c>
      <c r="B178" t="s">
        <v>407</v>
      </c>
      <c r="C178" t="s">
        <v>406</v>
      </c>
    </row>
    <row r="179" spans="1:3">
      <c r="A179" t="s">
        <v>408</v>
      </c>
      <c r="B179" t="s">
        <v>409</v>
      </c>
      <c r="C179" t="s">
        <v>408</v>
      </c>
    </row>
    <row r="180" spans="1:3">
      <c r="A180" t="s">
        <v>410</v>
      </c>
      <c r="B180" t="s">
        <v>411</v>
      </c>
      <c r="C180" t="s">
        <v>410</v>
      </c>
    </row>
    <row r="181" spans="1:3">
      <c r="A181" t="s">
        <v>412</v>
      </c>
      <c r="B181" t="s">
        <v>413</v>
      </c>
      <c r="C181" t="s">
        <v>412</v>
      </c>
    </row>
    <row r="182" spans="1:3">
      <c r="A182" t="s">
        <v>414</v>
      </c>
      <c r="B182" t="s">
        <v>415</v>
      </c>
      <c r="C182" t="s">
        <v>414</v>
      </c>
    </row>
    <row r="183" spans="1:3">
      <c r="A183" t="s">
        <v>1466</v>
      </c>
      <c r="B183" t="s">
        <v>416</v>
      </c>
      <c r="C183" t="s">
        <v>1466</v>
      </c>
    </row>
    <row r="184" spans="1:3">
      <c r="A184" t="s">
        <v>417</v>
      </c>
      <c r="B184" t="s">
        <v>418</v>
      </c>
      <c r="C184" t="s">
        <v>417</v>
      </c>
    </row>
    <row r="185" spans="1:3">
      <c r="A185" t="s">
        <v>419</v>
      </c>
      <c r="B185" t="s">
        <v>420</v>
      </c>
      <c r="C185" t="s">
        <v>419</v>
      </c>
    </row>
    <row r="186" spans="1:3">
      <c r="A186" t="s">
        <v>421</v>
      </c>
      <c r="B186" t="s">
        <v>422</v>
      </c>
      <c r="C186" t="s">
        <v>421</v>
      </c>
    </row>
    <row r="187" spans="1:3">
      <c r="A187" t="s">
        <v>423</v>
      </c>
      <c r="B187" t="s">
        <v>424</v>
      </c>
      <c r="C187" t="s">
        <v>423</v>
      </c>
    </row>
    <row r="188" spans="1:3">
      <c r="A188" t="s">
        <v>425</v>
      </c>
      <c r="B188" t="s">
        <v>426</v>
      </c>
      <c r="C188" t="s">
        <v>425</v>
      </c>
    </row>
    <row r="189" spans="1:3">
      <c r="A189" t="s">
        <v>427</v>
      </c>
      <c r="B189" t="s">
        <v>428</v>
      </c>
      <c r="C189" t="s">
        <v>427</v>
      </c>
    </row>
    <row r="190" spans="1:3">
      <c r="A190" t="s">
        <v>429</v>
      </c>
      <c r="B190" t="s">
        <v>430</v>
      </c>
      <c r="C190" t="s">
        <v>429</v>
      </c>
    </row>
    <row r="191" spans="1:3">
      <c r="A191" t="s">
        <v>431</v>
      </c>
      <c r="B191" t="s">
        <v>432</v>
      </c>
      <c r="C191" t="s">
        <v>431</v>
      </c>
    </row>
    <row r="192" spans="1:3">
      <c r="A192" t="s">
        <v>433</v>
      </c>
      <c r="B192" t="s">
        <v>434</v>
      </c>
      <c r="C192" t="s">
        <v>433</v>
      </c>
    </row>
    <row r="193" spans="1:3">
      <c r="A193" t="s">
        <v>435</v>
      </c>
      <c r="B193" t="s">
        <v>436</v>
      </c>
      <c r="C193" t="s">
        <v>435</v>
      </c>
    </row>
    <row r="194" spans="1:3">
      <c r="A194" t="s">
        <v>437</v>
      </c>
      <c r="B194" t="s">
        <v>438</v>
      </c>
      <c r="C194" t="s">
        <v>437</v>
      </c>
    </row>
    <row r="195" spans="1:3">
      <c r="A195" t="s">
        <v>439</v>
      </c>
      <c r="B195" t="s">
        <v>440</v>
      </c>
      <c r="C195" t="s">
        <v>439</v>
      </c>
    </row>
    <row r="196" spans="1:3">
      <c r="A196" t="s">
        <v>441</v>
      </c>
      <c r="B196" t="s">
        <v>442</v>
      </c>
      <c r="C196" t="s">
        <v>441</v>
      </c>
    </row>
    <row r="197" spans="1:3">
      <c r="A197" t="s">
        <v>443</v>
      </c>
      <c r="B197" t="s">
        <v>444</v>
      </c>
      <c r="C197" t="s">
        <v>443</v>
      </c>
    </row>
    <row r="198" spans="1:3">
      <c r="A198" t="s">
        <v>445</v>
      </c>
      <c r="B198" t="s">
        <v>446</v>
      </c>
      <c r="C198" t="s">
        <v>445</v>
      </c>
    </row>
    <row r="199" spans="1:3">
      <c r="A199" t="s">
        <v>447</v>
      </c>
      <c r="B199" t="s">
        <v>448</v>
      </c>
      <c r="C199" t="s">
        <v>447</v>
      </c>
    </row>
    <row r="200" spans="1:3">
      <c r="A200" t="s">
        <v>449</v>
      </c>
      <c r="B200" t="s">
        <v>450</v>
      </c>
      <c r="C200" t="s">
        <v>449</v>
      </c>
    </row>
    <row r="201" spans="1:3">
      <c r="A201" t="s">
        <v>451</v>
      </c>
      <c r="B201" t="s">
        <v>452</v>
      </c>
      <c r="C201" t="s">
        <v>451</v>
      </c>
    </row>
    <row r="202" spans="1:3">
      <c r="A202" t="s">
        <v>453</v>
      </c>
      <c r="B202" t="s">
        <v>454</v>
      </c>
      <c r="C202" t="s">
        <v>453</v>
      </c>
    </row>
    <row r="203" spans="1:3">
      <c r="A203" t="s">
        <v>455</v>
      </c>
      <c r="B203" t="s">
        <v>456</v>
      </c>
      <c r="C203" t="s">
        <v>455</v>
      </c>
    </row>
    <row r="204" spans="1:3">
      <c r="A204" t="s">
        <v>457</v>
      </c>
      <c r="B204" t="s">
        <v>458</v>
      </c>
      <c r="C204" t="s">
        <v>457</v>
      </c>
    </row>
    <row r="205" spans="1:3">
      <c r="A205" t="s">
        <v>459</v>
      </c>
      <c r="B205" t="s">
        <v>460</v>
      </c>
      <c r="C205" t="s">
        <v>459</v>
      </c>
    </row>
    <row r="206" spans="1:3">
      <c r="A206" t="s">
        <v>461</v>
      </c>
      <c r="B206" t="s">
        <v>462</v>
      </c>
      <c r="C206" t="s">
        <v>461</v>
      </c>
    </row>
    <row r="207" spans="1:3">
      <c r="A207" t="s">
        <v>463</v>
      </c>
      <c r="B207" t="s">
        <v>464</v>
      </c>
      <c r="C207" t="s">
        <v>463</v>
      </c>
    </row>
    <row r="208" spans="1:3">
      <c r="A208" t="s">
        <v>465</v>
      </c>
      <c r="B208" t="s">
        <v>466</v>
      </c>
      <c r="C208" t="s">
        <v>465</v>
      </c>
    </row>
    <row r="209" spans="1:3">
      <c r="A209" t="s">
        <v>467</v>
      </c>
      <c r="B209" t="s">
        <v>468</v>
      </c>
      <c r="C209" t="s">
        <v>467</v>
      </c>
    </row>
    <row r="210" spans="1:3">
      <c r="A210" t="s">
        <v>469</v>
      </c>
      <c r="B210" t="s">
        <v>470</v>
      </c>
      <c r="C210" t="s">
        <v>469</v>
      </c>
    </row>
    <row r="211" spans="1:3">
      <c r="A211" t="s">
        <v>471</v>
      </c>
      <c r="B211" t="s">
        <v>472</v>
      </c>
      <c r="C211" t="s">
        <v>471</v>
      </c>
    </row>
    <row r="212" spans="1:3">
      <c r="A212" t="s">
        <v>473</v>
      </c>
      <c r="B212" t="s">
        <v>474</v>
      </c>
      <c r="C212" t="s">
        <v>473</v>
      </c>
    </row>
    <row r="213" spans="1:3">
      <c r="A213" t="s">
        <v>475</v>
      </c>
      <c r="B213" t="s">
        <v>476</v>
      </c>
      <c r="C213" t="s">
        <v>475</v>
      </c>
    </row>
    <row r="214" spans="1:3">
      <c r="A214" t="s">
        <v>477</v>
      </c>
      <c r="B214" t="s">
        <v>478</v>
      </c>
      <c r="C214" t="s">
        <v>477</v>
      </c>
    </row>
    <row r="215" spans="1:3">
      <c r="A215" t="s">
        <v>479</v>
      </c>
      <c r="B215" t="s">
        <v>480</v>
      </c>
      <c r="C215" t="s">
        <v>479</v>
      </c>
    </row>
    <row r="216" spans="1:3">
      <c r="A216" t="s">
        <v>481</v>
      </c>
      <c r="B216" t="s">
        <v>482</v>
      </c>
      <c r="C216" t="s">
        <v>481</v>
      </c>
    </row>
    <row r="217" spans="1:3">
      <c r="A217" t="s">
        <v>483</v>
      </c>
      <c r="B217" t="s">
        <v>484</v>
      </c>
      <c r="C217" t="s">
        <v>483</v>
      </c>
    </row>
    <row r="218" spans="1:3">
      <c r="A218" t="s">
        <v>485</v>
      </c>
      <c r="B218" t="s">
        <v>486</v>
      </c>
      <c r="C218" t="s">
        <v>485</v>
      </c>
    </row>
    <row r="219" spans="1:3">
      <c r="A219" t="s">
        <v>487</v>
      </c>
      <c r="B219" t="s">
        <v>488</v>
      </c>
      <c r="C219" t="s">
        <v>487</v>
      </c>
    </row>
    <row r="220" spans="1:3">
      <c r="A220" t="s">
        <v>489</v>
      </c>
      <c r="B220" t="s">
        <v>490</v>
      </c>
      <c r="C220" t="s">
        <v>489</v>
      </c>
    </row>
    <row r="221" spans="1:3">
      <c r="A221" t="s">
        <v>491</v>
      </c>
      <c r="B221" t="s">
        <v>492</v>
      </c>
      <c r="C221" t="s">
        <v>491</v>
      </c>
    </row>
    <row r="222" spans="1:3">
      <c r="A222" t="s">
        <v>1467</v>
      </c>
      <c r="B222" t="s">
        <v>493</v>
      </c>
      <c r="C222" t="s">
        <v>1467</v>
      </c>
    </row>
    <row r="223" spans="1:3">
      <c r="A223" t="s">
        <v>494</v>
      </c>
      <c r="B223" t="s">
        <v>495</v>
      </c>
      <c r="C223" t="s">
        <v>494</v>
      </c>
    </row>
    <row r="224" spans="1:3">
      <c r="A224" t="s">
        <v>496</v>
      </c>
      <c r="B224" t="s">
        <v>497</v>
      </c>
      <c r="C224" t="s">
        <v>496</v>
      </c>
    </row>
    <row r="225" spans="1:3">
      <c r="A225" t="s">
        <v>498</v>
      </c>
      <c r="B225" t="s">
        <v>499</v>
      </c>
      <c r="C225" t="s">
        <v>498</v>
      </c>
    </row>
    <row r="226" spans="1:3">
      <c r="A226" t="s">
        <v>500</v>
      </c>
      <c r="B226" t="s">
        <v>501</v>
      </c>
      <c r="C226" t="s">
        <v>500</v>
      </c>
    </row>
    <row r="227" spans="1:3">
      <c r="A227" t="s">
        <v>502</v>
      </c>
      <c r="B227" t="s">
        <v>503</v>
      </c>
      <c r="C227" t="s">
        <v>502</v>
      </c>
    </row>
    <row r="228" spans="1:3">
      <c r="A228" t="s">
        <v>504</v>
      </c>
      <c r="B228" t="s">
        <v>505</v>
      </c>
      <c r="C228" t="s">
        <v>504</v>
      </c>
    </row>
    <row r="229" spans="1:3">
      <c r="A229" t="s">
        <v>506</v>
      </c>
      <c r="B229" t="s">
        <v>507</v>
      </c>
      <c r="C229" t="s">
        <v>506</v>
      </c>
    </row>
    <row r="230" spans="1:3">
      <c r="A230" t="s">
        <v>508</v>
      </c>
      <c r="B230" t="s">
        <v>509</v>
      </c>
      <c r="C230" t="s">
        <v>508</v>
      </c>
    </row>
    <row r="231" spans="1:3">
      <c r="A231" t="s">
        <v>510</v>
      </c>
      <c r="B231" t="s">
        <v>511</v>
      </c>
      <c r="C231" t="s">
        <v>510</v>
      </c>
    </row>
    <row r="232" spans="1:3">
      <c r="A232" t="s">
        <v>512</v>
      </c>
      <c r="B232" t="s">
        <v>513</v>
      </c>
      <c r="C232" t="s">
        <v>512</v>
      </c>
    </row>
    <row r="233" spans="1:3">
      <c r="A233" t="s">
        <v>514</v>
      </c>
      <c r="B233" t="s">
        <v>515</v>
      </c>
      <c r="C233" t="s">
        <v>514</v>
      </c>
    </row>
    <row r="234" spans="1:3">
      <c r="A234" t="s">
        <v>516</v>
      </c>
      <c r="B234" t="s">
        <v>517</v>
      </c>
      <c r="C234" t="s">
        <v>516</v>
      </c>
    </row>
    <row r="235" spans="1:3">
      <c r="A235" t="s">
        <v>518</v>
      </c>
      <c r="B235" t="s">
        <v>519</v>
      </c>
      <c r="C235" t="s">
        <v>518</v>
      </c>
    </row>
    <row r="236" spans="1:3">
      <c r="A236" t="s">
        <v>520</v>
      </c>
      <c r="B236" t="s">
        <v>521</v>
      </c>
      <c r="C236" t="s">
        <v>520</v>
      </c>
    </row>
    <row r="237" spans="1:3">
      <c r="A237" t="s">
        <v>522</v>
      </c>
      <c r="B237" t="s">
        <v>523</v>
      </c>
      <c r="C237" t="s">
        <v>522</v>
      </c>
    </row>
    <row r="238" spans="1:3">
      <c r="A238" t="s">
        <v>524</v>
      </c>
      <c r="B238" t="s">
        <v>525</v>
      </c>
      <c r="C238" t="s">
        <v>524</v>
      </c>
    </row>
    <row r="239" spans="1:3">
      <c r="A239" t="s">
        <v>526</v>
      </c>
      <c r="B239" t="s">
        <v>527</v>
      </c>
      <c r="C239" t="s">
        <v>526</v>
      </c>
    </row>
    <row r="240" spans="1:3">
      <c r="A240" t="s">
        <v>528</v>
      </c>
      <c r="B240" t="s">
        <v>529</v>
      </c>
      <c r="C240" t="s">
        <v>528</v>
      </c>
    </row>
    <row r="241" spans="1:3">
      <c r="A241" t="s">
        <v>530</v>
      </c>
      <c r="B241" t="s">
        <v>531</v>
      </c>
      <c r="C241" t="s">
        <v>530</v>
      </c>
    </row>
    <row r="242" spans="1:3">
      <c r="A242" t="s">
        <v>1468</v>
      </c>
      <c r="B242" t="s">
        <v>532</v>
      </c>
      <c r="C242" t="s">
        <v>1468</v>
      </c>
    </row>
    <row r="243" spans="1:3">
      <c r="A243" t="s">
        <v>533</v>
      </c>
      <c r="B243" t="s">
        <v>534</v>
      </c>
      <c r="C243" t="s">
        <v>533</v>
      </c>
    </row>
    <row r="244" spans="1:3">
      <c r="A244" t="s">
        <v>535</v>
      </c>
      <c r="B244" t="s">
        <v>536</v>
      </c>
      <c r="C244" t="s">
        <v>535</v>
      </c>
    </row>
    <row r="245" spans="1:3">
      <c r="A245" t="s">
        <v>537</v>
      </c>
      <c r="B245" t="s">
        <v>538</v>
      </c>
      <c r="C245" t="s">
        <v>537</v>
      </c>
    </row>
    <row r="246" spans="1:3">
      <c r="A246" t="s">
        <v>539</v>
      </c>
      <c r="B246" t="s">
        <v>540</v>
      </c>
      <c r="C246" t="s">
        <v>539</v>
      </c>
    </row>
    <row r="247" spans="1:3">
      <c r="A247" t="s">
        <v>541</v>
      </c>
      <c r="B247" t="s">
        <v>542</v>
      </c>
      <c r="C247" t="s">
        <v>541</v>
      </c>
    </row>
    <row r="248" spans="1:3">
      <c r="A248" t="s">
        <v>1469</v>
      </c>
      <c r="B248" t="s">
        <v>543</v>
      </c>
      <c r="C248" t="s">
        <v>1469</v>
      </c>
    </row>
    <row r="249" spans="1:3">
      <c r="A249" t="s">
        <v>544</v>
      </c>
      <c r="B249" t="s">
        <v>545</v>
      </c>
      <c r="C249" t="s">
        <v>544</v>
      </c>
    </row>
    <row r="250" spans="1:3">
      <c r="A250" t="s">
        <v>546</v>
      </c>
      <c r="B250" t="s">
        <v>547</v>
      </c>
      <c r="C250" t="s">
        <v>546</v>
      </c>
    </row>
    <row r="251" spans="1:3">
      <c r="A251" t="s">
        <v>548</v>
      </c>
      <c r="B251" t="s">
        <v>549</v>
      </c>
      <c r="C251" t="s">
        <v>548</v>
      </c>
    </row>
    <row r="252" spans="1:3">
      <c r="A252" t="s">
        <v>550</v>
      </c>
      <c r="B252" t="s">
        <v>551</v>
      </c>
      <c r="C252" t="s">
        <v>550</v>
      </c>
    </row>
    <row r="253" spans="1:3">
      <c r="A253" t="s">
        <v>552</v>
      </c>
      <c r="B253" t="s">
        <v>553</v>
      </c>
      <c r="C253" t="s">
        <v>552</v>
      </c>
    </row>
    <row r="254" spans="1:3">
      <c r="A254" t="s">
        <v>554</v>
      </c>
      <c r="B254" t="s">
        <v>555</v>
      </c>
      <c r="C254" t="s">
        <v>554</v>
      </c>
    </row>
    <row r="255" spans="1:3">
      <c r="A255" t="s">
        <v>556</v>
      </c>
      <c r="B255" t="s">
        <v>557</v>
      </c>
      <c r="C255" t="s">
        <v>556</v>
      </c>
    </row>
    <row r="256" spans="1:3">
      <c r="A256" t="s">
        <v>558</v>
      </c>
      <c r="B256" t="s">
        <v>559</v>
      </c>
      <c r="C256" t="s">
        <v>558</v>
      </c>
    </row>
    <row r="257" spans="1:3">
      <c r="A257" t="s">
        <v>560</v>
      </c>
      <c r="B257" t="s">
        <v>561</v>
      </c>
      <c r="C257" t="s">
        <v>560</v>
      </c>
    </row>
    <row r="258" spans="1:3">
      <c r="A258" t="s">
        <v>562</v>
      </c>
      <c r="B258" t="s">
        <v>563</v>
      </c>
      <c r="C258" t="s">
        <v>562</v>
      </c>
    </row>
    <row r="259" spans="1:3">
      <c r="A259" t="s">
        <v>564</v>
      </c>
      <c r="B259" t="s">
        <v>565</v>
      </c>
      <c r="C259" t="s">
        <v>564</v>
      </c>
    </row>
    <row r="260" spans="1:3">
      <c r="A260" t="s">
        <v>566</v>
      </c>
      <c r="B260" t="s">
        <v>567</v>
      </c>
      <c r="C260" t="s">
        <v>566</v>
      </c>
    </row>
    <row r="261" spans="1:3">
      <c r="A261" t="s">
        <v>568</v>
      </c>
      <c r="B261" t="s">
        <v>569</v>
      </c>
      <c r="C261" t="s">
        <v>568</v>
      </c>
    </row>
    <row r="262" spans="1:3">
      <c r="A262" t="s">
        <v>570</v>
      </c>
      <c r="B262" t="s">
        <v>571</v>
      </c>
      <c r="C262" t="s">
        <v>570</v>
      </c>
    </row>
    <row r="263" spans="1:3">
      <c r="A263" t="s">
        <v>572</v>
      </c>
      <c r="B263" t="s">
        <v>573</v>
      </c>
      <c r="C263" t="s">
        <v>572</v>
      </c>
    </row>
    <row r="264" spans="1:3">
      <c r="A264" t="s">
        <v>574</v>
      </c>
      <c r="B264" t="s">
        <v>575</v>
      </c>
      <c r="C264" t="s">
        <v>574</v>
      </c>
    </row>
    <row r="265" spans="1:3">
      <c r="A265" t="s">
        <v>576</v>
      </c>
      <c r="B265" t="s">
        <v>577</v>
      </c>
      <c r="C265" t="s">
        <v>576</v>
      </c>
    </row>
    <row r="266" spans="1:3">
      <c r="A266" t="s">
        <v>578</v>
      </c>
      <c r="B266" t="s">
        <v>579</v>
      </c>
      <c r="C266" t="s">
        <v>578</v>
      </c>
    </row>
    <row r="267" spans="1:3">
      <c r="A267" t="s">
        <v>580</v>
      </c>
      <c r="B267" t="s">
        <v>581</v>
      </c>
      <c r="C267" t="s">
        <v>580</v>
      </c>
    </row>
    <row r="268" spans="1:3">
      <c r="A268" t="s">
        <v>582</v>
      </c>
      <c r="B268" t="s">
        <v>583</v>
      </c>
      <c r="C268" t="s">
        <v>582</v>
      </c>
    </row>
    <row r="269" spans="1:3">
      <c r="A269" t="s">
        <v>584</v>
      </c>
      <c r="B269" t="s">
        <v>585</v>
      </c>
      <c r="C269" t="s">
        <v>584</v>
      </c>
    </row>
    <row r="270" spans="1:3">
      <c r="A270" t="s">
        <v>586</v>
      </c>
      <c r="B270" t="s">
        <v>587</v>
      </c>
      <c r="C270" t="s">
        <v>586</v>
      </c>
    </row>
    <row r="271" spans="1:3">
      <c r="A271" t="s">
        <v>588</v>
      </c>
      <c r="B271" t="s">
        <v>589</v>
      </c>
      <c r="C271" t="s">
        <v>588</v>
      </c>
    </row>
    <row r="272" spans="1:3">
      <c r="A272" t="s">
        <v>590</v>
      </c>
      <c r="B272" t="s">
        <v>591</v>
      </c>
      <c r="C272" t="s">
        <v>590</v>
      </c>
    </row>
    <row r="273" spans="1:3">
      <c r="A273" t="s">
        <v>592</v>
      </c>
      <c r="B273" t="s">
        <v>593</v>
      </c>
      <c r="C273" t="s">
        <v>592</v>
      </c>
    </row>
    <row r="274" spans="1:3">
      <c r="A274" t="s">
        <v>594</v>
      </c>
      <c r="B274" t="s">
        <v>595</v>
      </c>
      <c r="C274" t="s">
        <v>594</v>
      </c>
    </row>
    <row r="275" spans="1:3">
      <c r="A275" t="s">
        <v>596</v>
      </c>
      <c r="B275" t="s">
        <v>597</v>
      </c>
      <c r="C275" t="s">
        <v>596</v>
      </c>
    </row>
    <row r="276" spans="1:3">
      <c r="A276" t="s">
        <v>598</v>
      </c>
      <c r="B276" t="s">
        <v>599</v>
      </c>
      <c r="C276" t="s">
        <v>598</v>
      </c>
    </row>
    <row r="277" spans="1:3">
      <c r="A277" t="s">
        <v>600</v>
      </c>
      <c r="B277" t="s">
        <v>601</v>
      </c>
      <c r="C277" t="s">
        <v>600</v>
      </c>
    </row>
    <row r="278" spans="1:3">
      <c r="A278" t="s">
        <v>602</v>
      </c>
      <c r="B278" t="s">
        <v>603</v>
      </c>
      <c r="C278" t="s">
        <v>602</v>
      </c>
    </row>
    <row r="279" spans="1:3">
      <c r="A279" t="s">
        <v>604</v>
      </c>
      <c r="B279" t="s">
        <v>605</v>
      </c>
      <c r="C279" t="s">
        <v>604</v>
      </c>
    </row>
    <row r="280" spans="1:3">
      <c r="A280" t="s">
        <v>606</v>
      </c>
      <c r="B280" t="s">
        <v>607</v>
      </c>
      <c r="C280" t="s">
        <v>606</v>
      </c>
    </row>
    <row r="281" spans="1:3">
      <c r="A281" t="s">
        <v>608</v>
      </c>
      <c r="B281" t="s">
        <v>609</v>
      </c>
      <c r="C281" t="s">
        <v>608</v>
      </c>
    </row>
    <row r="282" spans="1:3">
      <c r="A282" t="s">
        <v>610</v>
      </c>
      <c r="B282" t="s">
        <v>611</v>
      </c>
      <c r="C282" t="s">
        <v>610</v>
      </c>
    </row>
    <row r="283" spans="1:3">
      <c r="A283" t="s">
        <v>612</v>
      </c>
      <c r="B283" t="s">
        <v>613</v>
      </c>
      <c r="C283" t="s">
        <v>612</v>
      </c>
    </row>
    <row r="284" spans="1:3">
      <c r="A284" t="s">
        <v>614</v>
      </c>
      <c r="B284" t="s">
        <v>615</v>
      </c>
      <c r="C284" t="s">
        <v>614</v>
      </c>
    </row>
    <row r="285" spans="1:3">
      <c r="A285" t="s">
        <v>616</v>
      </c>
      <c r="B285" t="s">
        <v>617</v>
      </c>
      <c r="C285" t="s">
        <v>616</v>
      </c>
    </row>
    <row r="286" spans="1:3">
      <c r="A286" t="s">
        <v>618</v>
      </c>
      <c r="B286" t="s">
        <v>619</v>
      </c>
      <c r="C286" t="s">
        <v>618</v>
      </c>
    </row>
    <row r="287" spans="1:3">
      <c r="A287" t="s">
        <v>620</v>
      </c>
      <c r="B287" t="s">
        <v>621</v>
      </c>
      <c r="C287" t="s">
        <v>620</v>
      </c>
    </row>
    <row r="288" spans="1:3">
      <c r="A288" t="s">
        <v>622</v>
      </c>
      <c r="B288" t="s">
        <v>623</v>
      </c>
      <c r="C288" t="s">
        <v>622</v>
      </c>
    </row>
    <row r="289" spans="1:3">
      <c r="A289" t="s">
        <v>624</v>
      </c>
      <c r="B289" t="s">
        <v>625</v>
      </c>
      <c r="C289" t="s">
        <v>624</v>
      </c>
    </row>
    <row r="290" spans="1:3">
      <c r="A290" t="s">
        <v>626</v>
      </c>
      <c r="B290" t="s">
        <v>627</v>
      </c>
      <c r="C290" t="s">
        <v>626</v>
      </c>
    </row>
    <row r="291" spans="1:3">
      <c r="A291" t="s">
        <v>628</v>
      </c>
      <c r="B291" t="s">
        <v>629</v>
      </c>
      <c r="C291" t="s">
        <v>628</v>
      </c>
    </row>
    <row r="292" spans="1:3">
      <c r="A292" t="s">
        <v>630</v>
      </c>
      <c r="B292" t="s">
        <v>631</v>
      </c>
      <c r="C292" t="s">
        <v>630</v>
      </c>
    </row>
    <row r="293" spans="1:3">
      <c r="A293" t="s">
        <v>632</v>
      </c>
      <c r="B293" t="s">
        <v>633</v>
      </c>
      <c r="C293" t="s">
        <v>632</v>
      </c>
    </row>
    <row r="294" spans="1:3">
      <c r="A294" t="s">
        <v>634</v>
      </c>
      <c r="B294" t="s">
        <v>635</v>
      </c>
      <c r="C294" t="s">
        <v>634</v>
      </c>
    </row>
    <row r="295" spans="1:3">
      <c r="A295" t="s">
        <v>636</v>
      </c>
      <c r="B295" t="s">
        <v>637</v>
      </c>
      <c r="C295" t="s">
        <v>636</v>
      </c>
    </row>
    <row r="296" spans="1:3">
      <c r="A296" t="s">
        <v>638</v>
      </c>
      <c r="B296" t="s">
        <v>639</v>
      </c>
      <c r="C296" t="s">
        <v>638</v>
      </c>
    </row>
    <row r="297" spans="1:3">
      <c r="A297" t="s">
        <v>640</v>
      </c>
      <c r="B297" t="s">
        <v>641</v>
      </c>
      <c r="C297" t="s">
        <v>640</v>
      </c>
    </row>
    <row r="298" spans="1:3">
      <c r="A298" t="s">
        <v>642</v>
      </c>
      <c r="B298" t="s">
        <v>643</v>
      </c>
      <c r="C298" t="s">
        <v>642</v>
      </c>
    </row>
    <row r="299" spans="1:3">
      <c r="A299" t="s">
        <v>644</v>
      </c>
      <c r="B299" t="s">
        <v>645</v>
      </c>
      <c r="C299" t="s">
        <v>644</v>
      </c>
    </row>
    <row r="300" spans="1:3">
      <c r="A300" t="s">
        <v>646</v>
      </c>
      <c r="B300" t="s">
        <v>647</v>
      </c>
      <c r="C300" t="s">
        <v>646</v>
      </c>
    </row>
    <row r="301" spans="1:3">
      <c r="A301" t="s">
        <v>648</v>
      </c>
      <c r="B301" t="s">
        <v>649</v>
      </c>
      <c r="C301" t="s">
        <v>648</v>
      </c>
    </row>
    <row r="302" spans="1:3">
      <c r="A302" t="s">
        <v>650</v>
      </c>
      <c r="B302" t="s">
        <v>651</v>
      </c>
      <c r="C302" t="s">
        <v>650</v>
      </c>
    </row>
    <row r="303" spans="1:3">
      <c r="A303" t="s">
        <v>652</v>
      </c>
      <c r="B303" t="s">
        <v>653</v>
      </c>
      <c r="C303" t="s">
        <v>652</v>
      </c>
    </row>
    <row r="304" spans="1:3">
      <c r="A304" t="s">
        <v>654</v>
      </c>
      <c r="B304" t="s">
        <v>655</v>
      </c>
      <c r="C304" t="s">
        <v>654</v>
      </c>
    </row>
    <row r="305" spans="1:3">
      <c r="A305" t="s">
        <v>656</v>
      </c>
      <c r="B305" t="s">
        <v>657</v>
      </c>
      <c r="C305" t="s">
        <v>656</v>
      </c>
    </row>
    <row r="306" spans="1:3">
      <c r="A306" t="s">
        <v>658</v>
      </c>
      <c r="B306" t="s">
        <v>659</v>
      </c>
      <c r="C306" t="s">
        <v>658</v>
      </c>
    </row>
    <row r="307" spans="1:3">
      <c r="A307" t="s">
        <v>660</v>
      </c>
      <c r="B307" t="s">
        <v>661</v>
      </c>
      <c r="C307" t="s">
        <v>660</v>
      </c>
    </row>
    <row r="308" spans="1:3">
      <c r="A308" t="s">
        <v>662</v>
      </c>
      <c r="B308" t="s">
        <v>663</v>
      </c>
      <c r="C308" t="s">
        <v>662</v>
      </c>
    </row>
    <row r="309" spans="1:3">
      <c r="A309" t="s">
        <v>664</v>
      </c>
      <c r="B309" t="s">
        <v>665</v>
      </c>
      <c r="C309" t="s">
        <v>664</v>
      </c>
    </row>
    <row r="310" spans="1:3">
      <c r="A310" t="s">
        <v>666</v>
      </c>
      <c r="B310" t="s">
        <v>667</v>
      </c>
      <c r="C310" t="s">
        <v>666</v>
      </c>
    </row>
    <row r="311" spans="1:3">
      <c r="A311" t="s">
        <v>668</v>
      </c>
      <c r="B311" t="s">
        <v>669</v>
      </c>
      <c r="C311" t="s">
        <v>668</v>
      </c>
    </row>
    <row r="312" spans="1:3">
      <c r="A312" t="s">
        <v>670</v>
      </c>
      <c r="B312" t="s">
        <v>671</v>
      </c>
      <c r="C312" t="s">
        <v>670</v>
      </c>
    </row>
    <row r="313" spans="1:3">
      <c r="A313" t="s">
        <v>672</v>
      </c>
      <c r="B313" t="s">
        <v>673</v>
      </c>
      <c r="C313" t="s">
        <v>672</v>
      </c>
    </row>
    <row r="314" spans="1:3">
      <c r="A314" t="s">
        <v>674</v>
      </c>
      <c r="B314" t="s">
        <v>675</v>
      </c>
      <c r="C314" t="s">
        <v>674</v>
      </c>
    </row>
    <row r="315" spans="1:3">
      <c r="A315" t="s">
        <v>676</v>
      </c>
      <c r="B315" t="s">
        <v>677</v>
      </c>
      <c r="C315" t="s">
        <v>676</v>
      </c>
    </row>
    <row r="316" spans="1:3">
      <c r="A316" t="s">
        <v>678</v>
      </c>
      <c r="B316" t="s">
        <v>679</v>
      </c>
      <c r="C316" t="s">
        <v>678</v>
      </c>
    </row>
    <row r="317" spans="1:3">
      <c r="A317" t="s">
        <v>1470</v>
      </c>
      <c r="B317" t="s">
        <v>680</v>
      </c>
      <c r="C317" t="s">
        <v>1470</v>
      </c>
    </row>
    <row r="318" spans="1:3">
      <c r="A318" t="s">
        <v>1471</v>
      </c>
      <c r="B318" t="s">
        <v>681</v>
      </c>
      <c r="C318" t="s">
        <v>1471</v>
      </c>
    </row>
    <row r="319" spans="1:3">
      <c r="A319" t="s">
        <v>682</v>
      </c>
      <c r="B319" t="s">
        <v>683</v>
      </c>
      <c r="C319" t="s">
        <v>682</v>
      </c>
    </row>
    <row r="320" spans="1:3">
      <c r="A320" t="s">
        <v>684</v>
      </c>
      <c r="B320" t="s">
        <v>685</v>
      </c>
      <c r="C320" t="s">
        <v>684</v>
      </c>
    </row>
    <row r="321" spans="1:3">
      <c r="A321" t="s">
        <v>686</v>
      </c>
      <c r="B321" t="s">
        <v>687</v>
      </c>
      <c r="C321" t="s">
        <v>686</v>
      </c>
    </row>
    <row r="322" spans="1:3">
      <c r="A322" t="s">
        <v>688</v>
      </c>
      <c r="B322" t="s">
        <v>689</v>
      </c>
      <c r="C322" t="s">
        <v>688</v>
      </c>
    </row>
    <row r="323" spans="1:3">
      <c r="A323" t="s">
        <v>690</v>
      </c>
      <c r="B323" t="s">
        <v>691</v>
      </c>
      <c r="C323" t="s">
        <v>690</v>
      </c>
    </row>
    <row r="324" spans="1:3">
      <c r="A324" t="s">
        <v>692</v>
      </c>
      <c r="B324" t="s">
        <v>693</v>
      </c>
      <c r="C324" t="s">
        <v>692</v>
      </c>
    </row>
    <row r="325" spans="1:3">
      <c r="A325" t="s">
        <v>694</v>
      </c>
      <c r="B325" t="s">
        <v>695</v>
      </c>
      <c r="C325" t="s">
        <v>694</v>
      </c>
    </row>
    <row r="326" spans="1:3">
      <c r="A326" t="s">
        <v>1472</v>
      </c>
      <c r="B326" t="s">
        <v>696</v>
      </c>
      <c r="C326" t="s">
        <v>1472</v>
      </c>
    </row>
    <row r="327" spans="1:3">
      <c r="A327" t="s">
        <v>697</v>
      </c>
      <c r="B327" t="s">
        <v>698</v>
      </c>
      <c r="C327" t="s">
        <v>697</v>
      </c>
    </row>
    <row r="328" spans="1:3">
      <c r="A328" t="s">
        <v>699</v>
      </c>
      <c r="B328" t="s">
        <v>700</v>
      </c>
      <c r="C328" t="s">
        <v>699</v>
      </c>
    </row>
    <row r="329" spans="1:3">
      <c r="A329" t="s">
        <v>701</v>
      </c>
      <c r="B329" t="s">
        <v>702</v>
      </c>
      <c r="C329" t="s">
        <v>701</v>
      </c>
    </row>
    <row r="330" spans="1:3">
      <c r="A330" t="s">
        <v>1473</v>
      </c>
      <c r="B330" t="s">
        <v>703</v>
      </c>
      <c r="C330" t="s">
        <v>1473</v>
      </c>
    </row>
    <row r="331" spans="1:3">
      <c r="A331" t="s">
        <v>704</v>
      </c>
      <c r="B331" t="s">
        <v>705</v>
      </c>
      <c r="C331" t="s">
        <v>704</v>
      </c>
    </row>
    <row r="332" spans="1:3">
      <c r="A332" t="s">
        <v>706</v>
      </c>
      <c r="B332" t="s">
        <v>707</v>
      </c>
      <c r="C332" t="s">
        <v>706</v>
      </c>
    </row>
    <row r="333" spans="1:3">
      <c r="A333" t="s">
        <v>708</v>
      </c>
      <c r="B333" t="s">
        <v>709</v>
      </c>
      <c r="C333" t="s">
        <v>708</v>
      </c>
    </row>
    <row r="334" spans="1:3">
      <c r="A334" t="s">
        <v>710</v>
      </c>
      <c r="B334" t="s">
        <v>711</v>
      </c>
      <c r="C334" t="s">
        <v>710</v>
      </c>
    </row>
    <row r="335" spans="1:3">
      <c r="A335" t="s">
        <v>712</v>
      </c>
      <c r="B335" t="s">
        <v>713</v>
      </c>
      <c r="C335" t="s">
        <v>712</v>
      </c>
    </row>
    <row r="336" spans="1:3">
      <c r="A336" t="s">
        <v>714</v>
      </c>
      <c r="B336" t="s">
        <v>715</v>
      </c>
      <c r="C336" t="s">
        <v>714</v>
      </c>
    </row>
    <row r="337" spans="1:3">
      <c r="A337" t="s">
        <v>716</v>
      </c>
      <c r="B337" t="s">
        <v>717</v>
      </c>
      <c r="C337" t="s">
        <v>716</v>
      </c>
    </row>
    <row r="338" spans="1:3">
      <c r="A338" t="s">
        <v>718</v>
      </c>
      <c r="B338" t="s">
        <v>719</v>
      </c>
      <c r="C338" t="s">
        <v>718</v>
      </c>
    </row>
    <row r="339" spans="1:3">
      <c r="A339" t="s">
        <v>720</v>
      </c>
      <c r="B339" t="s">
        <v>721</v>
      </c>
      <c r="C339" t="s">
        <v>720</v>
      </c>
    </row>
    <row r="340" spans="1:3">
      <c r="A340" t="s">
        <v>722</v>
      </c>
      <c r="B340" t="s">
        <v>723</v>
      </c>
      <c r="C340" t="s">
        <v>722</v>
      </c>
    </row>
    <row r="341" spans="1:3">
      <c r="A341" t="s">
        <v>724</v>
      </c>
      <c r="B341" t="s">
        <v>725</v>
      </c>
      <c r="C341" t="s">
        <v>724</v>
      </c>
    </row>
    <row r="342" spans="1:3">
      <c r="A342" t="s">
        <v>726</v>
      </c>
      <c r="B342" t="s">
        <v>727</v>
      </c>
      <c r="C342" t="s">
        <v>726</v>
      </c>
    </row>
    <row r="343" spans="1:3">
      <c r="A343" t="s">
        <v>728</v>
      </c>
      <c r="B343" t="s">
        <v>729</v>
      </c>
      <c r="C343" t="s">
        <v>728</v>
      </c>
    </row>
    <row r="344" spans="1:3">
      <c r="A344" t="s">
        <v>730</v>
      </c>
      <c r="B344" t="s">
        <v>731</v>
      </c>
      <c r="C344" t="s">
        <v>730</v>
      </c>
    </row>
    <row r="345" spans="1:3">
      <c r="A345" t="s">
        <v>732</v>
      </c>
      <c r="B345" t="s">
        <v>733</v>
      </c>
      <c r="C345" t="s">
        <v>732</v>
      </c>
    </row>
    <row r="346" spans="1:3">
      <c r="A346" t="s">
        <v>734</v>
      </c>
      <c r="B346" t="s">
        <v>735</v>
      </c>
      <c r="C346" t="s">
        <v>734</v>
      </c>
    </row>
    <row r="347" spans="1:3">
      <c r="A347" t="s">
        <v>736</v>
      </c>
      <c r="B347" t="s">
        <v>737</v>
      </c>
      <c r="C347" t="s">
        <v>736</v>
      </c>
    </row>
    <row r="348" spans="1:3">
      <c r="A348" t="s">
        <v>738</v>
      </c>
      <c r="B348" t="s">
        <v>739</v>
      </c>
      <c r="C348" t="s">
        <v>738</v>
      </c>
    </row>
    <row r="349" spans="1:3">
      <c r="A349" t="s">
        <v>740</v>
      </c>
      <c r="B349" t="s">
        <v>741</v>
      </c>
      <c r="C349" t="s">
        <v>740</v>
      </c>
    </row>
    <row r="350" spans="1:3">
      <c r="A350" t="s">
        <v>742</v>
      </c>
      <c r="B350" t="s">
        <v>743</v>
      </c>
      <c r="C350" t="s">
        <v>742</v>
      </c>
    </row>
    <row r="351" spans="1:3">
      <c r="A351" t="s">
        <v>744</v>
      </c>
      <c r="B351" t="s">
        <v>745</v>
      </c>
      <c r="C351" t="s">
        <v>744</v>
      </c>
    </row>
    <row r="352" spans="1:3">
      <c r="A352" t="s">
        <v>746</v>
      </c>
      <c r="B352" t="s">
        <v>747</v>
      </c>
      <c r="C352" t="s">
        <v>746</v>
      </c>
    </row>
    <row r="353" spans="1:3">
      <c r="A353" t="s">
        <v>748</v>
      </c>
      <c r="B353" t="s">
        <v>749</v>
      </c>
      <c r="C353" t="s">
        <v>748</v>
      </c>
    </row>
    <row r="354" spans="1:3">
      <c r="A354" t="s">
        <v>750</v>
      </c>
      <c r="B354" t="s">
        <v>751</v>
      </c>
      <c r="C354" t="s">
        <v>750</v>
      </c>
    </row>
    <row r="355" spans="1:3">
      <c r="A355" t="s">
        <v>752</v>
      </c>
      <c r="B355" t="s">
        <v>753</v>
      </c>
      <c r="C355" t="s">
        <v>752</v>
      </c>
    </row>
    <row r="356" spans="1:3">
      <c r="A356" t="s">
        <v>754</v>
      </c>
      <c r="B356" t="s">
        <v>755</v>
      </c>
      <c r="C356" t="s">
        <v>754</v>
      </c>
    </row>
    <row r="357" spans="1:3">
      <c r="A357" t="s">
        <v>756</v>
      </c>
      <c r="B357" t="s">
        <v>757</v>
      </c>
      <c r="C357" t="s">
        <v>756</v>
      </c>
    </row>
    <row r="358" spans="1:3">
      <c r="A358" t="s">
        <v>758</v>
      </c>
      <c r="B358" t="s">
        <v>759</v>
      </c>
      <c r="C358" t="s">
        <v>758</v>
      </c>
    </row>
    <row r="359" spans="1:3">
      <c r="A359" t="s">
        <v>760</v>
      </c>
      <c r="B359" t="s">
        <v>761</v>
      </c>
      <c r="C359" t="s">
        <v>760</v>
      </c>
    </row>
    <row r="360" spans="1:3">
      <c r="A360" t="s">
        <v>762</v>
      </c>
      <c r="B360" t="s">
        <v>763</v>
      </c>
      <c r="C360" t="s">
        <v>762</v>
      </c>
    </row>
    <row r="361" spans="1:3">
      <c r="A361" t="s">
        <v>764</v>
      </c>
      <c r="B361" t="s">
        <v>765</v>
      </c>
      <c r="C361" t="s">
        <v>764</v>
      </c>
    </row>
    <row r="362" spans="1:3">
      <c r="A362" t="s">
        <v>766</v>
      </c>
      <c r="B362" t="s">
        <v>767</v>
      </c>
      <c r="C362" t="s">
        <v>766</v>
      </c>
    </row>
    <row r="363" spans="1:3">
      <c r="A363" t="s">
        <v>768</v>
      </c>
      <c r="B363" t="s">
        <v>769</v>
      </c>
      <c r="C363" t="s">
        <v>768</v>
      </c>
    </row>
    <row r="364" spans="1:3">
      <c r="A364" t="s">
        <v>770</v>
      </c>
      <c r="B364" t="s">
        <v>771</v>
      </c>
      <c r="C364" t="s">
        <v>770</v>
      </c>
    </row>
    <row r="365" spans="1:3">
      <c r="A365" t="s">
        <v>772</v>
      </c>
      <c r="B365" t="s">
        <v>773</v>
      </c>
      <c r="C365" t="s">
        <v>772</v>
      </c>
    </row>
    <row r="366" spans="1:3">
      <c r="A366" t="s">
        <v>774</v>
      </c>
      <c r="B366" t="s">
        <v>775</v>
      </c>
      <c r="C366" t="s">
        <v>774</v>
      </c>
    </row>
    <row r="367" spans="1:3">
      <c r="A367" t="s">
        <v>776</v>
      </c>
      <c r="B367" t="s">
        <v>777</v>
      </c>
      <c r="C367" t="s">
        <v>776</v>
      </c>
    </row>
    <row r="368" spans="1:3">
      <c r="A368" t="s">
        <v>778</v>
      </c>
      <c r="B368" t="s">
        <v>779</v>
      </c>
      <c r="C368" t="s">
        <v>778</v>
      </c>
    </row>
    <row r="369" spans="1:3">
      <c r="A369" t="s">
        <v>780</v>
      </c>
      <c r="B369" t="s">
        <v>781</v>
      </c>
      <c r="C369" t="s">
        <v>780</v>
      </c>
    </row>
    <row r="370" spans="1:3">
      <c r="A370" t="s">
        <v>782</v>
      </c>
      <c r="B370" t="s">
        <v>783</v>
      </c>
      <c r="C370" t="s">
        <v>782</v>
      </c>
    </row>
    <row r="371" spans="1:3">
      <c r="A371" t="s">
        <v>784</v>
      </c>
      <c r="B371" t="s">
        <v>785</v>
      </c>
      <c r="C371" t="s">
        <v>784</v>
      </c>
    </row>
    <row r="372" spans="1:3">
      <c r="A372" t="s">
        <v>786</v>
      </c>
      <c r="B372" t="s">
        <v>787</v>
      </c>
      <c r="C372" t="s">
        <v>786</v>
      </c>
    </row>
    <row r="373" spans="1:3">
      <c r="A373" t="s">
        <v>788</v>
      </c>
      <c r="B373" t="s">
        <v>789</v>
      </c>
      <c r="C373" t="s">
        <v>788</v>
      </c>
    </row>
    <row r="374" spans="1:3">
      <c r="A374" t="s">
        <v>790</v>
      </c>
      <c r="B374" t="s">
        <v>791</v>
      </c>
      <c r="C374" t="s">
        <v>790</v>
      </c>
    </row>
    <row r="375" spans="1:3">
      <c r="A375" t="s">
        <v>792</v>
      </c>
      <c r="B375" t="s">
        <v>793</v>
      </c>
      <c r="C375" t="s">
        <v>792</v>
      </c>
    </row>
    <row r="376" spans="1:3">
      <c r="A376" t="s">
        <v>794</v>
      </c>
      <c r="B376" t="s">
        <v>795</v>
      </c>
      <c r="C376" t="s">
        <v>794</v>
      </c>
    </row>
    <row r="377" spans="1:3">
      <c r="A377" t="s">
        <v>796</v>
      </c>
      <c r="B377" t="s">
        <v>797</v>
      </c>
      <c r="C377" t="s">
        <v>796</v>
      </c>
    </row>
    <row r="378" spans="1:3">
      <c r="A378" t="s">
        <v>1474</v>
      </c>
      <c r="B378" t="s">
        <v>798</v>
      </c>
      <c r="C378" t="s">
        <v>1474</v>
      </c>
    </row>
    <row r="379" spans="1:3">
      <c r="A379" t="s">
        <v>799</v>
      </c>
      <c r="B379" t="s">
        <v>800</v>
      </c>
      <c r="C379" t="s">
        <v>799</v>
      </c>
    </row>
    <row r="380" spans="1:3">
      <c r="A380" t="s">
        <v>801</v>
      </c>
      <c r="B380" t="s">
        <v>802</v>
      </c>
      <c r="C380" t="s">
        <v>801</v>
      </c>
    </row>
    <row r="381" spans="1:3">
      <c r="A381" t="s">
        <v>803</v>
      </c>
      <c r="B381" t="s">
        <v>804</v>
      </c>
      <c r="C381" t="s">
        <v>803</v>
      </c>
    </row>
    <row r="382" spans="1:3">
      <c r="A382" t="s">
        <v>805</v>
      </c>
      <c r="B382" t="s">
        <v>806</v>
      </c>
      <c r="C382" t="s">
        <v>805</v>
      </c>
    </row>
    <row r="383" spans="1:3">
      <c r="A383" t="s">
        <v>807</v>
      </c>
      <c r="B383" t="s">
        <v>808</v>
      </c>
      <c r="C383" t="s">
        <v>807</v>
      </c>
    </row>
    <row r="384" spans="1:3">
      <c r="A384" t="s">
        <v>809</v>
      </c>
      <c r="B384" t="s">
        <v>810</v>
      </c>
      <c r="C384" t="s">
        <v>809</v>
      </c>
    </row>
    <row r="385" spans="1:3">
      <c r="A385" t="s">
        <v>811</v>
      </c>
      <c r="B385" t="s">
        <v>812</v>
      </c>
      <c r="C385" t="s">
        <v>811</v>
      </c>
    </row>
    <row r="386" spans="1:3">
      <c r="A386" t="s">
        <v>813</v>
      </c>
      <c r="B386" t="s">
        <v>814</v>
      </c>
      <c r="C386" t="s">
        <v>813</v>
      </c>
    </row>
    <row r="387" spans="1:3">
      <c r="A387" t="s">
        <v>815</v>
      </c>
      <c r="B387" t="s">
        <v>816</v>
      </c>
      <c r="C387" t="s">
        <v>815</v>
      </c>
    </row>
    <row r="388" spans="1:3">
      <c r="A388" t="s">
        <v>817</v>
      </c>
      <c r="B388" t="s">
        <v>818</v>
      </c>
      <c r="C388" t="s">
        <v>817</v>
      </c>
    </row>
    <row r="389" spans="1:3">
      <c r="A389" t="s">
        <v>819</v>
      </c>
      <c r="B389" t="s">
        <v>820</v>
      </c>
      <c r="C389" t="s">
        <v>819</v>
      </c>
    </row>
    <row r="390" spans="1:3">
      <c r="A390" t="s">
        <v>821</v>
      </c>
      <c r="B390" t="s">
        <v>822</v>
      </c>
      <c r="C390" t="s">
        <v>821</v>
      </c>
    </row>
    <row r="391" spans="1:3">
      <c r="A391" t="s">
        <v>823</v>
      </c>
      <c r="B391" t="s">
        <v>824</v>
      </c>
      <c r="C391" t="s">
        <v>823</v>
      </c>
    </row>
    <row r="392" spans="1:3">
      <c r="A392" t="s">
        <v>825</v>
      </c>
      <c r="B392" t="s">
        <v>826</v>
      </c>
      <c r="C392" t="s">
        <v>825</v>
      </c>
    </row>
    <row r="393" spans="1:3">
      <c r="A393" t="s">
        <v>827</v>
      </c>
      <c r="B393" t="s">
        <v>828</v>
      </c>
      <c r="C393" t="s">
        <v>827</v>
      </c>
    </row>
    <row r="394" spans="1:3">
      <c r="A394" t="s">
        <v>829</v>
      </c>
      <c r="B394" t="s">
        <v>830</v>
      </c>
      <c r="C394" t="s">
        <v>829</v>
      </c>
    </row>
    <row r="395" spans="1:3">
      <c r="A395" t="s">
        <v>831</v>
      </c>
      <c r="B395" t="s">
        <v>832</v>
      </c>
      <c r="C395" t="s">
        <v>831</v>
      </c>
    </row>
    <row r="396" spans="1:3">
      <c r="A396" t="s">
        <v>833</v>
      </c>
      <c r="B396" t="s">
        <v>834</v>
      </c>
      <c r="C396" t="s">
        <v>833</v>
      </c>
    </row>
    <row r="397" spans="1:3">
      <c r="A397" t="s">
        <v>835</v>
      </c>
      <c r="B397" t="s">
        <v>836</v>
      </c>
      <c r="C397" t="s">
        <v>835</v>
      </c>
    </row>
    <row r="398" spans="1:3">
      <c r="A398" t="s">
        <v>837</v>
      </c>
      <c r="B398" t="s">
        <v>838</v>
      </c>
      <c r="C398" t="s">
        <v>837</v>
      </c>
    </row>
    <row r="399" spans="1:3">
      <c r="A399" t="s">
        <v>839</v>
      </c>
      <c r="B399" t="s">
        <v>840</v>
      </c>
      <c r="C399" t="s">
        <v>839</v>
      </c>
    </row>
    <row r="400" spans="1:3">
      <c r="A400" t="s">
        <v>841</v>
      </c>
      <c r="B400" t="s">
        <v>842</v>
      </c>
      <c r="C400" t="s">
        <v>841</v>
      </c>
    </row>
    <row r="401" spans="1:3">
      <c r="A401" t="s">
        <v>1475</v>
      </c>
      <c r="B401" t="s">
        <v>843</v>
      </c>
      <c r="C401" t="s">
        <v>1475</v>
      </c>
    </row>
    <row r="402" spans="1:3">
      <c r="A402" t="s">
        <v>844</v>
      </c>
      <c r="B402" t="s">
        <v>845</v>
      </c>
      <c r="C402" t="s">
        <v>844</v>
      </c>
    </row>
    <row r="403" spans="1:3">
      <c r="A403" t="s">
        <v>1476</v>
      </c>
      <c r="B403" t="s">
        <v>846</v>
      </c>
      <c r="C403" t="s">
        <v>1476</v>
      </c>
    </row>
    <row r="404" spans="1:3">
      <c r="A404" t="s">
        <v>847</v>
      </c>
      <c r="B404" t="s">
        <v>848</v>
      </c>
      <c r="C404" t="s">
        <v>847</v>
      </c>
    </row>
    <row r="405" spans="1:3">
      <c r="A405" t="s">
        <v>849</v>
      </c>
      <c r="B405" t="s">
        <v>850</v>
      </c>
      <c r="C405" t="s">
        <v>849</v>
      </c>
    </row>
    <row r="406" spans="1:3">
      <c r="A406" t="s">
        <v>851</v>
      </c>
      <c r="B406" t="s">
        <v>852</v>
      </c>
      <c r="C406" t="s">
        <v>851</v>
      </c>
    </row>
    <row r="407" spans="1:3">
      <c r="A407" t="s">
        <v>853</v>
      </c>
      <c r="B407" t="s">
        <v>854</v>
      </c>
      <c r="C407" t="s">
        <v>853</v>
      </c>
    </row>
    <row r="408" spans="1:3">
      <c r="A408" t="s">
        <v>855</v>
      </c>
      <c r="B408" t="s">
        <v>856</v>
      </c>
      <c r="C408" t="s">
        <v>855</v>
      </c>
    </row>
    <row r="409" spans="1:3">
      <c r="A409" t="s">
        <v>857</v>
      </c>
      <c r="B409" t="s">
        <v>858</v>
      </c>
      <c r="C409" t="s">
        <v>857</v>
      </c>
    </row>
    <row r="410" spans="1:3">
      <c r="A410" t="s">
        <v>859</v>
      </c>
      <c r="B410" t="s">
        <v>860</v>
      </c>
      <c r="C410" t="s">
        <v>859</v>
      </c>
    </row>
    <row r="411" spans="1:3">
      <c r="A411" t="s">
        <v>861</v>
      </c>
      <c r="B411" t="s">
        <v>862</v>
      </c>
      <c r="C411" t="s">
        <v>861</v>
      </c>
    </row>
    <row r="412" spans="1:3">
      <c r="A412" t="s">
        <v>863</v>
      </c>
      <c r="B412" t="s">
        <v>864</v>
      </c>
      <c r="C412" t="s">
        <v>863</v>
      </c>
    </row>
    <row r="413" spans="1:3">
      <c r="A413" t="s">
        <v>1477</v>
      </c>
      <c r="B413" t="s">
        <v>865</v>
      </c>
      <c r="C413" t="s">
        <v>1477</v>
      </c>
    </row>
    <row r="414" spans="1:3">
      <c r="A414" t="s">
        <v>866</v>
      </c>
      <c r="B414" t="s">
        <v>867</v>
      </c>
      <c r="C414" t="s">
        <v>866</v>
      </c>
    </row>
    <row r="415" spans="1:3">
      <c r="A415" t="s">
        <v>868</v>
      </c>
      <c r="B415" t="s">
        <v>869</v>
      </c>
      <c r="C415" t="s">
        <v>868</v>
      </c>
    </row>
    <row r="416" spans="1:3">
      <c r="A416" t="s">
        <v>870</v>
      </c>
      <c r="B416" t="s">
        <v>871</v>
      </c>
      <c r="C416" t="s">
        <v>870</v>
      </c>
    </row>
    <row r="417" spans="1:3">
      <c r="A417" t="s">
        <v>872</v>
      </c>
      <c r="B417" t="s">
        <v>873</v>
      </c>
      <c r="C417" t="s">
        <v>872</v>
      </c>
    </row>
    <row r="418" spans="1:3">
      <c r="A418" t="s">
        <v>874</v>
      </c>
      <c r="B418" t="s">
        <v>875</v>
      </c>
      <c r="C418" t="s">
        <v>874</v>
      </c>
    </row>
    <row r="419" spans="1:3">
      <c r="A419" t="s">
        <v>876</v>
      </c>
      <c r="B419" t="s">
        <v>877</v>
      </c>
      <c r="C419" t="s">
        <v>876</v>
      </c>
    </row>
    <row r="420" spans="1:3">
      <c r="A420" t="s">
        <v>878</v>
      </c>
      <c r="B420" t="s">
        <v>879</v>
      </c>
      <c r="C420" t="s">
        <v>878</v>
      </c>
    </row>
    <row r="421" spans="1:3">
      <c r="A421" t="s">
        <v>880</v>
      </c>
      <c r="B421" t="s">
        <v>881</v>
      </c>
      <c r="C421" t="s">
        <v>880</v>
      </c>
    </row>
    <row r="422" spans="1:3">
      <c r="A422" t="s">
        <v>882</v>
      </c>
      <c r="B422" t="s">
        <v>883</v>
      </c>
      <c r="C422" t="s">
        <v>882</v>
      </c>
    </row>
    <row r="423" spans="1:3">
      <c r="A423" t="s">
        <v>884</v>
      </c>
      <c r="B423" t="s">
        <v>885</v>
      </c>
      <c r="C423" t="s">
        <v>884</v>
      </c>
    </row>
    <row r="424" spans="1:3">
      <c r="A424" t="s">
        <v>886</v>
      </c>
      <c r="B424" t="s">
        <v>887</v>
      </c>
      <c r="C424" t="s">
        <v>886</v>
      </c>
    </row>
    <row r="425" spans="1:3">
      <c r="A425" t="s">
        <v>888</v>
      </c>
      <c r="B425" t="s">
        <v>889</v>
      </c>
      <c r="C425" t="s">
        <v>888</v>
      </c>
    </row>
    <row r="426" spans="1:3">
      <c r="A426" t="s">
        <v>890</v>
      </c>
      <c r="B426" t="s">
        <v>891</v>
      </c>
      <c r="C426" t="s">
        <v>890</v>
      </c>
    </row>
    <row r="427" spans="1:3">
      <c r="A427" t="s">
        <v>892</v>
      </c>
      <c r="B427" t="s">
        <v>893</v>
      </c>
      <c r="C427" t="s">
        <v>892</v>
      </c>
    </row>
    <row r="428" spans="1:3">
      <c r="A428" t="s">
        <v>894</v>
      </c>
      <c r="B428" t="s">
        <v>895</v>
      </c>
      <c r="C428" t="s">
        <v>894</v>
      </c>
    </row>
    <row r="429" spans="1:3">
      <c r="A429" t="s">
        <v>896</v>
      </c>
      <c r="B429" t="s">
        <v>897</v>
      </c>
      <c r="C429" t="s">
        <v>896</v>
      </c>
    </row>
    <row r="430" spans="1:3">
      <c r="A430" t="s">
        <v>898</v>
      </c>
      <c r="B430" t="s">
        <v>899</v>
      </c>
      <c r="C430" t="s">
        <v>898</v>
      </c>
    </row>
    <row r="431" spans="1:3">
      <c r="A431" t="s">
        <v>900</v>
      </c>
      <c r="B431" t="s">
        <v>901</v>
      </c>
      <c r="C431" t="s">
        <v>900</v>
      </c>
    </row>
    <row r="432" spans="1:3">
      <c r="A432" t="s">
        <v>902</v>
      </c>
      <c r="B432" t="s">
        <v>903</v>
      </c>
      <c r="C432" t="s">
        <v>902</v>
      </c>
    </row>
    <row r="433" spans="1:3">
      <c r="A433" t="s">
        <v>904</v>
      </c>
      <c r="B433" t="s">
        <v>905</v>
      </c>
      <c r="C433" t="s">
        <v>904</v>
      </c>
    </row>
    <row r="434" spans="1:3">
      <c r="A434" t="s">
        <v>906</v>
      </c>
      <c r="B434" t="s">
        <v>907</v>
      </c>
      <c r="C434" t="s">
        <v>906</v>
      </c>
    </row>
    <row r="435" spans="1:3">
      <c r="A435" t="s">
        <v>908</v>
      </c>
      <c r="B435" t="s">
        <v>909</v>
      </c>
      <c r="C435" t="s">
        <v>908</v>
      </c>
    </row>
    <row r="436" spans="1:3">
      <c r="A436" t="s">
        <v>910</v>
      </c>
      <c r="B436" t="s">
        <v>911</v>
      </c>
      <c r="C436" t="s">
        <v>910</v>
      </c>
    </row>
    <row r="437" spans="1:3">
      <c r="A437" t="s">
        <v>912</v>
      </c>
      <c r="B437" t="s">
        <v>913</v>
      </c>
      <c r="C437" t="s">
        <v>912</v>
      </c>
    </row>
    <row r="438" spans="1:3">
      <c r="A438" t="s">
        <v>914</v>
      </c>
      <c r="B438" t="s">
        <v>915</v>
      </c>
      <c r="C438" t="s">
        <v>914</v>
      </c>
    </row>
    <row r="439" spans="1:3">
      <c r="A439" t="s">
        <v>916</v>
      </c>
      <c r="B439" t="s">
        <v>917</v>
      </c>
      <c r="C439" t="s">
        <v>916</v>
      </c>
    </row>
    <row r="440" spans="1:3">
      <c r="A440" t="s">
        <v>918</v>
      </c>
      <c r="B440" t="s">
        <v>919</v>
      </c>
      <c r="C440" t="s">
        <v>918</v>
      </c>
    </row>
    <row r="441" spans="1:3">
      <c r="A441" t="s">
        <v>920</v>
      </c>
      <c r="B441" t="s">
        <v>921</v>
      </c>
      <c r="C441" t="s">
        <v>920</v>
      </c>
    </row>
    <row r="442" spans="1:3">
      <c r="A442" t="s">
        <v>1478</v>
      </c>
      <c r="B442" t="s">
        <v>922</v>
      </c>
      <c r="C442" t="s">
        <v>1478</v>
      </c>
    </row>
    <row r="443" spans="1:3">
      <c r="A443" t="s">
        <v>923</v>
      </c>
      <c r="B443" t="s">
        <v>924</v>
      </c>
      <c r="C443" t="s">
        <v>923</v>
      </c>
    </row>
    <row r="444" spans="1:3">
      <c r="A444" t="s">
        <v>925</v>
      </c>
      <c r="B444" t="s">
        <v>926</v>
      </c>
      <c r="C444" t="s">
        <v>925</v>
      </c>
    </row>
    <row r="445" spans="1:3">
      <c r="A445" t="s">
        <v>927</v>
      </c>
      <c r="B445" t="s">
        <v>928</v>
      </c>
      <c r="C445" t="s">
        <v>927</v>
      </c>
    </row>
    <row r="446" spans="1:3">
      <c r="A446" t="s">
        <v>929</v>
      </c>
      <c r="B446" t="s">
        <v>930</v>
      </c>
      <c r="C446" t="s">
        <v>929</v>
      </c>
    </row>
    <row r="447" spans="1:3">
      <c r="A447" t="s">
        <v>931</v>
      </c>
      <c r="B447" t="s">
        <v>932</v>
      </c>
      <c r="C447" t="s">
        <v>931</v>
      </c>
    </row>
    <row r="448" spans="1:3">
      <c r="A448" t="s">
        <v>933</v>
      </c>
      <c r="B448" t="s">
        <v>934</v>
      </c>
      <c r="C448" t="s">
        <v>933</v>
      </c>
    </row>
    <row r="449" spans="1:3">
      <c r="A449" t="s">
        <v>935</v>
      </c>
      <c r="B449" t="s">
        <v>936</v>
      </c>
      <c r="C449" t="s">
        <v>935</v>
      </c>
    </row>
    <row r="450" spans="1:3">
      <c r="A450" t="s">
        <v>937</v>
      </c>
      <c r="B450" t="s">
        <v>938</v>
      </c>
      <c r="C450" t="s">
        <v>937</v>
      </c>
    </row>
    <row r="451" spans="1:3">
      <c r="A451" t="s">
        <v>939</v>
      </c>
      <c r="B451" t="s">
        <v>940</v>
      </c>
      <c r="C451" t="s">
        <v>939</v>
      </c>
    </row>
    <row r="452" spans="1:3">
      <c r="A452" t="s">
        <v>941</v>
      </c>
      <c r="B452" t="s">
        <v>942</v>
      </c>
      <c r="C452" t="s">
        <v>941</v>
      </c>
    </row>
    <row r="453" spans="1:3">
      <c r="A453" t="s">
        <v>943</v>
      </c>
      <c r="B453" t="s">
        <v>944</v>
      </c>
      <c r="C453" t="s">
        <v>943</v>
      </c>
    </row>
    <row r="454" spans="1:3">
      <c r="A454" t="s">
        <v>945</v>
      </c>
      <c r="B454" t="s">
        <v>946</v>
      </c>
      <c r="C454" t="s">
        <v>945</v>
      </c>
    </row>
    <row r="455" spans="1:3">
      <c r="A455" t="s">
        <v>947</v>
      </c>
      <c r="B455" t="s">
        <v>948</v>
      </c>
      <c r="C455" t="s">
        <v>947</v>
      </c>
    </row>
    <row r="456" spans="1:3">
      <c r="A456" t="s">
        <v>949</v>
      </c>
      <c r="B456" t="s">
        <v>950</v>
      </c>
      <c r="C456" t="s">
        <v>949</v>
      </c>
    </row>
    <row r="457" spans="1:3">
      <c r="A457" t="s">
        <v>951</v>
      </c>
      <c r="B457" t="s">
        <v>952</v>
      </c>
      <c r="C457" t="s">
        <v>951</v>
      </c>
    </row>
    <row r="458" spans="1:3">
      <c r="A458" t="s">
        <v>953</v>
      </c>
      <c r="B458" t="s">
        <v>954</v>
      </c>
      <c r="C458" t="s">
        <v>953</v>
      </c>
    </row>
    <row r="459" spans="1:3">
      <c r="A459" t="s">
        <v>955</v>
      </c>
      <c r="B459" t="s">
        <v>956</v>
      </c>
      <c r="C459" t="s">
        <v>955</v>
      </c>
    </row>
    <row r="460" spans="1:3">
      <c r="A460" t="s">
        <v>1479</v>
      </c>
      <c r="B460" t="s">
        <v>957</v>
      </c>
      <c r="C460" t="s">
        <v>1479</v>
      </c>
    </row>
    <row r="461" spans="1:3">
      <c r="A461" t="s">
        <v>958</v>
      </c>
      <c r="B461" t="s">
        <v>42</v>
      </c>
      <c r="C461" t="s">
        <v>958</v>
      </c>
    </row>
    <row r="462" spans="1:3">
      <c r="A462" t="s">
        <v>959</v>
      </c>
      <c r="B462" t="s">
        <v>45</v>
      </c>
      <c r="C462" t="s">
        <v>959</v>
      </c>
    </row>
    <row r="463" spans="1:3">
      <c r="A463" t="s">
        <v>960</v>
      </c>
      <c r="B463" t="s">
        <v>48</v>
      </c>
      <c r="C463" t="s">
        <v>960</v>
      </c>
    </row>
    <row r="464" spans="1:3">
      <c r="A464" t="s">
        <v>961</v>
      </c>
      <c r="B464" t="s">
        <v>962</v>
      </c>
      <c r="C464" t="s">
        <v>961</v>
      </c>
    </row>
    <row r="465" spans="1:3">
      <c r="A465" t="s">
        <v>963</v>
      </c>
      <c r="B465" t="s">
        <v>51</v>
      </c>
      <c r="C465" t="s">
        <v>963</v>
      </c>
    </row>
    <row r="466" spans="1:3">
      <c r="A466" t="s">
        <v>964</v>
      </c>
      <c r="B466" t="s">
        <v>54</v>
      </c>
      <c r="C466" t="s">
        <v>964</v>
      </c>
    </row>
    <row r="467" spans="1:3">
      <c r="A467" t="s">
        <v>965</v>
      </c>
      <c r="B467" t="s">
        <v>57</v>
      </c>
      <c r="C467" t="s">
        <v>965</v>
      </c>
    </row>
    <row r="468" spans="1:3">
      <c r="A468" t="s">
        <v>966</v>
      </c>
      <c r="B468" t="s">
        <v>967</v>
      </c>
      <c r="C468" t="s">
        <v>966</v>
      </c>
    </row>
    <row r="469" spans="1:3">
      <c r="A469" t="s">
        <v>968</v>
      </c>
      <c r="B469" t="s">
        <v>60</v>
      </c>
      <c r="C469" t="s">
        <v>968</v>
      </c>
    </row>
    <row r="470" spans="1:3">
      <c r="A470" t="s">
        <v>969</v>
      </c>
      <c r="B470" t="s">
        <v>63</v>
      </c>
      <c r="C470" t="s">
        <v>969</v>
      </c>
    </row>
    <row r="471" spans="1:3">
      <c r="A471" t="s">
        <v>970</v>
      </c>
      <c r="B471" t="s">
        <v>971</v>
      </c>
      <c r="C471" t="s">
        <v>970</v>
      </c>
    </row>
    <row r="472" spans="1:3">
      <c r="A472" t="s">
        <v>972</v>
      </c>
      <c r="B472" t="s">
        <v>66</v>
      </c>
      <c r="C472" t="s">
        <v>972</v>
      </c>
    </row>
    <row r="473" spans="1:3">
      <c r="A473" t="s">
        <v>973</v>
      </c>
      <c r="B473" t="s">
        <v>974</v>
      </c>
      <c r="C473" t="s">
        <v>973</v>
      </c>
    </row>
    <row r="474" spans="1:3">
      <c r="A474" t="s">
        <v>975</v>
      </c>
      <c r="B474" t="s">
        <v>73</v>
      </c>
      <c r="C474" t="s">
        <v>975</v>
      </c>
    </row>
    <row r="475" spans="1:3">
      <c r="A475" t="s">
        <v>976</v>
      </c>
      <c r="B475" t="s">
        <v>977</v>
      </c>
      <c r="C475" t="s">
        <v>976</v>
      </c>
    </row>
    <row r="476" spans="1:3">
      <c r="A476" t="s">
        <v>978</v>
      </c>
      <c r="B476" t="s">
        <v>979</v>
      </c>
      <c r="C476" t="s">
        <v>978</v>
      </c>
    </row>
    <row r="477" spans="1:3">
      <c r="A477" t="s">
        <v>980</v>
      </c>
      <c r="B477" t="s">
        <v>981</v>
      </c>
      <c r="C477" t="s">
        <v>980</v>
      </c>
    </row>
    <row r="478" spans="1:3">
      <c r="A478" t="s">
        <v>982</v>
      </c>
      <c r="B478" t="s">
        <v>983</v>
      </c>
      <c r="C478" t="s">
        <v>982</v>
      </c>
    </row>
    <row r="479" spans="1:3">
      <c r="A479" t="s">
        <v>984</v>
      </c>
      <c r="B479" t="s">
        <v>76</v>
      </c>
      <c r="C479" t="s">
        <v>984</v>
      </c>
    </row>
    <row r="480" spans="1:3">
      <c r="A480" t="s">
        <v>985</v>
      </c>
      <c r="B480" t="s">
        <v>986</v>
      </c>
      <c r="C480" t="s">
        <v>985</v>
      </c>
    </row>
    <row r="481" spans="1:3">
      <c r="A481" t="s">
        <v>987</v>
      </c>
      <c r="B481" t="s">
        <v>988</v>
      </c>
      <c r="C481" t="s">
        <v>987</v>
      </c>
    </row>
    <row r="482" spans="1:3">
      <c r="A482" t="s">
        <v>989</v>
      </c>
      <c r="B482" t="s">
        <v>990</v>
      </c>
      <c r="C482" t="s">
        <v>989</v>
      </c>
    </row>
    <row r="483" spans="1:3">
      <c r="A483" t="s">
        <v>991</v>
      </c>
      <c r="B483" t="s">
        <v>992</v>
      </c>
      <c r="C483" t="s">
        <v>991</v>
      </c>
    </row>
    <row r="484" spans="1:3">
      <c r="A484" t="s">
        <v>993</v>
      </c>
      <c r="B484" t="s">
        <v>994</v>
      </c>
      <c r="C484" t="s">
        <v>993</v>
      </c>
    </row>
    <row r="485" spans="1:3">
      <c r="A485" t="s">
        <v>995</v>
      </c>
      <c r="B485" t="s">
        <v>79</v>
      </c>
      <c r="C485" t="s">
        <v>995</v>
      </c>
    </row>
    <row r="486" spans="1:3">
      <c r="A486" t="s">
        <v>996</v>
      </c>
      <c r="B486" t="s">
        <v>82</v>
      </c>
      <c r="C486" t="s">
        <v>996</v>
      </c>
    </row>
    <row r="487" spans="1:3">
      <c r="A487" t="s">
        <v>997</v>
      </c>
      <c r="B487" t="s">
        <v>85</v>
      </c>
      <c r="C487" t="s">
        <v>997</v>
      </c>
    </row>
    <row r="488" spans="1:3">
      <c r="A488" t="s">
        <v>998</v>
      </c>
      <c r="B488" t="s">
        <v>88</v>
      </c>
      <c r="C488" t="s">
        <v>998</v>
      </c>
    </row>
    <row r="489" spans="1:3">
      <c r="A489" t="s">
        <v>999</v>
      </c>
      <c r="B489" t="s">
        <v>91</v>
      </c>
      <c r="C489" t="s">
        <v>999</v>
      </c>
    </row>
    <row r="490" spans="1:3">
      <c r="A490" t="s">
        <v>1000</v>
      </c>
      <c r="B490" t="s">
        <v>94</v>
      </c>
      <c r="C490" t="s">
        <v>1000</v>
      </c>
    </row>
    <row r="491" spans="1:3">
      <c r="A491" t="s">
        <v>1001</v>
      </c>
      <c r="B491" t="s">
        <v>97</v>
      </c>
      <c r="C491" t="s">
        <v>1001</v>
      </c>
    </row>
    <row r="492" spans="1:3">
      <c r="A492" t="s">
        <v>1480</v>
      </c>
      <c r="B492" t="s">
        <v>1002</v>
      </c>
      <c r="C492" t="s">
        <v>1480</v>
      </c>
    </row>
    <row r="493" spans="1:3">
      <c r="A493" t="s">
        <v>1003</v>
      </c>
      <c r="B493" t="s">
        <v>1004</v>
      </c>
      <c r="C493" t="s">
        <v>1003</v>
      </c>
    </row>
    <row r="494" spans="1:3">
      <c r="A494" t="s">
        <v>1005</v>
      </c>
      <c r="B494" t="s">
        <v>1006</v>
      </c>
      <c r="C494" t="s">
        <v>1005</v>
      </c>
    </row>
    <row r="495" spans="1:3">
      <c r="A495" t="s">
        <v>1007</v>
      </c>
      <c r="B495" t="s">
        <v>1008</v>
      </c>
      <c r="C495" t="s">
        <v>1007</v>
      </c>
    </row>
    <row r="496" spans="1:3">
      <c r="A496" t="s">
        <v>1009</v>
      </c>
      <c r="B496" t="s">
        <v>1010</v>
      </c>
      <c r="C496" t="s">
        <v>1009</v>
      </c>
    </row>
    <row r="497" spans="1:3">
      <c r="A497" t="s">
        <v>1011</v>
      </c>
      <c r="B497" t="s">
        <v>1012</v>
      </c>
      <c r="C497" t="s">
        <v>1011</v>
      </c>
    </row>
    <row r="498" spans="1:3">
      <c r="A498" t="s">
        <v>1013</v>
      </c>
      <c r="B498" t="s">
        <v>1014</v>
      </c>
      <c r="C498" t="s">
        <v>1013</v>
      </c>
    </row>
    <row r="499" spans="1:3">
      <c r="A499" t="s">
        <v>1015</v>
      </c>
      <c r="B499" t="s">
        <v>106</v>
      </c>
      <c r="C499" t="s">
        <v>1015</v>
      </c>
    </row>
    <row r="500" spans="1:3">
      <c r="A500" t="s">
        <v>1016</v>
      </c>
      <c r="B500" t="s">
        <v>1017</v>
      </c>
      <c r="C500" t="s">
        <v>1016</v>
      </c>
    </row>
    <row r="501" spans="1:3">
      <c r="A501" t="s">
        <v>1018</v>
      </c>
      <c r="B501" t="s">
        <v>1019</v>
      </c>
      <c r="C501" t="s">
        <v>1018</v>
      </c>
    </row>
    <row r="502" spans="1:3">
      <c r="A502" t="s">
        <v>1020</v>
      </c>
      <c r="B502" t="s">
        <v>1021</v>
      </c>
      <c r="C502" t="s">
        <v>1020</v>
      </c>
    </row>
    <row r="503" spans="1:3">
      <c r="A503" t="s">
        <v>1022</v>
      </c>
      <c r="B503" t="s">
        <v>1023</v>
      </c>
      <c r="C503" t="s">
        <v>1022</v>
      </c>
    </row>
    <row r="504" spans="1:3">
      <c r="A504" t="s">
        <v>1024</v>
      </c>
      <c r="B504" t="s">
        <v>1025</v>
      </c>
      <c r="C504" t="s">
        <v>1024</v>
      </c>
    </row>
    <row r="505" spans="1:3">
      <c r="A505" t="s">
        <v>1026</v>
      </c>
      <c r="B505" t="s">
        <v>1027</v>
      </c>
      <c r="C505" t="s">
        <v>1026</v>
      </c>
    </row>
    <row r="506" spans="1:3">
      <c r="A506" t="s">
        <v>1028</v>
      </c>
      <c r="B506" t="s">
        <v>1029</v>
      </c>
      <c r="C506" t="s">
        <v>1028</v>
      </c>
    </row>
    <row r="507" spans="1:3">
      <c r="A507" t="s">
        <v>1030</v>
      </c>
      <c r="B507" t="s">
        <v>1031</v>
      </c>
      <c r="C507" t="s">
        <v>1030</v>
      </c>
    </row>
    <row r="508" spans="1:3">
      <c r="A508" t="s">
        <v>1032</v>
      </c>
      <c r="B508" t="s">
        <v>1033</v>
      </c>
      <c r="C508" t="s">
        <v>1032</v>
      </c>
    </row>
    <row r="509" spans="1:3">
      <c r="A509" t="s">
        <v>1034</v>
      </c>
      <c r="B509" t="s">
        <v>1035</v>
      </c>
      <c r="C509" t="s">
        <v>1034</v>
      </c>
    </row>
    <row r="510" spans="1:3">
      <c r="A510" t="s">
        <v>1036</v>
      </c>
      <c r="B510" t="s">
        <v>1037</v>
      </c>
      <c r="C510" t="s">
        <v>1036</v>
      </c>
    </row>
    <row r="511" spans="1:3">
      <c r="A511" t="s">
        <v>1038</v>
      </c>
      <c r="B511" t="s">
        <v>1039</v>
      </c>
      <c r="C511" t="s">
        <v>1038</v>
      </c>
    </row>
    <row r="512" spans="1:3">
      <c r="A512" t="s">
        <v>1040</v>
      </c>
      <c r="B512" t="s">
        <v>1041</v>
      </c>
      <c r="C512" t="s">
        <v>1040</v>
      </c>
    </row>
    <row r="513" spans="1:3">
      <c r="A513" t="s">
        <v>1042</v>
      </c>
      <c r="B513" t="s">
        <v>1043</v>
      </c>
      <c r="C513" t="s">
        <v>1042</v>
      </c>
    </row>
    <row r="514" spans="1:3">
      <c r="A514" t="s">
        <v>1044</v>
      </c>
      <c r="B514" t="s">
        <v>1045</v>
      </c>
      <c r="C514" t="s">
        <v>1044</v>
      </c>
    </row>
    <row r="515" spans="1:3">
      <c r="A515" t="s">
        <v>1046</v>
      </c>
      <c r="B515" t="s">
        <v>1047</v>
      </c>
      <c r="C515" t="s">
        <v>1046</v>
      </c>
    </row>
    <row r="516" spans="1:3">
      <c r="A516" t="s">
        <v>1048</v>
      </c>
      <c r="B516" t="s">
        <v>1049</v>
      </c>
      <c r="C516" t="s">
        <v>1048</v>
      </c>
    </row>
    <row r="517" spans="1:3">
      <c r="A517" t="s">
        <v>1050</v>
      </c>
      <c r="B517" t="s">
        <v>1051</v>
      </c>
      <c r="C517" t="s">
        <v>1050</v>
      </c>
    </row>
    <row r="518" spans="1:3">
      <c r="A518" t="s">
        <v>1052</v>
      </c>
      <c r="B518" t="s">
        <v>1053</v>
      </c>
      <c r="C518" t="s">
        <v>1052</v>
      </c>
    </row>
    <row r="519" spans="1:3">
      <c r="A519" t="s">
        <v>1054</v>
      </c>
      <c r="B519" t="s">
        <v>1055</v>
      </c>
      <c r="C519" t="s">
        <v>1054</v>
      </c>
    </row>
    <row r="520" spans="1:3">
      <c r="A520" t="s">
        <v>1056</v>
      </c>
      <c r="B520" t="s">
        <v>1057</v>
      </c>
      <c r="C520" t="s">
        <v>1056</v>
      </c>
    </row>
    <row r="521" spans="1:3">
      <c r="A521" t="s">
        <v>1058</v>
      </c>
      <c r="B521" t="s">
        <v>1059</v>
      </c>
      <c r="C521" t="s">
        <v>1058</v>
      </c>
    </row>
    <row r="522" spans="1:3">
      <c r="A522" t="s">
        <v>1060</v>
      </c>
      <c r="B522" t="s">
        <v>1061</v>
      </c>
      <c r="C522" t="s">
        <v>1060</v>
      </c>
    </row>
    <row r="523" spans="1:3">
      <c r="A523" t="s">
        <v>1062</v>
      </c>
      <c r="B523" t="s">
        <v>1063</v>
      </c>
      <c r="C523" t="s">
        <v>1062</v>
      </c>
    </row>
    <row r="524" spans="1:3">
      <c r="A524" t="s">
        <v>1064</v>
      </c>
      <c r="B524" t="s">
        <v>1065</v>
      </c>
      <c r="C524" t="s">
        <v>1064</v>
      </c>
    </row>
    <row r="525" spans="1:3">
      <c r="A525" t="s">
        <v>1481</v>
      </c>
      <c r="B525" t="s">
        <v>1066</v>
      </c>
      <c r="C525" t="s">
        <v>1481</v>
      </c>
    </row>
    <row r="526" spans="1:3">
      <c r="A526" t="s">
        <v>1482</v>
      </c>
      <c r="B526" t="s">
        <v>1067</v>
      </c>
      <c r="C526" t="s">
        <v>1482</v>
      </c>
    </row>
    <row r="527" spans="1:3">
      <c r="A527" t="s">
        <v>1483</v>
      </c>
      <c r="B527" t="s">
        <v>1068</v>
      </c>
      <c r="C527" t="s">
        <v>1483</v>
      </c>
    </row>
    <row r="528" spans="1:3">
      <c r="A528" t="s">
        <v>1069</v>
      </c>
      <c r="B528" t="s">
        <v>1070</v>
      </c>
      <c r="C528" t="s">
        <v>1069</v>
      </c>
    </row>
    <row r="529" spans="1:3">
      <c r="A529" t="s">
        <v>1484</v>
      </c>
      <c r="B529" t="s">
        <v>1071</v>
      </c>
      <c r="C529" t="s">
        <v>1484</v>
      </c>
    </row>
    <row r="530" spans="1:3">
      <c r="A530" t="s">
        <v>1072</v>
      </c>
      <c r="B530" t="s">
        <v>1073</v>
      </c>
      <c r="C530" t="s">
        <v>1072</v>
      </c>
    </row>
    <row r="531" spans="1:3">
      <c r="A531" t="s">
        <v>1074</v>
      </c>
      <c r="B531" t="s">
        <v>1075</v>
      </c>
      <c r="C531" t="s">
        <v>1074</v>
      </c>
    </row>
    <row r="532" spans="1:3">
      <c r="A532" t="s">
        <v>1076</v>
      </c>
      <c r="B532" t="s">
        <v>1077</v>
      </c>
      <c r="C532" t="s">
        <v>1076</v>
      </c>
    </row>
    <row r="533" spans="1:3">
      <c r="A533" t="s">
        <v>1078</v>
      </c>
      <c r="B533" t="s">
        <v>1079</v>
      </c>
      <c r="C533" t="s">
        <v>1078</v>
      </c>
    </row>
    <row r="534" spans="1:3">
      <c r="A534" t="s">
        <v>1080</v>
      </c>
      <c r="B534" t="s">
        <v>1081</v>
      </c>
      <c r="C534" t="s">
        <v>1080</v>
      </c>
    </row>
    <row r="535" spans="1:3">
      <c r="A535" t="s">
        <v>1082</v>
      </c>
      <c r="B535" t="s">
        <v>1083</v>
      </c>
      <c r="C535" t="s">
        <v>1082</v>
      </c>
    </row>
    <row r="536" spans="1:3">
      <c r="A536" t="s">
        <v>1485</v>
      </c>
      <c r="B536" t="s">
        <v>1084</v>
      </c>
      <c r="C536" t="s">
        <v>1485</v>
      </c>
    </row>
    <row r="537" spans="1:3">
      <c r="A537" t="s">
        <v>1085</v>
      </c>
      <c r="B537" t="s">
        <v>1086</v>
      </c>
      <c r="C537" t="s">
        <v>1085</v>
      </c>
    </row>
    <row r="538" spans="1:3">
      <c r="A538" t="s">
        <v>1087</v>
      </c>
      <c r="B538" t="s">
        <v>1088</v>
      </c>
      <c r="C538" t="s">
        <v>1087</v>
      </c>
    </row>
    <row r="539" spans="1:3">
      <c r="A539" t="s">
        <v>1089</v>
      </c>
      <c r="B539" t="s">
        <v>1090</v>
      </c>
      <c r="C539" t="s">
        <v>1089</v>
      </c>
    </row>
    <row r="540" spans="1:3">
      <c r="A540" t="s">
        <v>1091</v>
      </c>
      <c r="B540" t="s">
        <v>1092</v>
      </c>
      <c r="C540" t="s">
        <v>1091</v>
      </c>
    </row>
    <row r="541" spans="1:3">
      <c r="A541" t="s">
        <v>1093</v>
      </c>
      <c r="B541" t="s">
        <v>1094</v>
      </c>
      <c r="C541" t="s">
        <v>1093</v>
      </c>
    </row>
    <row r="542" spans="1:3">
      <c r="A542" t="s">
        <v>1095</v>
      </c>
      <c r="B542" t="s">
        <v>1096</v>
      </c>
      <c r="C542" t="s">
        <v>1095</v>
      </c>
    </row>
    <row r="543" spans="1:3">
      <c r="A543" t="s">
        <v>1097</v>
      </c>
      <c r="B543" t="s">
        <v>1098</v>
      </c>
      <c r="C543" t="s">
        <v>1097</v>
      </c>
    </row>
    <row r="544" spans="1:3">
      <c r="A544" t="s">
        <v>1099</v>
      </c>
      <c r="B544" t="s">
        <v>1100</v>
      </c>
      <c r="C544" t="s">
        <v>1099</v>
      </c>
    </row>
    <row r="545" spans="1:3">
      <c r="A545" t="s">
        <v>1101</v>
      </c>
      <c r="B545" t="s">
        <v>1102</v>
      </c>
      <c r="C545" t="s">
        <v>1101</v>
      </c>
    </row>
    <row r="546" spans="1:3">
      <c r="A546" t="s">
        <v>1486</v>
      </c>
      <c r="B546" t="s">
        <v>1103</v>
      </c>
      <c r="C546" t="s">
        <v>1486</v>
      </c>
    </row>
    <row r="547" spans="1:3">
      <c r="A547" t="s">
        <v>1104</v>
      </c>
      <c r="B547" t="s">
        <v>1105</v>
      </c>
      <c r="C547" t="s">
        <v>1104</v>
      </c>
    </row>
    <row r="548" spans="1:3">
      <c r="A548" t="s">
        <v>1106</v>
      </c>
      <c r="B548" t="s">
        <v>1107</v>
      </c>
      <c r="C548" t="s">
        <v>1106</v>
      </c>
    </row>
    <row r="549" spans="1:3">
      <c r="A549" t="s">
        <v>1108</v>
      </c>
      <c r="B549" t="s">
        <v>1109</v>
      </c>
      <c r="C549" t="s">
        <v>1108</v>
      </c>
    </row>
    <row r="550" spans="1:3">
      <c r="A550" t="s">
        <v>1110</v>
      </c>
      <c r="B550" t="s">
        <v>1111</v>
      </c>
      <c r="C550" t="s">
        <v>1110</v>
      </c>
    </row>
    <row r="551" spans="1:3">
      <c r="A551" t="s">
        <v>1112</v>
      </c>
      <c r="B551" t="s">
        <v>1113</v>
      </c>
      <c r="C551" t="s">
        <v>1112</v>
      </c>
    </row>
    <row r="552" spans="1:3">
      <c r="A552" t="s">
        <v>1114</v>
      </c>
      <c r="B552" t="s">
        <v>1115</v>
      </c>
      <c r="C552" t="s">
        <v>1114</v>
      </c>
    </row>
    <row r="553" spans="1:3">
      <c r="A553" t="s">
        <v>1116</v>
      </c>
      <c r="B553" t="s">
        <v>1117</v>
      </c>
      <c r="C553" t="s">
        <v>1116</v>
      </c>
    </row>
    <row r="554" spans="1:3">
      <c r="A554" t="s">
        <v>1118</v>
      </c>
      <c r="B554" t="s">
        <v>1119</v>
      </c>
      <c r="C554" t="s">
        <v>1118</v>
      </c>
    </row>
    <row r="555" spans="1:3">
      <c r="A555" t="s">
        <v>1120</v>
      </c>
      <c r="B555" t="s">
        <v>1121</v>
      </c>
      <c r="C555" t="s">
        <v>1120</v>
      </c>
    </row>
    <row r="556" spans="1:3">
      <c r="A556" t="s">
        <v>1122</v>
      </c>
      <c r="B556" t="s">
        <v>1123</v>
      </c>
      <c r="C556" t="s">
        <v>1122</v>
      </c>
    </row>
    <row r="557" spans="1:3">
      <c r="A557" t="s">
        <v>1124</v>
      </c>
      <c r="B557" t="s">
        <v>1125</v>
      </c>
      <c r="C557" t="s">
        <v>1124</v>
      </c>
    </row>
    <row r="558" spans="1:3">
      <c r="A558" t="s">
        <v>1126</v>
      </c>
      <c r="B558" t="s">
        <v>1127</v>
      </c>
      <c r="C558" t="s">
        <v>1126</v>
      </c>
    </row>
    <row r="559" spans="1:3">
      <c r="A559" t="s">
        <v>1128</v>
      </c>
      <c r="B559" t="s">
        <v>1129</v>
      </c>
      <c r="C559" t="s">
        <v>1128</v>
      </c>
    </row>
    <row r="560" spans="1:3">
      <c r="A560" t="s">
        <v>1130</v>
      </c>
      <c r="B560" t="s">
        <v>1131</v>
      </c>
      <c r="C560" t="s">
        <v>1130</v>
      </c>
    </row>
    <row r="561" spans="1:3">
      <c r="A561" t="s">
        <v>1132</v>
      </c>
      <c r="B561" t="s">
        <v>1133</v>
      </c>
      <c r="C561" t="s">
        <v>1132</v>
      </c>
    </row>
    <row r="562" spans="1:3">
      <c r="A562" t="s">
        <v>1134</v>
      </c>
      <c r="B562" t="s">
        <v>1135</v>
      </c>
      <c r="C562" t="s">
        <v>1134</v>
      </c>
    </row>
    <row r="563" spans="1:3">
      <c r="A563" t="s">
        <v>1136</v>
      </c>
      <c r="B563" t="s">
        <v>1137</v>
      </c>
      <c r="C563" t="s">
        <v>1136</v>
      </c>
    </row>
    <row r="564" spans="1:3">
      <c r="A564" t="s">
        <v>1138</v>
      </c>
      <c r="B564" t="s">
        <v>1139</v>
      </c>
      <c r="C564" t="s">
        <v>1138</v>
      </c>
    </row>
    <row r="565" spans="1:3">
      <c r="A565" t="s">
        <v>1140</v>
      </c>
      <c r="B565" t="s">
        <v>1141</v>
      </c>
      <c r="C565" t="s">
        <v>1140</v>
      </c>
    </row>
    <row r="566" spans="1:3">
      <c r="A566" t="s">
        <v>1142</v>
      </c>
      <c r="B566" t="s">
        <v>1143</v>
      </c>
      <c r="C566" t="s">
        <v>1142</v>
      </c>
    </row>
    <row r="567" spans="1:3">
      <c r="A567" t="s">
        <v>1144</v>
      </c>
      <c r="B567" t="s">
        <v>1145</v>
      </c>
      <c r="C567" t="s">
        <v>1144</v>
      </c>
    </row>
    <row r="568" spans="1:3">
      <c r="A568" t="s">
        <v>1146</v>
      </c>
      <c r="B568" t="s">
        <v>1147</v>
      </c>
      <c r="C568" t="s">
        <v>1146</v>
      </c>
    </row>
    <row r="569" spans="1:3">
      <c r="A569" t="s">
        <v>1148</v>
      </c>
      <c r="B569" t="s">
        <v>1149</v>
      </c>
      <c r="C569" t="s">
        <v>1148</v>
      </c>
    </row>
    <row r="570" spans="1:3">
      <c r="A570" t="s">
        <v>1150</v>
      </c>
      <c r="B570" t="s">
        <v>1151</v>
      </c>
      <c r="C570" t="s">
        <v>1150</v>
      </c>
    </row>
    <row r="571" spans="1:3">
      <c r="A571" t="s">
        <v>1152</v>
      </c>
      <c r="B571" t="s">
        <v>1153</v>
      </c>
      <c r="C571" t="s">
        <v>1152</v>
      </c>
    </row>
    <row r="572" spans="1:3">
      <c r="A572" t="s">
        <v>1154</v>
      </c>
      <c r="B572" t="s">
        <v>1155</v>
      </c>
      <c r="C572" t="s">
        <v>1154</v>
      </c>
    </row>
    <row r="573" spans="1:3">
      <c r="A573" t="s">
        <v>1156</v>
      </c>
      <c r="B573" t="s">
        <v>1157</v>
      </c>
      <c r="C573" t="s">
        <v>1156</v>
      </c>
    </row>
    <row r="574" spans="1:3">
      <c r="A574" t="s">
        <v>1158</v>
      </c>
      <c r="B574" t="s">
        <v>1159</v>
      </c>
      <c r="C574" t="s">
        <v>1158</v>
      </c>
    </row>
    <row r="575" spans="1:3">
      <c r="A575" t="s">
        <v>1160</v>
      </c>
      <c r="B575" t="s">
        <v>1161</v>
      </c>
      <c r="C575" t="s">
        <v>1160</v>
      </c>
    </row>
    <row r="576" spans="1:3">
      <c r="A576" t="s">
        <v>1162</v>
      </c>
      <c r="B576" t="s">
        <v>1163</v>
      </c>
      <c r="C576" t="s">
        <v>1162</v>
      </c>
    </row>
    <row r="577" spans="1:3">
      <c r="A577" t="s">
        <v>1164</v>
      </c>
      <c r="B577" t="s">
        <v>1165</v>
      </c>
      <c r="C577" t="s">
        <v>1164</v>
      </c>
    </row>
    <row r="578" spans="1:3">
      <c r="A578" t="s">
        <v>1166</v>
      </c>
      <c r="B578" t="s">
        <v>1167</v>
      </c>
      <c r="C578" t="s">
        <v>1166</v>
      </c>
    </row>
    <row r="579" spans="1:3">
      <c r="A579" t="s">
        <v>1168</v>
      </c>
      <c r="B579" t="s">
        <v>1169</v>
      </c>
      <c r="C579" t="s">
        <v>1168</v>
      </c>
    </row>
    <row r="580" spans="1:3">
      <c r="A580" t="s">
        <v>1170</v>
      </c>
      <c r="B580" t="s">
        <v>1171</v>
      </c>
      <c r="C580" t="s">
        <v>1170</v>
      </c>
    </row>
    <row r="581" spans="1:3">
      <c r="A581" t="s">
        <v>1172</v>
      </c>
      <c r="B581" t="s">
        <v>1173</v>
      </c>
      <c r="C581" t="s">
        <v>1172</v>
      </c>
    </row>
    <row r="582" spans="1:3">
      <c r="A582" t="s">
        <v>1174</v>
      </c>
      <c r="B582" t="s">
        <v>1175</v>
      </c>
      <c r="C582" t="s">
        <v>1174</v>
      </c>
    </row>
    <row r="583" spans="1:3">
      <c r="A583" t="s">
        <v>1176</v>
      </c>
      <c r="B583" t="s">
        <v>1177</v>
      </c>
      <c r="C583" t="s">
        <v>1176</v>
      </c>
    </row>
    <row r="584" spans="1:3">
      <c r="A584" t="s">
        <v>1178</v>
      </c>
      <c r="B584" t="s">
        <v>1179</v>
      </c>
      <c r="C584" t="s">
        <v>1178</v>
      </c>
    </row>
    <row r="585" spans="1:3">
      <c r="A585" t="s">
        <v>1180</v>
      </c>
      <c r="B585" t="s">
        <v>1181</v>
      </c>
      <c r="C585" t="s">
        <v>1180</v>
      </c>
    </row>
    <row r="586" spans="1:3">
      <c r="A586" t="s">
        <v>1182</v>
      </c>
      <c r="B586" t="s">
        <v>1183</v>
      </c>
      <c r="C586" t="s">
        <v>1182</v>
      </c>
    </row>
    <row r="587" spans="1:3">
      <c r="A587" t="s">
        <v>1184</v>
      </c>
      <c r="B587" t="s">
        <v>1185</v>
      </c>
      <c r="C587" t="s">
        <v>1184</v>
      </c>
    </row>
    <row r="588" spans="1:3">
      <c r="A588" t="s">
        <v>1186</v>
      </c>
      <c r="B588" t="s">
        <v>1187</v>
      </c>
      <c r="C588" t="s">
        <v>1186</v>
      </c>
    </row>
    <row r="589" spans="1:3">
      <c r="A589" t="s">
        <v>1188</v>
      </c>
      <c r="B589" t="s">
        <v>1189</v>
      </c>
      <c r="C589" t="s">
        <v>1188</v>
      </c>
    </row>
    <row r="590" spans="1:3">
      <c r="A590" t="s">
        <v>1190</v>
      </c>
      <c r="B590" t="s">
        <v>1191</v>
      </c>
      <c r="C590" t="s">
        <v>1190</v>
      </c>
    </row>
    <row r="591" spans="1:3">
      <c r="A591" t="s">
        <v>1192</v>
      </c>
      <c r="B591" t="s">
        <v>1193</v>
      </c>
      <c r="C591" t="s">
        <v>1192</v>
      </c>
    </row>
    <row r="592" spans="1:3">
      <c r="A592" t="s">
        <v>1194</v>
      </c>
      <c r="B592" t="s">
        <v>1195</v>
      </c>
      <c r="C592" t="s">
        <v>1194</v>
      </c>
    </row>
    <row r="593" spans="1:3">
      <c r="A593" t="s">
        <v>1196</v>
      </c>
      <c r="B593" t="s">
        <v>1197</v>
      </c>
      <c r="C593" t="s">
        <v>1196</v>
      </c>
    </row>
    <row r="594" spans="1:3">
      <c r="A594" t="s">
        <v>1198</v>
      </c>
      <c r="B594" t="s">
        <v>1199</v>
      </c>
      <c r="C594" t="s">
        <v>1198</v>
      </c>
    </row>
    <row r="595" spans="1:3">
      <c r="A595" t="s">
        <v>1200</v>
      </c>
      <c r="B595" t="s">
        <v>1201</v>
      </c>
      <c r="C595" t="s">
        <v>1200</v>
      </c>
    </row>
    <row r="596" spans="1:3">
      <c r="A596" t="s">
        <v>1202</v>
      </c>
      <c r="B596" t="s">
        <v>1203</v>
      </c>
      <c r="C596" t="s">
        <v>1202</v>
      </c>
    </row>
    <row r="597" spans="1:3">
      <c r="A597" t="s">
        <v>1204</v>
      </c>
      <c r="B597" t="s">
        <v>1205</v>
      </c>
      <c r="C597" t="s">
        <v>1204</v>
      </c>
    </row>
    <row r="598" spans="1:3">
      <c r="A598" t="s">
        <v>1206</v>
      </c>
      <c r="B598" t="s">
        <v>1207</v>
      </c>
      <c r="C598" t="s">
        <v>1206</v>
      </c>
    </row>
    <row r="599" spans="1:3">
      <c r="A599" t="s">
        <v>1208</v>
      </c>
      <c r="B599" t="s">
        <v>1209</v>
      </c>
      <c r="C599" t="s">
        <v>1208</v>
      </c>
    </row>
    <row r="600" spans="1:3">
      <c r="A600" t="s">
        <v>1210</v>
      </c>
      <c r="B600" t="s">
        <v>1211</v>
      </c>
      <c r="C600" t="s">
        <v>1210</v>
      </c>
    </row>
    <row r="601" spans="1:3">
      <c r="A601" t="s">
        <v>1212</v>
      </c>
      <c r="B601" t="s">
        <v>1213</v>
      </c>
      <c r="C601" t="s">
        <v>1212</v>
      </c>
    </row>
    <row r="602" spans="1:3">
      <c r="A602" t="s">
        <v>1214</v>
      </c>
      <c r="B602" t="s">
        <v>1215</v>
      </c>
      <c r="C602" t="s">
        <v>1214</v>
      </c>
    </row>
    <row r="603" spans="1:3">
      <c r="A603" t="s">
        <v>1216</v>
      </c>
      <c r="B603" t="s">
        <v>1217</v>
      </c>
      <c r="C603" t="s">
        <v>1216</v>
      </c>
    </row>
    <row r="604" spans="1:3">
      <c r="A604" t="s">
        <v>1218</v>
      </c>
      <c r="B604" t="s">
        <v>1219</v>
      </c>
      <c r="C604" t="s">
        <v>1218</v>
      </c>
    </row>
    <row r="605" spans="1:3">
      <c r="A605" t="s">
        <v>1220</v>
      </c>
      <c r="B605" t="s">
        <v>1221</v>
      </c>
      <c r="C605" t="s">
        <v>1220</v>
      </c>
    </row>
    <row r="606" spans="1:3">
      <c r="A606" t="s">
        <v>1222</v>
      </c>
      <c r="B606" t="s">
        <v>1223</v>
      </c>
      <c r="C606" t="s">
        <v>1222</v>
      </c>
    </row>
    <row r="607" spans="1:3">
      <c r="A607" t="s">
        <v>1224</v>
      </c>
      <c r="B607" t="s">
        <v>1225</v>
      </c>
      <c r="C607" t="s">
        <v>1224</v>
      </c>
    </row>
    <row r="608" spans="1:3">
      <c r="A608" t="s">
        <v>1226</v>
      </c>
      <c r="B608" t="s">
        <v>1227</v>
      </c>
      <c r="C608" t="s">
        <v>1226</v>
      </c>
    </row>
    <row r="609" spans="1:3">
      <c r="A609" t="s">
        <v>1228</v>
      </c>
      <c r="B609" t="s">
        <v>1229</v>
      </c>
      <c r="C609" t="s">
        <v>1228</v>
      </c>
    </row>
    <row r="610" spans="1:3">
      <c r="A610" t="s">
        <v>1230</v>
      </c>
      <c r="B610" t="s">
        <v>1231</v>
      </c>
      <c r="C610" t="s">
        <v>1230</v>
      </c>
    </row>
    <row r="611" spans="1:3">
      <c r="A611" t="s">
        <v>1232</v>
      </c>
      <c r="B611" t="s">
        <v>1233</v>
      </c>
      <c r="C611" t="s">
        <v>1232</v>
      </c>
    </row>
  </sheetData>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E831E-8008-374B-98DC-76D00B50FE8A}">
  <sheetPr codeName="Sheet7"/>
  <dimension ref="A1:C13"/>
  <sheetViews>
    <sheetView workbookViewId="0"/>
  </sheetViews>
  <sheetFormatPr defaultColWidth="11" defaultRowHeight="15.6"/>
  <cols>
    <col min="1" max="1" width="41.296875" customWidth="1"/>
  </cols>
  <sheetData>
    <row r="1" spans="1:3" ht="40.049999999999997" customHeight="1">
      <c r="A1" s="1" t="s">
        <v>1269</v>
      </c>
      <c r="B1" s="1" t="s">
        <v>36</v>
      </c>
      <c r="C1" s="1" t="s">
        <v>1270</v>
      </c>
    </row>
    <row r="2" spans="1:3">
      <c r="A2" t="s">
        <v>148</v>
      </c>
      <c r="B2" t="s">
        <v>147</v>
      </c>
      <c r="C2">
        <v>8.0000000000000002E-3</v>
      </c>
    </row>
    <row r="3" spans="1:3">
      <c r="A3" t="s">
        <v>536</v>
      </c>
      <c r="B3" t="s">
        <v>535</v>
      </c>
      <c r="C3">
        <v>1.7000000000000001E-2</v>
      </c>
    </row>
    <row r="4" spans="1:3">
      <c r="A4" t="s">
        <v>1240</v>
      </c>
      <c r="B4" t="s">
        <v>964</v>
      </c>
      <c r="C4">
        <v>1E-4</v>
      </c>
    </row>
    <row r="5" spans="1:3">
      <c r="A5" t="s">
        <v>693</v>
      </c>
      <c r="B5" t="s">
        <v>692</v>
      </c>
      <c r="C5">
        <v>2.9999999999999997E-4</v>
      </c>
    </row>
    <row r="6" spans="1:3">
      <c r="A6" t="s">
        <v>41</v>
      </c>
      <c r="B6" t="s">
        <v>40</v>
      </c>
      <c r="C6">
        <v>4.3E-3</v>
      </c>
    </row>
    <row r="7" spans="1:3">
      <c r="A7" t="s">
        <v>56</v>
      </c>
      <c r="B7" t="s">
        <v>55</v>
      </c>
      <c r="C7">
        <v>2.7000000000000001E-3</v>
      </c>
    </row>
    <row r="8" spans="1:3">
      <c r="A8" t="s">
        <v>110</v>
      </c>
      <c r="B8" t="s">
        <v>109</v>
      </c>
      <c r="C8">
        <v>3.2</v>
      </c>
    </row>
    <row r="9" spans="1:3">
      <c r="A9" t="s">
        <v>1238</v>
      </c>
      <c r="B9" t="s">
        <v>498</v>
      </c>
      <c r="C9">
        <v>9.4999999999999998E-3</v>
      </c>
    </row>
    <row r="10" spans="1:3">
      <c r="A10" t="s">
        <v>579</v>
      </c>
      <c r="B10" t="s">
        <v>578</v>
      </c>
      <c r="C10">
        <v>6.3E-3</v>
      </c>
    </row>
    <row r="11" spans="1:3">
      <c r="A11" t="s">
        <v>1129</v>
      </c>
      <c r="B11" t="s">
        <v>1128</v>
      </c>
      <c r="C11">
        <v>3.6600000000000001E-2</v>
      </c>
    </row>
    <row r="12" spans="1:3">
      <c r="A12" t="s">
        <v>1223</v>
      </c>
      <c r="B12" t="s">
        <v>1222</v>
      </c>
      <c r="C12">
        <v>2.7199999999999998E-2</v>
      </c>
    </row>
    <row r="13" spans="1:3">
      <c r="A13" t="s">
        <v>1231</v>
      </c>
      <c r="B13" t="s">
        <v>1230</v>
      </c>
      <c r="C13">
        <v>2.9000000000000001E-2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164E-0AA5-AD4A-B075-C023AE62F432}">
  <sheetPr codeName="Sheet13"/>
  <dimension ref="B2:K268"/>
  <sheetViews>
    <sheetView workbookViewId="0"/>
  </sheetViews>
  <sheetFormatPr defaultColWidth="9.19921875" defaultRowHeight="14.4"/>
  <cols>
    <col min="1" max="1" width="2.19921875" style="143" customWidth="1"/>
    <col min="2" max="2" width="11.5" style="143" bestFit="1" customWidth="1"/>
    <col min="3" max="3" width="47.296875" style="143" customWidth="1"/>
    <col min="4" max="10" width="12.19921875" style="143" customWidth="1"/>
    <col min="11" max="11" width="19.5" style="155" customWidth="1"/>
    <col min="12" max="16384" width="9.19921875" style="143"/>
  </cols>
  <sheetData>
    <row r="2" spans="2:11" ht="19.2">
      <c r="B2" s="413" t="s">
        <v>1487</v>
      </c>
      <c r="C2" s="413"/>
      <c r="D2" s="413"/>
      <c r="E2" s="413"/>
      <c r="F2" s="413"/>
      <c r="G2" s="413"/>
      <c r="H2" s="413"/>
      <c r="I2" s="413"/>
      <c r="J2" s="413"/>
      <c r="K2" s="413"/>
    </row>
    <row r="3" spans="2:11" ht="19.2">
      <c r="B3" s="144"/>
      <c r="C3" s="144"/>
      <c r="D3" s="144"/>
      <c r="E3" s="144"/>
      <c r="F3" s="144"/>
      <c r="G3" s="144"/>
      <c r="H3" s="144"/>
      <c r="I3" s="144"/>
      <c r="J3" s="144"/>
      <c r="K3" s="144"/>
    </row>
    <row r="4" spans="2:11">
      <c r="B4" s="414" t="s">
        <v>1488</v>
      </c>
      <c r="C4" s="415" t="s">
        <v>1489</v>
      </c>
      <c r="D4" s="414" t="s">
        <v>1490</v>
      </c>
      <c r="E4" s="414"/>
      <c r="F4" s="414"/>
      <c r="G4" s="414"/>
      <c r="H4" s="414"/>
      <c r="I4" s="414"/>
      <c r="J4" s="414"/>
      <c r="K4" s="415" t="s">
        <v>1491</v>
      </c>
    </row>
    <row r="5" spans="2:11" ht="15" customHeight="1">
      <c r="B5" s="414"/>
      <c r="C5" s="415"/>
      <c r="D5" s="414" t="s">
        <v>1492</v>
      </c>
      <c r="E5" s="416"/>
      <c r="F5" s="414" t="s">
        <v>1493</v>
      </c>
      <c r="G5" s="417"/>
      <c r="H5" s="417"/>
      <c r="I5" s="416"/>
      <c r="J5" s="415" t="s">
        <v>1494</v>
      </c>
      <c r="K5" s="415"/>
    </row>
    <row r="6" spans="2:11" ht="28.2">
      <c r="B6" s="414"/>
      <c r="C6" s="415"/>
      <c r="D6" s="145" t="s">
        <v>1495</v>
      </c>
      <c r="E6" s="145" t="s">
        <v>1496</v>
      </c>
      <c r="F6" s="145" t="s">
        <v>1497</v>
      </c>
      <c r="G6" s="145" t="s">
        <v>1498</v>
      </c>
      <c r="H6" s="145" t="s">
        <v>1499</v>
      </c>
      <c r="I6" s="145" t="s">
        <v>1500</v>
      </c>
      <c r="J6" s="415"/>
      <c r="K6" s="415"/>
    </row>
    <row r="7" spans="2:11" ht="16.8">
      <c r="B7" s="414"/>
      <c r="C7" s="415"/>
      <c r="D7" s="146" t="s">
        <v>1501</v>
      </c>
      <c r="E7" s="146" t="s">
        <v>1501</v>
      </c>
      <c r="F7" s="146" t="s">
        <v>1501</v>
      </c>
      <c r="G7" s="146" t="s">
        <v>1501</v>
      </c>
      <c r="H7" s="146" t="s">
        <v>1501</v>
      </c>
      <c r="I7" s="146" t="s">
        <v>1501</v>
      </c>
      <c r="J7" s="147" t="s">
        <v>1501</v>
      </c>
      <c r="K7" s="415"/>
    </row>
    <row r="8" spans="2:11">
      <c r="B8" s="148" t="s">
        <v>40</v>
      </c>
      <c r="C8" s="149" t="s">
        <v>41</v>
      </c>
      <c r="D8" s="150">
        <v>0.45</v>
      </c>
      <c r="E8" s="151">
        <v>140</v>
      </c>
      <c r="F8" s="150">
        <v>12</v>
      </c>
      <c r="G8" s="151">
        <v>620</v>
      </c>
      <c r="H8" s="150">
        <v>5.5</v>
      </c>
      <c r="I8" s="151">
        <v>620</v>
      </c>
      <c r="J8" s="152">
        <v>470</v>
      </c>
      <c r="K8" s="153" t="s">
        <v>1502</v>
      </c>
    </row>
    <row r="9" spans="2:11">
      <c r="B9" s="148" t="s">
        <v>43</v>
      </c>
      <c r="C9" s="149" t="s">
        <v>44</v>
      </c>
      <c r="D9" s="150">
        <v>0.05</v>
      </c>
      <c r="E9" s="151" t="s">
        <v>1503</v>
      </c>
      <c r="F9" s="150">
        <v>1.3</v>
      </c>
      <c r="G9" s="151" t="s">
        <v>1503</v>
      </c>
      <c r="H9" s="150">
        <v>0.6</v>
      </c>
      <c r="I9" s="151" t="s">
        <v>1503</v>
      </c>
      <c r="J9" s="152" t="s">
        <v>1503</v>
      </c>
      <c r="K9" s="153" t="s">
        <v>1503</v>
      </c>
    </row>
    <row r="10" spans="2:11">
      <c r="B10" s="148" t="s">
        <v>46</v>
      </c>
      <c r="C10" s="149" t="s">
        <v>47</v>
      </c>
      <c r="D10" s="150" t="s">
        <v>1503</v>
      </c>
      <c r="E10" s="151">
        <v>31000</v>
      </c>
      <c r="F10" s="150" t="s">
        <v>1503</v>
      </c>
      <c r="G10" s="151">
        <v>140000</v>
      </c>
      <c r="H10" s="150" t="s">
        <v>1503</v>
      </c>
      <c r="I10" s="151">
        <v>140000</v>
      </c>
      <c r="J10" s="152">
        <v>62000</v>
      </c>
      <c r="K10" s="153" t="s">
        <v>1502</v>
      </c>
    </row>
    <row r="11" spans="2:11">
      <c r="B11" s="148" t="s">
        <v>49</v>
      </c>
      <c r="C11" s="149" t="s">
        <v>50</v>
      </c>
      <c r="D11" s="150" t="s">
        <v>1503</v>
      </c>
      <c r="E11" s="151">
        <v>60</v>
      </c>
      <c r="F11" s="150" t="s">
        <v>1503</v>
      </c>
      <c r="G11" s="151">
        <v>260</v>
      </c>
      <c r="H11" s="150" t="s">
        <v>1503</v>
      </c>
      <c r="I11" s="151">
        <v>260</v>
      </c>
      <c r="J11" s="152" t="s">
        <v>1503</v>
      </c>
      <c r="K11" s="153" t="s">
        <v>1502</v>
      </c>
    </row>
    <row r="12" spans="2:11">
      <c r="B12" s="148" t="s">
        <v>55</v>
      </c>
      <c r="C12" s="149" t="s">
        <v>56</v>
      </c>
      <c r="D12" s="150" t="s">
        <v>1503</v>
      </c>
      <c r="E12" s="151">
        <v>0.35</v>
      </c>
      <c r="F12" s="150" t="s">
        <v>1503</v>
      </c>
      <c r="G12" s="151">
        <v>1.5</v>
      </c>
      <c r="H12" s="150" t="s">
        <v>1503</v>
      </c>
      <c r="I12" s="151">
        <v>1.5</v>
      </c>
      <c r="J12" s="152">
        <v>6.9</v>
      </c>
      <c r="K12" s="153" t="s">
        <v>1504</v>
      </c>
    </row>
    <row r="13" spans="2:11">
      <c r="B13" s="148" t="s">
        <v>58</v>
      </c>
      <c r="C13" s="149" t="s">
        <v>59</v>
      </c>
      <c r="D13" s="150">
        <v>5.8999999999999999E-3</v>
      </c>
      <c r="E13" s="151">
        <v>6</v>
      </c>
      <c r="F13" s="150">
        <v>6.2E-2</v>
      </c>
      <c r="G13" s="151">
        <v>26</v>
      </c>
      <c r="H13" s="150">
        <v>0.12</v>
      </c>
      <c r="I13" s="151">
        <v>26</v>
      </c>
      <c r="J13" s="152" t="s">
        <v>1503</v>
      </c>
      <c r="K13" s="153" t="s">
        <v>1502</v>
      </c>
    </row>
    <row r="14" spans="2:11">
      <c r="B14" s="148" t="s">
        <v>61</v>
      </c>
      <c r="C14" s="149" t="s">
        <v>62</v>
      </c>
      <c r="D14" s="150" t="s">
        <v>1503</v>
      </c>
      <c r="E14" s="151">
        <v>1</v>
      </c>
      <c r="F14" s="150" t="s">
        <v>1503</v>
      </c>
      <c r="G14" s="151">
        <v>4.4000000000000004</v>
      </c>
      <c r="H14" s="150" t="s">
        <v>1503</v>
      </c>
      <c r="I14" s="151">
        <v>4.4000000000000004</v>
      </c>
      <c r="J14" s="152">
        <v>6000</v>
      </c>
      <c r="K14" s="153" t="s">
        <v>1502</v>
      </c>
    </row>
    <row r="15" spans="2:11">
      <c r="B15" s="148" t="s">
        <v>64</v>
      </c>
      <c r="C15" s="149" t="s">
        <v>65</v>
      </c>
      <c r="D15" s="150">
        <v>1.4999999999999999E-2</v>
      </c>
      <c r="E15" s="151">
        <v>5</v>
      </c>
      <c r="F15" s="150">
        <v>0.38</v>
      </c>
      <c r="G15" s="151">
        <v>22</v>
      </c>
      <c r="H15" s="150">
        <v>0.18</v>
      </c>
      <c r="I15" s="151">
        <v>22</v>
      </c>
      <c r="J15" s="152">
        <v>220</v>
      </c>
      <c r="K15" s="153" t="s">
        <v>1502</v>
      </c>
    </row>
    <row r="16" spans="2:11">
      <c r="B16" s="148" t="s">
        <v>74</v>
      </c>
      <c r="C16" s="149" t="s">
        <v>75</v>
      </c>
      <c r="D16" s="150">
        <v>2.0000000000000001E-4</v>
      </c>
      <c r="E16" s="151" t="s">
        <v>1503</v>
      </c>
      <c r="F16" s="150">
        <v>5.3E-3</v>
      </c>
      <c r="G16" s="151" t="s">
        <v>1503</v>
      </c>
      <c r="H16" s="150">
        <v>2.3999999999999998E-3</v>
      </c>
      <c r="I16" s="151" t="s">
        <v>1503</v>
      </c>
      <c r="J16" s="152" t="s">
        <v>1503</v>
      </c>
      <c r="K16" s="153" t="s">
        <v>1503</v>
      </c>
    </row>
    <row r="17" spans="2:11">
      <c r="B17" s="148" t="s">
        <v>77</v>
      </c>
      <c r="C17" s="149" t="s">
        <v>78</v>
      </c>
      <c r="D17" s="150">
        <v>0.17</v>
      </c>
      <c r="E17" s="151">
        <v>1</v>
      </c>
      <c r="F17" s="150">
        <v>4.3</v>
      </c>
      <c r="G17" s="151">
        <v>4.4000000000000004</v>
      </c>
      <c r="H17" s="150">
        <v>2</v>
      </c>
      <c r="I17" s="151">
        <v>4.4000000000000004</v>
      </c>
      <c r="J17" s="152" t="s">
        <v>1503</v>
      </c>
      <c r="K17" s="153" t="s">
        <v>1502</v>
      </c>
    </row>
    <row r="18" spans="2:11">
      <c r="B18" s="148" t="s">
        <v>80</v>
      </c>
      <c r="C18" s="149" t="s">
        <v>81</v>
      </c>
      <c r="D18" s="150" t="s">
        <v>1503</v>
      </c>
      <c r="E18" s="151">
        <v>5</v>
      </c>
      <c r="F18" s="150" t="s">
        <v>1503</v>
      </c>
      <c r="G18" s="151">
        <v>22</v>
      </c>
      <c r="H18" s="150" t="s">
        <v>1503</v>
      </c>
      <c r="I18" s="151">
        <v>22</v>
      </c>
      <c r="J18" s="152" t="s">
        <v>1503</v>
      </c>
      <c r="K18" s="153" t="s">
        <v>1504</v>
      </c>
    </row>
    <row r="19" spans="2:11">
      <c r="B19" s="148" t="s">
        <v>109</v>
      </c>
      <c r="C19" s="149" t="s">
        <v>110</v>
      </c>
      <c r="D19" s="150" t="s">
        <v>1503</v>
      </c>
      <c r="E19" s="151">
        <v>500</v>
      </c>
      <c r="F19" s="150" t="s">
        <v>1503</v>
      </c>
      <c r="G19" s="151">
        <v>2200</v>
      </c>
      <c r="H19" s="150" t="s">
        <v>1503</v>
      </c>
      <c r="I19" s="151">
        <v>2200</v>
      </c>
      <c r="J19" s="152">
        <v>1200</v>
      </c>
      <c r="K19" s="153" t="s">
        <v>1502</v>
      </c>
    </row>
    <row r="20" spans="2:11">
      <c r="B20" s="148" t="s">
        <v>117</v>
      </c>
      <c r="C20" s="149" t="s">
        <v>118</v>
      </c>
      <c r="D20" s="150">
        <v>0.63</v>
      </c>
      <c r="E20" s="151">
        <v>1</v>
      </c>
      <c r="F20" s="150">
        <v>16</v>
      </c>
      <c r="G20" s="151">
        <v>4.4000000000000004</v>
      </c>
      <c r="H20" s="150">
        <v>7.5</v>
      </c>
      <c r="I20" s="151">
        <v>4.4000000000000004</v>
      </c>
      <c r="J20" s="152" t="s">
        <v>1503</v>
      </c>
      <c r="K20" s="153" t="s">
        <v>1504</v>
      </c>
    </row>
    <row r="21" spans="2:11">
      <c r="B21" s="148" t="s">
        <v>123</v>
      </c>
      <c r="C21" s="149" t="s">
        <v>124</v>
      </c>
      <c r="D21" s="150" t="s">
        <v>1503</v>
      </c>
      <c r="E21" s="151">
        <v>0.3</v>
      </c>
      <c r="F21" s="150" t="s">
        <v>1503</v>
      </c>
      <c r="G21" s="151">
        <v>1.3</v>
      </c>
      <c r="H21" s="150" t="s">
        <v>1503</v>
      </c>
      <c r="I21" s="151">
        <v>1.3</v>
      </c>
      <c r="J21" s="152">
        <v>1</v>
      </c>
      <c r="K21" s="153" t="s">
        <v>1502</v>
      </c>
    </row>
    <row r="22" spans="2:11">
      <c r="B22" s="148" t="s">
        <v>127</v>
      </c>
      <c r="C22" s="149" t="s">
        <v>128</v>
      </c>
      <c r="D22" s="150">
        <v>0.14000000000000001</v>
      </c>
      <c r="E22" s="151" t="s">
        <v>1503</v>
      </c>
      <c r="F22" s="150">
        <v>3.7</v>
      </c>
      <c r="G22" s="151" t="s">
        <v>1503</v>
      </c>
      <c r="H22" s="150">
        <v>1.7</v>
      </c>
      <c r="I22" s="151" t="s">
        <v>1503</v>
      </c>
      <c r="J22" s="152" t="s">
        <v>1503</v>
      </c>
      <c r="K22" s="153" t="s">
        <v>1503</v>
      </c>
    </row>
    <row r="23" spans="2:11">
      <c r="B23" s="148" t="s">
        <v>129</v>
      </c>
      <c r="C23" s="149" t="s">
        <v>130</v>
      </c>
      <c r="D23" s="150">
        <v>2.4000000000000001E-5</v>
      </c>
      <c r="E23" s="151">
        <v>1.7000000000000001E-4</v>
      </c>
      <c r="F23" s="150">
        <v>1.2999999999999999E-3</v>
      </c>
      <c r="G23" s="151">
        <v>2.3999999999999998E-3</v>
      </c>
      <c r="H23" s="150">
        <v>6.2E-4</v>
      </c>
      <c r="I23" s="151">
        <v>2.3999999999999998E-3</v>
      </c>
      <c r="J23" s="152">
        <v>0.2</v>
      </c>
      <c r="K23" s="153" t="s">
        <v>1502</v>
      </c>
    </row>
    <row r="24" spans="2:11">
      <c r="B24" s="148" t="s">
        <v>131</v>
      </c>
      <c r="C24" s="149" t="s">
        <v>132</v>
      </c>
      <c r="D24" s="150" t="s">
        <v>1503</v>
      </c>
      <c r="E24" s="151">
        <v>1.4999999999999999E-2</v>
      </c>
      <c r="F24" s="150" t="s">
        <v>1503</v>
      </c>
      <c r="G24" s="151">
        <v>6.6000000000000003E-2</v>
      </c>
      <c r="H24" s="150" t="s">
        <v>1503</v>
      </c>
      <c r="I24" s="151">
        <v>6.6000000000000003E-2</v>
      </c>
      <c r="J24" s="152">
        <v>0.2</v>
      </c>
      <c r="K24" s="153" t="s">
        <v>1502</v>
      </c>
    </row>
    <row r="25" spans="2:11">
      <c r="B25" s="148" t="s">
        <v>133</v>
      </c>
      <c r="C25" s="149" t="s">
        <v>134</v>
      </c>
      <c r="D25" s="150">
        <v>4.3000000000000003E-6</v>
      </c>
      <c r="E25" s="151" t="s">
        <v>1503</v>
      </c>
      <c r="F25" s="150">
        <v>1.1E-4</v>
      </c>
      <c r="G25" s="151" t="s">
        <v>1503</v>
      </c>
      <c r="H25" s="150">
        <v>5.1999999999999997E-5</v>
      </c>
      <c r="I25" s="151" t="s">
        <v>1503</v>
      </c>
      <c r="J25" s="152" t="s">
        <v>1503</v>
      </c>
      <c r="K25" s="153" t="s">
        <v>1503</v>
      </c>
    </row>
    <row r="26" spans="2:11">
      <c r="B26" s="148" t="s">
        <v>143</v>
      </c>
      <c r="C26" s="149" t="s">
        <v>144</v>
      </c>
      <c r="D26" s="150">
        <v>3.2000000000000001E-2</v>
      </c>
      <c r="E26" s="151" t="s">
        <v>1503</v>
      </c>
      <c r="F26" s="150">
        <v>0.84</v>
      </c>
      <c r="G26" s="151" t="s">
        <v>1503</v>
      </c>
      <c r="H26" s="150">
        <v>0.39</v>
      </c>
      <c r="I26" s="151" t="s">
        <v>1503</v>
      </c>
      <c r="J26" s="152" t="s">
        <v>1503</v>
      </c>
      <c r="K26" s="153" t="s">
        <v>1503</v>
      </c>
    </row>
    <row r="27" spans="2:11">
      <c r="B27" s="148" t="s">
        <v>147</v>
      </c>
      <c r="C27" s="149" t="s">
        <v>148</v>
      </c>
      <c r="D27" s="150">
        <v>0.13</v>
      </c>
      <c r="E27" s="151">
        <v>3</v>
      </c>
      <c r="F27" s="150">
        <v>3.3</v>
      </c>
      <c r="G27" s="151">
        <v>13</v>
      </c>
      <c r="H27" s="150">
        <v>1.5</v>
      </c>
      <c r="I27" s="151">
        <v>13</v>
      </c>
      <c r="J27" s="152">
        <v>29</v>
      </c>
      <c r="K27" s="153" t="s">
        <v>1502</v>
      </c>
    </row>
    <row r="28" spans="2:11">
      <c r="B28" s="148" t="s">
        <v>149</v>
      </c>
      <c r="C28" s="149" t="s">
        <v>150</v>
      </c>
      <c r="D28" s="150">
        <v>4.1999999999999996E-6</v>
      </c>
      <c r="E28" s="151" t="s">
        <v>1503</v>
      </c>
      <c r="F28" s="150">
        <v>4.3999999999999999E-5</v>
      </c>
      <c r="G28" s="151" t="s">
        <v>1503</v>
      </c>
      <c r="H28" s="150">
        <v>8.6000000000000003E-5</v>
      </c>
      <c r="I28" s="151" t="s">
        <v>1503</v>
      </c>
      <c r="J28" s="152" t="s">
        <v>1503</v>
      </c>
      <c r="K28" s="153" t="s">
        <v>1503</v>
      </c>
    </row>
    <row r="29" spans="2:11">
      <c r="B29" s="148" t="s">
        <v>159</v>
      </c>
      <c r="C29" s="149" t="s">
        <v>160</v>
      </c>
      <c r="D29" s="150">
        <v>0.02</v>
      </c>
      <c r="E29" s="151">
        <v>1</v>
      </c>
      <c r="F29" s="150">
        <v>0.53</v>
      </c>
      <c r="G29" s="151">
        <v>4.4000000000000004</v>
      </c>
      <c r="H29" s="150">
        <v>0.24</v>
      </c>
      <c r="I29" s="151">
        <v>4.4000000000000004</v>
      </c>
      <c r="J29" s="152">
        <v>240</v>
      </c>
      <c r="K29" s="153" t="s">
        <v>1502</v>
      </c>
    </row>
    <row r="30" spans="2:11">
      <c r="B30" s="148" t="s">
        <v>163</v>
      </c>
      <c r="C30" s="149" t="s">
        <v>164</v>
      </c>
      <c r="D30" s="150">
        <v>4.2000000000000002E-4</v>
      </c>
      <c r="E30" s="151">
        <v>7.0000000000000001E-3</v>
      </c>
      <c r="F30" s="150">
        <v>1.0999999999999999E-2</v>
      </c>
      <c r="G30" s="151">
        <v>3.1E-2</v>
      </c>
      <c r="H30" s="150">
        <v>5.0000000000000001E-3</v>
      </c>
      <c r="I30" s="151">
        <v>3.1E-2</v>
      </c>
      <c r="J30" s="152">
        <v>0.02</v>
      </c>
      <c r="K30" s="153" t="s">
        <v>1502</v>
      </c>
    </row>
    <row r="31" spans="2:11">
      <c r="B31" s="148" t="s">
        <v>171</v>
      </c>
      <c r="C31" s="149" t="s">
        <v>1505</v>
      </c>
      <c r="D31" s="150">
        <v>1.4E-3</v>
      </c>
      <c r="E31" s="151" t="s">
        <v>1503</v>
      </c>
      <c r="F31" s="150">
        <v>3.6999999999999998E-2</v>
      </c>
      <c r="G31" s="151" t="s">
        <v>1503</v>
      </c>
      <c r="H31" s="150">
        <v>1.7000000000000001E-2</v>
      </c>
      <c r="I31" s="151" t="s">
        <v>1503</v>
      </c>
      <c r="J31" s="152">
        <v>120</v>
      </c>
      <c r="K31" s="153" t="s">
        <v>1502</v>
      </c>
    </row>
    <row r="32" spans="2:11">
      <c r="B32" s="148" t="s">
        <v>173</v>
      </c>
      <c r="C32" s="149" t="s">
        <v>174</v>
      </c>
      <c r="D32" s="150">
        <v>7.7000000000000001E-5</v>
      </c>
      <c r="E32" s="151" t="s">
        <v>1503</v>
      </c>
      <c r="F32" s="150">
        <v>2E-3</v>
      </c>
      <c r="G32" s="151" t="s">
        <v>1503</v>
      </c>
      <c r="H32" s="150">
        <v>9.2000000000000003E-4</v>
      </c>
      <c r="I32" s="151" t="s">
        <v>1503</v>
      </c>
      <c r="J32" s="152">
        <v>1.4</v>
      </c>
      <c r="K32" s="153" t="s">
        <v>1504</v>
      </c>
    </row>
    <row r="33" spans="2:11">
      <c r="B33" s="148" t="s">
        <v>177</v>
      </c>
      <c r="C33" s="149" t="s">
        <v>178</v>
      </c>
      <c r="D33" s="150">
        <v>0.08</v>
      </c>
      <c r="E33" s="151" t="s">
        <v>1503</v>
      </c>
      <c r="F33" s="150">
        <v>11</v>
      </c>
      <c r="G33" s="151" t="s">
        <v>1503</v>
      </c>
      <c r="H33" s="150">
        <v>5</v>
      </c>
      <c r="I33" s="151" t="s">
        <v>1503</v>
      </c>
      <c r="J33" s="152" t="s">
        <v>1503</v>
      </c>
      <c r="K33" s="153" t="s">
        <v>1503</v>
      </c>
    </row>
    <row r="34" spans="2:11">
      <c r="B34" s="148" t="s">
        <v>185</v>
      </c>
      <c r="C34" s="149" t="s">
        <v>186</v>
      </c>
      <c r="D34" s="150">
        <v>0.91</v>
      </c>
      <c r="E34" s="151" t="s">
        <v>1503</v>
      </c>
      <c r="F34" s="150">
        <v>24</v>
      </c>
      <c r="G34" s="151" t="s">
        <v>1503</v>
      </c>
      <c r="H34" s="150">
        <v>11</v>
      </c>
      <c r="I34" s="151" t="s">
        <v>1503</v>
      </c>
      <c r="J34" s="152" t="s">
        <v>1503</v>
      </c>
      <c r="K34" s="153" t="s">
        <v>1503</v>
      </c>
    </row>
    <row r="35" spans="2:11">
      <c r="B35" s="148" t="s">
        <v>187</v>
      </c>
      <c r="C35" s="149" t="s">
        <v>188</v>
      </c>
      <c r="D35" s="150" t="s">
        <v>1503</v>
      </c>
      <c r="E35" s="151">
        <v>5</v>
      </c>
      <c r="F35" s="150" t="s">
        <v>1503</v>
      </c>
      <c r="G35" s="151">
        <v>22</v>
      </c>
      <c r="H35" s="150" t="s">
        <v>1503</v>
      </c>
      <c r="I35" s="151">
        <v>22</v>
      </c>
      <c r="J35" s="152">
        <v>3900</v>
      </c>
      <c r="K35" s="153" t="s">
        <v>1502</v>
      </c>
    </row>
    <row r="36" spans="2:11">
      <c r="B36" s="148" t="s">
        <v>189</v>
      </c>
      <c r="C36" s="149" t="s">
        <v>190</v>
      </c>
      <c r="D36" s="150">
        <v>0.48</v>
      </c>
      <c r="E36" s="151">
        <v>33</v>
      </c>
      <c r="F36" s="150">
        <v>12</v>
      </c>
      <c r="G36" s="151">
        <v>150</v>
      </c>
      <c r="H36" s="150">
        <v>5.7</v>
      </c>
      <c r="I36" s="151">
        <v>150</v>
      </c>
      <c r="J36" s="152">
        <v>1700</v>
      </c>
      <c r="K36" s="153" t="s">
        <v>1502</v>
      </c>
    </row>
    <row r="37" spans="2:11">
      <c r="B37" s="148" t="s">
        <v>193</v>
      </c>
      <c r="C37" s="149" t="s">
        <v>194</v>
      </c>
      <c r="D37" s="150">
        <v>3.3000000000000002E-2</v>
      </c>
      <c r="E37" s="151">
        <v>2</v>
      </c>
      <c r="F37" s="150">
        <v>0.86</v>
      </c>
      <c r="G37" s="151">
        <v>8.8000000000000007</v>
      </c>
      <c r="H37" s="150">
        <v>0.4</v>
      </c>
      <c r="I37" s="151">
        <v>8.8000000000000007</v>
      </c>
      <c r="J37" s="152">
        <v>660</v>
      </c>
      <c r="K37" s="153" t="s">
        <v>1502</v>
      </c>
    </row>
    <row r="38" spans="2:11">
      <c r="B38" s="148" t="s">
        <v>195</v>
      </c>
      <c r="C38" s="149" t="s">
        <v>196</v>
      </c>
      <c r="D38" s="150" t="s">
        <v>1503</v>
      </c>
      <c r="E38" s="151">
        <v>5000</v>
      </c>
      <c r="F38" s="150" t="s">
        <v>1503</v>
      </c>
      <c r="G38" s="151">
        <v>22000</v>
      </c>
      <c r="H38" s="150" t="s">
        <v>1503</v>
      </c>
      <c r="I38" s="151">
        <v>22000</v>
      </c>
      <c r="J38" s="152">
        <v>5000</v>
      </c>
      <c r="K38" s="153" t="s">
        <v>1502</v>
      </c>
    </row>
    <row r="39" spans="2:11">
      <c r="B39" s="148" t="s">
        <v>203</v>
      </c>
      <c r="C39" s="149" t="s">
        <v>204</v>
      </c>
      <c r="D39" s="150" t="s">
        <v>1503</v>
      </c>
      <c r="E39" s="151">
        <v>30000</v>
      </c>
      <c r="F39" s="150" t="s">
        <v>1503</v>
      </c>
      <c r="G39" s="151">
        <v>130000</v>
      </c>
      <c r="H39" s="150" t="s">
        <v>1503</v>
      </c>
      <c r="I39" s="151">
        <v>130000</v>
      </c>
      <c r="J39" s="152" t="s">
        <v>1503</v>
      </c>
      <c r="K39" s="153" t="s">
        <v>1502</v>
      </c>
    </row>
    <row r="40" spans="2:11">
      <c r="B40" s="148" t="s">
        <v>213</v>
      </c>
      <c r="C40" s="149" t="s">
        <v>214</v>
      </c>
      <c r="D40" s="150">
        <v>5.5999999999999995E-4</v>
      </c>
      <c r="E40" s="151">
        <v>5.0000000000000001E-3</v>
      </c>
      <c r="F40" s="150">
        <v>1.4E-2</v>
      </c>
      <c r="G40" s="151">
        <v>3.6999999999999998E-2</v>
      </c>
      <c r="H40" s="150">
        <v>6.7000000000000002E-3</v>
      </c>
      <c r="I40" s="151">
        <v>3.6999999999999998E-2</v>
      </c>
      <c r="J40" s="152">
        <v>0.03</v>
      </c>
      <c r="K40" s="153" t="s">
        <v>1502</v>
      </c>
    </row>
    <row r="41" spans="2:11">
      <c r="B41" s="148" t="s">
        <v>217</v>
      </c>
      <c r="C41" s="149" t="s">
        <v>218</v>
      </c>
      <c r="D41" s="150" t="s">
        <v>1503</v>
      </c>
      <c r="E41" s="151">
        <v>2.2000000000000002</v>
      </c>
      <c r="F41" s="150" t="s">
        <v>1503</v>
      </c>
      <c r="G41" s="151">
        <v>9.6999999999999993</v>
      </c>
      <c r="H41" s="150" t="s">
        <v>1503</v>
      </c>
      <c r="I41" s="151">
        <v>9.6999999999999993</v>
      </c>
      <c r="J41" s="152">
        <v>50</v>
      </c>
      <c r="K41" s="153" t="s">
        <v>1502</v>
      </c>
    </row>
    <row r="42" spans="2:11">
      <c r="B42" s="148" t="s">
        <v>225</v>
      </c>
      <c r="C42" s="149" t="s">
        <v>226</v>
      </c>
      <c r="D42" s="150" t="s">
        <v>1503</v>
      </c>
      <c r="E42" s="151">
        <v>800</v>
      </c>
      <c r="F42" s="150" t="s">
        <v>1503</v>
      </c>
      <c r="G42" s="151">
        <v>3500</v>
      </c>
      <c r="H42" s="150" t="s">
        <v>1503</v>
      </c>
      <c r="I42" s="151">
        <v>3500</v>
      </c>
      <c r="J42" s="152">
        <v>6200</v>
      </c>
      <c r="K42" s="153" t="s">
        <v>1502</v>
      </c>
    </row>
    <row r="43" spans="2:11">
      <c r="B43" s="148" t="s">
        <v>227</v>
      </c>
      <c r="C43" s="149" t="s">
        <v>228</v>
      </c>
      <c r="D43" s="150">
        <v>0.17</v>
      </c>
      <c r="E43" s="151">
        <v>100</v>
      </c>
      <c r="F43" s="150">
        <v>4.3</v>
      </c>
      <c r="G43" s="151">
        <v>440</v>
      </c>
      <c r="H43" s="150">
        <v>2</v>
      </c>
      <c r="I43" s="151">
        <v>440</v>
      </c>
      <c r="J43" s="152">
        <v>1900</v>
      </c>
      <c r="K43" s="153" t="s">
        <v>1502</v>
      </c>
    </row>
    <row r="44" spans="2:11">
      <c r="B44" s="148" t="s">
        <v>229</v>
      </c>
      <c r="C44" s="149" t="s">
        <v>230</v>
      </c>
      <c r="D44" s="150" t="s">
        <v>1503</v>
      </c>
      <c r="E44" s="151">
        <v>10</v>
      </c>
      <c r="F44" s="150" t="s">
        <v>1503</v>
      </c>
      <c r="G44" s="151">
        <v>44</v>
      </c>
      <c r="H44" s="150" t="s">
        <v>1503</v>
      </c>
      <c r="I44" s="151">
        <v>44</v>
      </c>
      <c r="J44" s="152">
        <v>660</v>
      </c>
      <c r="K44" s="153" t="s">
        <v>1502</v>
      </c>
    </row>
    <row r="45" spans="2:11">
      <c r="B45" s="148" t="s">
        <v>240</v>
      </c>
      <c r="C45" s="149" t="s">
        <v>241</v>
      </c>
      <c r="D45" s="150">
        <v>0.01</v>
      </c>
      <c r="E45" s="151">
        <v>0.02</v>
      </c>
      <c r="F45" s="150">
        <v>0.26</v>
      </c>
      <c r="G45" s="151">
        <v>8.7999999999999995E-2</v>
      </c>
      <c r="H45" s="150">
        <v>0.12</v>
      </c>
      <c r="I45" s="151">
        <v>8.7999999999999995E-2</v>
      </c>
      <c r="J45" s="152">
        <v>0.2</v>
      </c>
      <c r="K45" s="153" t="s">
        <v>1502</v>
      </c>
    </row>
    <row r="46" spans="2:11">
      <c r="B46" s="148" t="s">
        <v>248</v>
      </c>
      <c r="C46" s="149" t="s">
        <v>249</v>
      </c>
      <c r="D46" s="150">
        <v>0.04</v>
      </c>
      <c r="E46" s="151" t="s">
        <v>1503</v>
      </c>
      <c r="F46" s="150">
        <v>1</v>
      </c>
      <c r="G46" s="151" t="s">
        <v>1503</v>
      </c>
      <c r="H46" s="150">
        <v>0.48</v>
      </c>
      <c r="I46" s="151" t="s">
        <v>1503</v>
      </c>
      <c r="J46" s="152" t="s">
        <v>1503</v>
      </c>
      <c r="K46" s="153" t="s">
        <v>1503</v>
      </c>
    </row>
    <row r="47" spans="2:11">
      <c r="B47" s="148" t="s">
        <v>250</v>
      </c>
      <c r="C47" s="149" t="s">
        <v>251</v>
      </c>
      <c r="D47" s="150" t="s">
        <v>1503</v>
      </c>
      <c r="E47" s="151">
        <v>0.15</v>
      </c>
      <c r="F47" s="150" t="s">
        <v>1503</v>
      </c>
      <c r="G47" s="151">
        <v>0.66</v>
      </c>
      <c r="H47" s="150" t="s">
        <v>1503</v>
      </c>
      <c r="I47" s="151">
        <v>0.66</v>
      </c>
      <c r="J47" s="152">
        <v>170</v>
      </c>
      <c r="K47" s="153" t="s">
        <v>1502</v>
      </c>
    </row>
    <row r="48" spans="2:11">
      <c r="B48" s="148" t="s">
        <v>252</v>
      </c>
      <c r="C48" s="149" t="s">
        <v>253</v>
      </c>
      <c r="D48" s="150" t="s">
        <v>1503</v>
      </c>
      <c r="E48" s="151">
        <v>0.6</v>
      </c>
      <c r="F48" s="150" t="s">
        <v>1503</v>
      </c>
      <c r="G48" s="151">
        <v>2.6</v>
      </c>
      <c r="H48" s="150" t="s">
        <v>1503</v>
      </c>
      <c r="I48" s="151">
        <v>2.6</v>
      </c>
      <c r="J48" s="152">
        <v>2.8</v>
      </c>
      <c r="K48" s="153" t="s">
        <v>1502</v>
      </c>
    </row>
    <row r="49" spans="2:11">
      <c r="B49" s="148" t="s">
        <v>256</v>
      </c>
      <c r="C49" s="149" t="s">
        <v>257</v>
      </c>
      <c r="D49" s="150" t="s">
        <v>1503</v>
      </c>
      <c r="E49" s="151">
        <v>0.03</v>
      </c>
      <c r="F49" s="150" t="s">
        <v>1503</v>
      </c>
      <c r="G49" s="151">
        <v>0.13</v>
      </c>
      <c r="H49" s="150" t="s">
        <v>1503</v>
      </c>
      <c r="I49" s="151">
        <v>0.13</v>
      </c>
      <c r="J49" s="152" t="s">
        <v>1503</v>
      </c>
      <c r="K49" s="153" t="s">
        <v>1504</v>
      </c>
    </row>
    <row r="50" spans="2:11">
      <c r="B50" s="148" t="s">
        <v>262</v>
      </c>
      <c r="C50" s="149" t="s">
        <v>263</v>
      </c>
      <c r="D50" s="150" t="s">
        <v>1503</v>
      </c>
      <c r="E50" s="151">
        <v>50</v>
      </c>
      <c r="F50" s="150" t="s">
        <v>1503</v>
      </c>
      <c r="G50" s="151">
        <v>220</v>
      </c>
      <c r="H50" s="150" t="s">
        <v>1503</v>
      </c>
      <c r="I50" s="151">
        <v>220</v>
      </c>
      <c r="J50" s="152" t="s">
        <v>1503</v>
      </c>
      <c r="K50" s="153" t="s">
        <v>1502</v>
      </c>
    </row>
    <row r="51" spans="2:11">
      <c r="B51" s="148" t="s">
        <v>266</v>
      </c>
      <c r="C51" s="149" t="s">
        <v>267</v>
      </c>
      <c r="D51" s="150" t="s">
        <v>1503</v>
      </c>
      <c r="E51" s="151">
        <v>50000</v>
      </c>
      <c r="F51" s="150" t="s">
        <v>1503</v>
      </c>
      <c r="G51" s="151">
        <v>220000</v>
      </c>
      <c r="H51" s="150" t="s">
        <v>1503</v>
      </c>
      <c r="I51" s="151">
        <v>220000</v>
      </c>
      <c r="J51" s="152" t="s">
        <v>1503</v>
      </c>
      <c r="K51" s="153" t="s">
        <v>1502</v>
      </c>
    </row>
    <row r="52" spans="2:11">
      <c r="B52" s="148" t="s">
        <v>268</v>
      </c>
      <c r="C52" s="149" t="s">
        <v>269</v>
      </c>
      <c r="D52" s="150" t="s">
        <v>1503</v>
      </c>
      <c r="E52" s="151">
        <v>50000</v>
      </c>
      <c r="F52" s="150" t="s">
        <v>1503</v>
      </c>
      <c r="G52" s="151">
        <v>220000</v>
      </c>
      <c r="H52" s="150" t="s">
        <v>1503</v>
      </c>
      <c r="I52" s="151">
        <v>220000</v>
      </c>
      <c r="J52" s="152" t="s">
        <v>1503</v>
      </c>
      <c r="K52" s="153" t="s">
        <v>1502</v>
      </c>
    </row>
    <row r="53" spans="2:11">
      <c r="B53" s="148" t="s">
        <v>270</v>
      </c>
      <c r="C53" s="149" t="s">
        <v>271</v>
      </c>
      <c r="D53" s="150" t="s">
        <v>1503</v>
      </c>
      <c r="E53" s="151">
        <v>30000</v>
      </c>
      <c r="F53" s="150" t="s">
        <v>1503</v>
      </c>
      <c r="G53" s="151">
        <v>130000</v>
      </c>
      <c r="H53" s="150" t="s">
        <v>1503</v>
      </c>
      <c r="I53" s="151">
        <v>130000</v>
      </c>
      <c r="J53" s="152">
        <v>40000</v>
      </c>
      <c r="K53" s="153" t="s">
        <v>1502</v>
      </c>
    </row>
    <row r="54" spans="2:11">
      <c r="B54" s="148" t="s">
        <v>272</v>
      </c>
      <c r="C54" s="149" t="s">
        <v>273</v>
      </c>
      <c r="D54" s="150" t="s">
        <v>1503</v>
      </c>
      <c r="E54" s="151">
        <v>300</v>
      </c>
      <c r="F54" s="150" t="s">
        <v>1503</v>
      </c>
      <c r="G54" s="151">
        <v>1300</v>
      </c>
      <c r="H54" s="150" t="s">
        <v>1503</v>
      </c>
      <c r="I54" s="151">
        <v>1300</v>
      </c>
      <c r="J54" s="152">
        <v>490</v>
      </c>
      <c r="K54" s="153" t="s">
        <v>1502</v>
      </c>
    </row>
    <row r="55" spans="2:11">
      <c r="B55" s="148" t="s">
        <v>274</v>
      </c>
      <c r="C55" s="149" t="s">
        <v>275</v>
      </c>
      <c r="D55" s="150" t="s">
        <v>1503</v>
      </c>
      <c r="E55" s="151">
        <v>90</v>
      </c>
      <c r="F55" s="150" t="s">
        <v>1503</v>
      </c>
      <c r="G55" s="151">
        <v>400</v>
      </c>
      <c r="H55" s="150" t="s">
        <v>1503</v>
      </c>
      <c r="I55" s="151">
        <v>400</v>
      </c>
      <c r="J55" s="152">
        <v>1000</v>
      </c>
      <c r="K55" s="153" t="s">
        <v>1502</v>
      </c>
    </row>
    <row r="56" spans="2:11">
      <c r="B56" s="148" t="s">
        <v>282</v>
      </c>
      <c r="C56" s="149" t="s">
        <v>283</v>
      </c>
      <c r="D56" s="150">
        <v>0.22</v>
      </c>
      <c r="E56" s="151" t="s">
        <v>1503</v>
      </c>
      <c r="F56" s="150">
        <v>5.7</v>
      </c>
      <c r="G56" s="151" t="s">
        <v>1503</v>
      </c>
      <c r="H56" s="150">
        <v>2.6</v>
      </c>
      <c r="I56" s="151" t="s">
        <v>1503</v>
      </c>
      <c r="J56" s="152" t="s">
        <v>1503</v>
      </c>
      <c r="K56" s="153" t="s">
        <v>1503</v>
      </c>
    </row>
    <row r="57" spans="2:11">
      <c r="B57" s="148" t="s">
        <v>284</v>
      </c>
      <c r="C57" s="149" t="s">
        <v>285</v>
      </c>
      <c r="D57" s="150" t="s">
        <v>1503</v>
      </c>
      <c r="E57" s="151">
        <v>0.4</v>
      </c>
      <c r="F57" s="150" t="s">
        <v>1503</v>
      </c>
      <c r="G57" s="151">
        <v>1.8</v>
      </c>
      <c r="H57" s="150" t="s">
        <v>1503</v>
      </c>
      <c r="I57" s="151">
        <v>1.8</v>
      </c>
      <c r="J57" s="152">
        <v>29</v>
      </c>
      <c r="K57" s="153" t="s">
        <v>1502</v>
      </c>
    </row>
    <row r="58" spans="2:11">
      <c r="B58" s="148" t="s">
        <v>286</v>
      </c>
      <c r="C58" s="149" t="s">
        <v>287</v>
      </c>
      <c r="D58" s="150">
        <v>3.3E-3</v>
      </c>
      <c r="E58" s="151">
        <v>20</v>
      </c>
      <c r="F58" s="150">
        <v>8.6999999999999994E-2</v>
      </c>
      <c r="G58" s="151">
        <v>88</v>
      </c>
      <c r="H58" s="150">
        <v>0.04</v>
      </c>
      <c r="I58" s="151">
        <v>88</v>
      </c>
      <c r="J58" s="152" t="s">
        <v>1503</v>
      </c>
      <c r="K58" s="153" t="s">
        <v>1502</v>
      </c>
    </row>
    <row r="59" spans="2:11">
      <c r="B59" s="148" t="s">
        <v>290</v>
      </c>
      <c r="C59" s="149" t="s">
        <v>291</v>
      </c>
      <c r="D59" s="150">
        <v>1.2999999999999999E-2</v>
      </c>
      <c r="E59" s="151" t="s">
        <v>1503</v>
      </c>
      <c r="F59" s="150">
        <v>0.34</v>
      </c>
      <c r="G59" s="151" t="s">
        <v>1503</v>
      </c>
      <c r="H59" s="150">
        <v>0.16</v>
      </c>
      <c r="I59" s="151" t="s">
        <v>1503</v>
      </c>
      <c r="J59" s="152" t="s">
        <v>1503</v>
      </c>
      <c r="K59" s="153" t="s">
        <v>1503</v>
      </c>
    </row>
    <row r="60" spans="2:11">
      <c r="B60" s="154" t="s">
        <v>296</v>
      </c>
      <c r="C60" s="149" t="s">
        <v>1377</v>
      </c>
      <c r="D60" s="150">
        <v>3.1000000000000001E-5</v>
      </c>
      <c r="E60" s="151">
        <v>8.3000000000000004E-2</v>
      </c>
      <c r="F60" s="150">
        <v>5.1999999999999995E-4</v>
      </c>
      <c r="G60" s="151">
        <v>0.88</v>
      </c>
      <c r="H60" s="150">
        <v>1E-3</v>
      </c>
      <c r="I60" s="151">
        <v>0.88</v>
      </c>
      <c r="J60" s="152">
        <v>0.3</v>
      </c>
      <c r="K60" s="153" t="s">
        <v>1502</v>
      </c>
    </row>
    <row r="61" spans="2:11">
      <c r="B61" s="154" t="s">
        <v>294</v>
      </c>
      <c r="C61" s="149" t="s">
        <v>1379</v>
      </c>
      <c r="D61" s="150">
        <v>3.1000000000000001E-5</v>
      </c>
      <c r="E61" s="151">
        <v>2.0999999999999999E-3</v>
      </c>
      <c r="F61" s="150">
        <v>5.1999999999999995E-4</v>
      </c>
      <c r="G61" s="151">
        <v>2.1999999999999999E-2</v>
      </c>
      <c r="H61" s="150">
        <v>1E-3</v>
      </c>
      <c r="I61" s="151">
        <v>2.1999999999999999E-2</v>
      </c>
      <c r="J61" s="152">
        <v>5.0000000000000001E-3</v>
      </c>
      <c r="K61" s="153" t="s">
        <v>1502</v>
      </c>
    </row>
    <row r="62" spans="2:11">
      <c r="B62" s="148" t="s">
        <v>304</v>
      </c>
      <c r="C62" s="149" t="s">
        <v>305</v>
      </c>
      <c r="D62" s="150" t="s">
        <v>1503</v>
      </c>
      <c r="E62" s="151">
        <v>0.1</v>
      </c>
      <c r="F62" s="150" t="s">
        <v>1503</v>
      </c>
      <c r="G62" s="151">
        <v>0.44</v>
      </c>
      <c r="H62" s="150" t="s">
        <v>1503</v>
      </c>
      <c r="I62" s="151">
        <v>0.44</v>
      </c>
      <c r="J62" s="152" t="s">
        <v>1503</v>
      </c>
      <c r="K62" s="153" t="s">
        <v>1502</v>
      </c>
    </row>
    <row r="63" spans="2:11">
      <c r="B63" s="156" t="s">
        <v>1515</v>
      </c>
      <c r="C63" s="149" t="s">
        <v>306</v>
      </c>
      <c r="D63" s="150">
        <v>9.5E-4</v>
      </c>
      <c r="E63" s="151" t="s">
        <v>1503</v>
      </c>
      <c r="F63" s="150">
        <v>0.01</v>
      </c>
      <c r="G63" s="151" t="s">
        <v>1503</v>
      </c>
      <c r="H63" s="150">
        <v>1.9E-2</v>
      </c>
      <c r="I63" s="151" t="s">
        <v>1503</v>
      </c>
      <c r="J63" s="152" t="s">
        <v>1503</v>
      </c>
      <c r="K63" s="153" t="s">
        <v>1503</v>
      </c>
    </row>
    <row r="64" spans="2:11">
      <c r="B64" s="148" t="s">
        <v>307</v>
      </c>
      <c r="C64" s="149" t="s">
        <v>308</v>
      </c>
      <c r="D64" s="150" t="s">
        <v>1503</v>
      </c>
      <c r="E64" s="151" t="s">
        <v>1503</v>
      </c>
      <c r="F64" s="150" t="s">
        <v>1503</v>
      </c>
      <c r="G64" s="151" t="s">
        <v>1503</v>
      </c>
      <c r="H64" s="150" t="s">
        <v>1503</v>
      </c>
      <c r="I64" s="151" t="s">
        <v>1503</v>
      </c>
      <c r="J64" s="152">
        <v>100</v>
      </c>
      <c r="K64" s="153" t="s">
        <v>1502</v>
      </c>
    </row>
    <row r="65" spans="2:11">
      <c r="B65" s="148" t="s">
        <v>310</v>
      </c>
      <c r="C65" s="149" t="s">
        <v>311</v>
      </c>
      <c r="D65" s="150">
        <v>2.3E-2</v>
      </c>
      <c r="E65" s="151" t="s">
        <v>1503</v>
      </c>
      <c r="F65" s="150">
        <v>0.6</v>
      </c>
      <c r="G65" s="151" t="s">
        <v>1503</v>
      </c>
      <c r="H65" s="150">
        <v>0.28000000000000003</v>
      </c>
      <c r="I65" s="151" t="s">
        <v>1503</v>
      </c>
      <c r="J65" s="152" t="s">
        <v>1503</v>
      </c>
      <c r="K65" s="153" t="s">
        <v>1503</v>
      </c>
    </row>
    <row r="66" spans="2:11">
      <c r="B66" s="148" t="s">
        <v>312</v>
      </c>
      <c r="C66" s="149" t="s">
        <v>313</v>
      </c>
      <c r="D66" s="150" t="s">
        <v>1503</v>
      </c>
      <c r="E66" s="151">
        <v>600</v>
      </c>
      <c r="F66" s="150" t="s">
        <v>1503</v>
      </c>
      <c r="G66" s="151">
        <v>2600</v>
      </c>
      <c r="H66" s="150" t="s">
        <v>1503</v>
      </c>
      <c r="I66" s="151">
        <v>2600</v>
      </c>
      <c r="J66" s="152" t="s">
        <v>1503</v>
      </c>
      <c r="K66" s="153" t="s">
        <v>1502</v>
      </c>
    </row>
    <row r="67" spans="2:11">
      <c r="B67" s="148" t="s">
        <v>324</v>
      </c>
      <c r="C67" s="149" t="s">
        <v>325</v>
      </c>
      <c r="D67" s="150">
        <v>1.6E-2</v>
      </c>
      <c r="E67" s="151" t="s">
        <v>1503</v>
      </c>
      <c r="F67" s="150">
        <v>0.41</v>
      </c>
      <c r="G67" s="151" t="s">
        <v>1503</v>
      </c>
      <c r="H67" s="150">
        <v>0.19</v>
      </c>
      <c r="I67" s="151" t="s">
        <v>1503</v>
      </c>
      <c r="J67" s="152" t="s">
        <v>1503</v>
      </c>
      <c r="K67" s="153" t="s">
        <v>1503</v>
      </c>
    </row>
    <row r="68" spans="2:11">
      <c r="B68" s="148" t="s">
        <v>328</v>
      </c>
      <c r="C68" s="149" t="s">
        <v>1381</v>
      </c>
      <c r="D68" s="150" t="s">
        <v>1503</v>
      </c>
      <c r="E68" s="151">
        <v>0.8</v>
      </c>
      <c r="F68" s="150" t="s">
        <v>1503</v>
      </c>
      <c r="G68" s="151">
        <v>3.5</v>
      </c>
      <c r="H68" s="150" t="s">
        <v>1503</v>
      </c>
      <c r="I68" s="151">
        <v>3.5</v>
      </c>
      <c r="J68" s="152">
        <v>340</v>
      </c>
      <c r="K68" s="153" t="s">
        <v>1502</v>
      </c>
    </row>
    <row r="69" spans="2:11">
      <c r="B69" s="148" t="s">
        <v>330</v>
      </c>
      <c r="C69" s="149" t="s">
        <v>331</v>
      </c>
      <c r="D69" s="150" t="s">
        <v>1503</v>
      </c>
      <c r="E69" s="151">
        <v>6000</v>
      </c>
      <c r="F69" s="150" t="s">
        <v>1503</v>
      </c>
      <c r="G69" s="151">
        <v>26000</v>
      </c>
      <c r="H69" s="150" t="s">
        <v>1503</v>
      </c>
      <c r="I69" s="151">
        <v>26000</v>
      </c>
      <c r="J69" s="152" t="s">
        <v>1503</v>
      </c>
      <c r="K69" s="153" t="s">
        <v>1502</v>
      </c>
    </row>
    <row r="70" spans="2:11">
      <c r="B70" s="148" t="s">
        <v>358</v>
      </c>
      <c r="C70" s="149" t="s">
        <v>359</v>
      </c>
      <c r="D70" s="150">
        <v>0.01</v>
      </c>
      <c r="E70" s="151" t="s">
        <v>1503</v>
      </c>
      <c r="F70" s="150">
        <v>0.27</v>
      </c>
      <c r="G70" s="151" t="s">
        <v>1503</v>
      </c>
      <c r="H70" s="150">
        <v>0.12</v>
      </c>
      <c r="I70" s="151" t="s">
        <v>1503</v>
      </c>
      <c r="J70" s="152" t="s">
        <v>1503</v>
      </c>
      <c r="K70" s="153" t="s">
        <v>1503</v>
      </c>
    </row>
    <row r="71" spans="2:11">
      <c r="B71" s="148" t="s">
        <v>360</v>
      </c>
      <c r="C71" s="149" t="s">
        <v>361</v>
      </c>
      <c r="D71" s="150">
        <v>0.15</v>
      </c>
      <c r="E71" s="151" t="s">
        <v>1503</v>
      </c>
      <c r="F71" s="150">
        <v>3.9</v>
      </c>
      <c r="G71" s="151" t="s">
        <v>1503</v>
      </c>
      <c r="H71" s="150">
        <v>1.8</v>
      </c>
      <c r="I71" s="151" t="s">
        <v>1503</v>
      </c>
      <c r="J71" s="152" t="s">
        <v>1503</v>
      </c>
      <c r="K71" s="153" t="s">
        <v>1503</v>
      </c>
    </row>
    <row r="72" spans="2:11">
      <c r="B72" s="148" t="s">
        <v>366</v>
      </c>
      <c r="C72" s="149" t="s">
        <v>367</v>
      </c>
      <c r="D72" s="150">
        <v>9.1E-4</v>
      </c>
      <c r="E72" s="151" t="s">
        <v>1503</v>
      </c>
      <c r="F72" s="150">
        <v>2.4E-2</v>
      </c>
      <c r="G72" s="151" t="s">
        <v>1503</v>
      </c>
      <c r="H72" s="150">
        <v>1.0999999999999999E-2</v>
      </c>
      <c r="I72" s="151" t="s">
        <v>1503</v>
      </c>
      <c r="J72" s="152" t="s">
        <v>1503</v>
      </c>
      <c r="K72" s="153" t="s">
        <v>1503</v>
      </c>
    </row>
    <row r="73" spans="2:11">
      <c r="B73" s="148" t="s">
        <v>370</v>
      </c>
      <c r="C73" s="149" t="s">
        <v>371</v>
      </c>
      <c r="D73" s="150" t="s">
        <v>1503</v>
      </c>
      <c r="E73" s="151" t="s">
        <v>1503</v>
      </c>
      <c r="F73" s="150" t="s">
        <v>1503</v>
      </c>
      <c r="G73" s="151" t="s">
        <v>1503</v>
      </c>
      <c r="H73" s="150" t="s">
        <v>1503</v>
      </c>
      <c r="I73" s="151" t="s">
        <v>1503</v>
      </c>
      <c r="J73" s="152">
        <v>10</v>
      </c>
      <c r="K73" s="153" t="s">
        <v>1502</v>
      </c>
    </row>
    <row r="74" spans="2:11">
      <c r="B74" s="148" t="s">
        <v>376</v>
      </c>
      <c r="C74" s="149" t="s">
        <v>377</v>
      </c>
      <c r="D74" s="150">
        <v>9.7999999999999997E-5</v>
      </c>
      <c r="E74" s="151">
        <v>0.2</v>
      </c>
      <c r="F74" s="150">
        <v>1E-3</v>
      </c>
      <c r="G74" s="151">
        <v>0.88</v>
      </c>
      <c r="H74" s="150">
        <v>2E-3</v>
      </c>
      <c r="I74" s="151">
        <v>0.88</v>
      </c>
      <c r="J74" s="152">
        <v>1.9</v>
      </c>
      <c r="K74" s="153" t="s">
        <v>1502</v>
      </c>
    </row>
    <row r="75" spans="2:11">
      <c r="B75" s="148" t="s">
        <v>386</v>
      </c>
      <c r="C75" s="149" t="s">
        <v>387</v>
      </c>
      <c r="D75" s="150">
        <v>9.0999999999999998E-2</v>
      </c>
      <c r="E75" s="151">
        <v>60</v>
      </c>
      <c r="F75" s="150">
        <v>2.4</v>
      </c>
      <c r="G75" s="151">
        <v>260</v>
      </c>
      <c r="H75" s="150">
        <v>1.1000000000000001</v>
      </c>
      <c r="I75" s="151">
        <v>260</v>
      </c>
      <c r="J75" s="152">
        <v>12000</v>
      </c>
      <c r="K75" s="153" t="s">
        <v>1502</v>
      </c>
    </row>
    <row r="76" spans="2:11">
      <c r="B76" s="148" t="s">
        <v>388</v>
      </c>
      <c r="C76" s="149" t="s">
        <v>389</v>
      </c>
      <c r="D76" s="150">
        <v>2.8999999999999998E-3</v>
      </c>
      <c r="E76" s="151" t="s">
        <v>1503</v>
      </c>
      <c r="F76" s="150">
        <v>7.5999999999999998E-2</v>
      </c>
      <c r="G76" s="151" t="s">
        <v>1503</v>
      </c>
      <c r="H76" s="150">
        <v>3.5000000000000003E-2</v>
      </c>
      <c r="I76" s="151" t="s">
        <v>1503</v>
      </c>
      <c r="J76" s="152" t="s">
        <v>1503</v>
      </c>
      <c r="K76" s="153" t="s">
        <v>1503</v>
      </c>
    </row>
    <row r="77" spans="2:11">
      <c r="B77" s="148" t="s">
        <v>394</v>
      </c>
      <c r="C77" s="149" t="s">
        <v>395</v>
      </c>
      <c r="D77" s="150">
        <v>0.63</v>
      </c>
      <c r="E77" s="151" t="s">
        <v>1503</v>
      </c>
      <c r="F77" s="150">
        <v>16</v>
      </c>
      <c r="G77" s="151" t="s">
        <v>1503</v>
      </c>
      <c r="H77" s="150">
        <v>7.5</v>
      </c>
      <c r="I77" s="151" t="s">
        <v>1503</v>
      </c>
      <c r="J77" s="152" t="s">
        <v>1503</v>
      </c>
      <c r="K77" s="153" t="s">
        <v>1503</v>
      </c>
    </row>
    <row r="78" spans="2:11">
      <c r="B78" s="148" t="s">
        <v>396</v>
      </c>
      <c r="C78" s="149" t="s">
        <v>397</v>
      </c>
      <c r="D78" s="150" t="s">
        <v>1503</v>
      </c>
      <c r="E78" s="151" t="s">
        <v>1503</v>
      </c>
      <c r="F78" s="150" t="s">
        <v>1503</v>
      </c>
      <c r="G78" s="151" t="s">
        <v>1503</v>
      </c>
      <c r="H78" s="150" t="s">
        <v>1503</v>
      </c>
      <c r="I78" s="151" t="s">
        <v>1503</v>
      </c>
      <c r="J78" s="152">
        <v>790</v>
      </c>
      <c r="K78" s="153" t="s">
        <v>1502</v>
      </c>
    </row>
    <row r="79" spans="2:11">
      <c r="B79" s="148" t="s">
        <v>398</v>
      </c>
      <c r="C79" s="149" t="s">
        <v>399</v>
      </c>
      <c r="D79" s="150">
        <v>59</v>
      </c>
      <c r="E79" s="151">
        <v>600</v>
      </c>
      <c r="F79" s="150">
        <v>620</v>
      </c>
      <c r="G79" s="151">
        <v>2600</v>
      </c>
      <c r="H79" s="150">
        <v>1200</v>
      </c>
      <c r="I79" s="151">
        <v>2600</v>
      </c>
      <c r="J79" s="152">
        <v>2100</v>
      </c>
      <c r="K79" s="153" t="s">
        <v>1502</v>
      </c>
    </row>
    <row r="80" spans="2:11">
      <c r="B80" s="148" t="s">
        <v>404</v>
      </c>
      <c r="C80" s="149" t="s">
        <v>405</v>
      </c>
      <c r="D80" s="150" t="s">
        <v>1503</v>
      </c>
      <c r="E80" s="151">
        <v>4</v>
      </c>
      <c r="F80" s="150" t="s">
        <v>1503</v>
      </c>
      <c r="G80" s="151">
        <v>18</v>
      </c>
      <c r="H80" s="150" t="s">
        <v>1503</v>
      </c>
      <c r="I80" s="151">
        <v>18</v>
      </c>
      <c r="J80" s="152">
        <v>230</v>
      </c>
      <c r="K80" s="153" t="s">
        <v>1502</v>
      </c>
    </row>
    <row r="81" spans="2:11">
      <c r="B81" s="148" t="s">
        <v>406</v>
      </c>
      <c r="C81" s="149" t="s">
        <v>407</v>
      </c>
      <c r="D81" s="150">
        <v>0.25</v>
      </c>
      <c r="E81" s="151">
        <v>32</v>
      </c>
      <c r="F81" s="150">
        <v>6.5</v>
      </c>
      <c r="G81" s="151">
        <v>140</v>
      </c>
      <c r="H81" s="150">
        <v>3</v>
      </c>
      <c r="I81" s="151">
        <v>140</v>
      </c>
      <c r="J81" s="152">
        <v>36</v>
      </c>
      <c r="K81" s="153" t="s">
        <v>1502</v>
      </c>
    </row>
    <row r="82" spans="2:11">
      <c r="B82" s="148" t="s">
        <v>408</v>
      </c>
      <c r="C82" s="149" t="s">
        <v>409</v>
      </c>
      <c r="D82" s="150" t="s">
        <v>1503</v>
      </c>
      <c r="E82" s="151">
        <v>0.54</v>
      </c>
      <c r="F82" s="150" t="s">
        <v>1503</v>
      </c>
      <c r="G82" s="151">
        <v>2.4</v>
      </c>
      <c r="H82" s="150" t="s">
        <v>1503</v>
      </c>
      <c r="I82" s="151">
        <v>2.4</v>
      </c>
      <c r="J82" s="152">
        <v>18</v>
      </c>
      <c r="K82" s="153" t="s">
        <v>1504</v>
      </c>
    </row>
    <row r="83" spans="2:11">
      <c r="B83" s="148" t="s">
        <v>414</v>
      </c>
      <c r="C83" s="149" t="s">
        <v>415</v>
      </c>
      <c r="D83" s="150">
        <v>2.2000000000000001E-4</v>
      </c>
      <c r="E83" s="151" t="s">
        <v>1503</v>
      </c>
      <c r="F83" s="150">
        <v>5.7000000000000002E-3</v>
      </c>
      <c r="G83" s="151" t="s">
        <v>1503</v>
      </c>
      <c r="H83" s="150">
        <v>2.5999999999999999E-3</v>
      </c>
      <c r="I83" s="151" t="s">
        <v>1503</v>
      </c>
      <c r="J83" s="152" t="s">
        <v>1503</v>
      </c>
      <c r="K83" s="153" t="s">
        <v>1503</v>
      </c>
    </row>
    <row r="84" spans="2:11">
      <c r="B84" s="156" t="s">
        <v>1516</v>
      </c>
      <c r="C84" s="149" t="s">
        <v>416</v>
      </c>
      <c r="D84" s="150">
        <v>0.1</v>
      </c>
      <c r="E84" s="151">
        <v>5</v>
      </c>
      <c r="F84" s="150">
        <v>2.6</v>
      </c>
      <c r="G84" s="151">
        <v>22</v>
      </c>
      <c r="H84" s="150">
        <v>1.2</v>
      </c>
      <c r="I84" s="151">
        <v>22</v>
      </c>
      <c r="J84" s="152" t="s">
        <v>1503</v>
      </c>
      <c r="K84" s="153" t="s">
        <v>1502</v>
      </c>
    </row>
    <row r="85" spans="2:11">
      <c r="B85" s="148" t="s">
        <v>417</v>
      </c>
      <c r="C85" s="149" t="s">
        <v>418</v>
      </c>
      <c r="D85" s="150" t="s">
        <v>1503</v>
      </c>
      <c r="E85" s="151">
        <v>0.2</v>
      </c>
      <c r="F85" s="150" t="s">
        <v>1503</v>
      </c>
      <c r="G85" s="151">
        <v>0.88</v>
      </c>
      <c r="H85" s="150" t="s">
        <v>1503</v>
      </c>
      <c r="I85" s="151">
        <v>0.88</v>
      </c>
      <c r="J85" s="152" t="s">
        <v>1503</v>
      </c>
      <c r="K85" s="153" t="s">
        <v>1502</v>
      </c>
    </row>
    <row r="86" spans="2:11">
      <c r="B86" s="148" t="s">
        <v>423</v>
      </c>
      <c r="C86" s="149" t="s">
        <v>424</v>
      </c>
      <c r="D86" s="150" t="s">
        <v>1503</v>
      </c>
      <c r="E86" s="151">
        <v>0.1</v>
      </c>
      <c r="F86" s="150" t="s">
        <v>1503</v>
      </c>
      <c r="G86" s="151">
        <v>0.44</v>
      </c>
      <c r="H86" s="150" t="s">
        <v>1503</v>
      </c>
      <c r="I86" s="151">
        <v>0.44</v>
      </c>
      <c r="J86" s="152" t="s">
        <v>1503</v>
      </c>
      <c r="K86" s="153" t="s">
        <v>1502</v>
      </c>
    </row>
    <row r="87" spans="2:11">
      <c r="B87" s="148" t="s">
        <v>425</v>
      </c>
      <c r="C87" s="149" t="s">
        <v>426</v>
      </c>
      <c r="D87" s="150" t="s">
        <v>1503</v>
      </c>
      <c r="E87" s="151">
        <v>0.3</v>
      </c>
      <c r="F87" s="150" t="s">
        <v>1503</v>
      </c>
      <c r="G87" s="151">
        <v>1.3</v>
      </c>
      <c r="H87" s="150" t="s">
        <v>1503</v>
      </c>
      <c r="I87" s="151">
        <v>1.3</v>
      </c>
      <c r="J87" s="152" t="s">
        <v>1503</v>
      </c>
      <c r="K87" s="153" t="s">
        <v>1504</v>
      </c>
    </row>
    <row r="88" spans="2:11">
      <c r="B88" s="148" t="s">
        <v>435</v>
      </c>
      <c r="C88" s="149" t="s">
        <v>436</v>
      </c>
      <c r="D88" s="150" t="s">
        <v>1503</v>
      </c>
      <c r="E88" s="151">
        <v>40000</v>
      </c>
      <c r="F88" s="150" t="s">
        <v>1503</v>
      </c>
      <c r="G88" s="151">
        <v>180000</v>
      </c>
      <c r="H88" s="150" t="s">
        <v>1503</v>
      </c>
      <c r="I88" s="151">
        <v>180000</v>
      </c>
      <c r="J88" s="152" t="s">
        <v>1503</v>
      </c>
      <c r="K88" s="153" t="s">
        <v>1504</v>
      </c>
    </row>
    <row r="89" spans="2:11">
      <c r="B89" s="148" t="s">
        <v>443</v>
      </c>
      <c r="C89" s="149" t="s">
        <v>444</v>
      </c>
      <c r="D89" s="150">
        <v>7.6999999999999996E-4</v>
      </c>
      <c r="E89" s="151" t="s">
        <v>1503</v>
      </c>
      <c r="F89" s="150">
        <v>0.02</v>
      </c>
      <c r="G89" s="151" t="s">
        <v>1503</v>
      </c>
      <c r="H89" s="150">
        <v>9.1999999999999998E-3</v>
      </c>
      <c r="I89" s="151" t="s">
        <v>1503</v>
      </c>
      <c r="J89" s="152" t="s">
        <v>1503</v>
      </c>
      <c r="K89" s="153" t="s">
        <v>1503</v>
      </c>
    </row>
    <row r="90" spans="2:11">
      <c r="B90" s="148" t="s">
        <v>451</v>
      </c>
      <c r="C90" s="149" t="s">
        <v>452</v>
      </c>
      <c r="D90" s="150" t="s">
        <v>1503</v>
      </c>
      <c r="E90" s="151">
        <v>80</v>
      </c>
      <c r="F90" s="150" t="s">
        <v>1503</v>
      </c>
      <c r="G90" s="151">
        <v>350</v>
      </c>
      <c r="H90" s="150" t="s">
        <v>1503</v>
      </c>
      <c r="I90" s="151">
        <v>350</v>
      </c>
      <c r="J90" s="152" t="s">
        <v>1503</v>
      </c>
      <c r="K90" s="153" t="s">
        <v>1502</v>
      </c>
    </row>
    <row r="91" spans="2:11">
      <c r="B91" s="148" t="s">
        <v>453</v>
      </c>
      <c r="C91" s="149" t="s">
        <v>454</v>
      </c>
      <c r="D91" s="150" t="s">
        <v>1503</v>
      </c>
      <c r="E91" s="151" t="s">
        <v>1503</v>
      </c>
      <c r="F91" s="150" t="s">
        <v>1503</v>
      </c>
      <c r="G91" s="151" t="s">
        <v>1503</v>
      </c>
      <c r="H91" s="150" t="s">
        <v>1503</v>
      </c>
      <c r="I91" s="151" t="s">
        <v>1503</v>
      </c>
      <c r="J91" s="152">
        <v>0.49</v>
      </c>
      <c r="K91" s="153" t="s">
        <v>1502</v>
      </c>
    </row>
    <row r="92" spans="2:11">
      <c r="B92" s="148" t="s">
        <v>465</v>
      </c>
      <c r="C92" s="149" t="s">
        <v>466</v>
      </c>
      <c r="D92" s="150">
        <v>1.0999999999999999E-2</v>
      </c>
      <c r="E92" s="151" t="s">
        <v>1503</v>
      </c>
      <c r="F92" s="150">
        <v>0.28999999999999998</v>
      </c>
      <c r="G92" s="151" t="s">
        <v>1503</v>
      </c>
      <c r="H92" s="150">
        <v>0.13</v>
      </c>
      <c r="I92" s="151" t="s">
        <v>1503</v>
      </c>
      <c r="J92" s="152" t="s">
        <v>1503</v>
      </c>
      <c r="K92" s="153" t="s">
        <v>1503</v>
      </c>
    </row>
    <row r="93" spans="2:11">
      <c r="B93" s="148" t="s">
        <v>469</v>
      </c>
      <c r="C93" s="149" t="s">
        <v>470</v>
      </c>
      <c r="D93" s="150">
        <v>0.2</v>
      </c>
      <c r="E93" s="151">
        <v>30</v>
      </c>
      <c r="F93" s="150">
        <v>5.2</v>
      </c>
      <c r="G93" s="151">
        <v>130</v>
      </c>
      <c r="H93" s="150">
        <v>2.4</v>
      </c>
      <c r="I93" s="151">
        <v>130</v>
      </c>
      <c r="J93" s="152">
        <v>7200</v>
      </c>
      <c r="K93" s="153" t="s">
        <v>1502</v>
      </c>
    </row>
    <row r="94" spans="2:11">
      <c r="B94" s="148" t="s">
        <v>473</v>
      </c>
      <c r="C94" s="149" t="s">
        <v>474</v>
      </c>
      <c r="D94" s="150">
        <v>4.4999999999999997E-3</v>
      </c>
      <c r="E94" s="151" t="s">
        <v>1503</v>
      </c>
      <c r="F94" s="150">
        <v>0.12</v>
      </c>
      <c r="G94" s="151" t="s">
        <v>1503</v>
      </c>
      <c r="H94" s="150">
        <v>5.5E-2</v>
      </c>
      <c r="I94" s="151" t="s">
        <v>1503</v>
      </c>
      <c r="J94" s="152" t="s">
        <v>1503</v>
      </c>
      <c r="K94" s="153" t="s">
        <v>1503</v>
      </c>
    </row>
    <row r="95" spans="2:11">
      <c r="B95" s="148" t="s">
        <v>479</v>
      </c>
      <c r="C95" s="149" t="s">
        <v>480</v>
      </c>
      <c r="D95" s="150">
        <v>7.0999999999999998E-6</v>
      </c>
      <c r="E95" s="151" t="s">
        <v>1503</v>
      </c>
      <c r="F95" s="150">
        <v>1.9000000000000001E-4</v>
      </c>
      <c r="G95" s="151" t="s">
        <v>1503</v>
      </c>
      <c r="H95" s="150">
        <v>8.6000000000000003E-5</v>
      </c>
      <c r="I95" s="151" t="s">
        <v>1503</v>
      </c>
      <c r="J95" s="152" t="s">
        <v>1503</v>
      </c>
      <c r="K95" s="153" t="s">
        <v>1503</v>
      </c>
    </row>
    <row r="96" spans="2:11">
      <c r="B96" s="148" t="s">
        <v>481</v>
      </c>
      <c r="C96" s="149" t="s">
        <v>482</v>
      </c>
      <c r="D96" s="150">
        <v>7.0999999999999998E-6</v>
      </c>
      <c r="E96" s="151" t="s">
        <v>1503</v>
      </c>
      <c r="F96" s="150">
        <v>1.9000000000000001E-4</v>
      </c>
      <c r="G96" s="151" t="s">
        <v>1503</v>
      </c>
      <c r="H96" s="150">
        <v>8.6000000000000003E-5</v>
      </c>
      <c r="I96" s="151" t="s">
        <v>1503</v>
      </c>
      <c r="J96" s="152" t="s">
        <v>1503</v>
      </c>
      <c r="K96" s="153" t="s">
        <v>1503</v>
      </c>
    </row>
    <row r="97" spans="2:11">
      <c r="B97" s="148" t="s">
        <v>483</v>
      </c>
      <c r="C97" s="149" t="s">
        <v>484</v>
      </c>
      <c r="D97" s="150">
        <v>7.0999999999999998E-6</v>
      </c>
      <c r="E97" s="151" t="s">
        <v>1503</v>
      </c>
      <c r="F97" s="150">
        <v>1.9000000000000001E-4</v>
      </c>
      <c r="G97" s="151" t="s">
        <v>1503</v>
      </c>
      <c r="H97" s="150">
        <v>8.6000000000000003E-5</v>
      </c>
      <c r="I97" s="151" t="s">
        <v>1503</v>
      </c>
      <c r="J97" s="152" t="s">
        <v>1503</v>
      </c>
      <c r="K97" s="153" t="s">
        <v>1503</v>
      </c>
    </row>
    <row r="98" spans="2:11">
      <c r="B98" s="148" t="s">
        <v>487</v>
      </c>
      <c r="C98" s="149" t="s">
        <v>488</v>
      </c>
      <c r="D98" s="150" t="s">
        <v>1503</v>
      </c>
      <c r="E98" s="151" t="s">
        <v>1503</v>
      </c>
      <c r="F98" s="150" t="s">
        <v>1503</v>
      </c>
      <c r="G98" s="151" t="s">
        <v>1503</v>
      </c>
      <c r="H98" s="150" t="s">
        <v>1503</v>
      </c>
      <c r="I98" s="151" t="s">
        <v>1503</v>
      </c>
      <c r="J98" s="152">
        <v>6</v>
      </c>
      <c r="K98" s="153" t="s">
        <v>1502</v>
      </c>
    </row>
    <row r="99" spans="2:11">
      <c r="B99" s="148" t="s">
        <v>489</v>
      </c>
      <c r="C99" s="149" t="s">
        <v>490</v>
      </c>
      <c r="D99" s="150">
        <v>4.2999999999999997E-2</v>
      </c>
      <c r="E99" s="151">
        <v>3</v>
      </c>
      <c r="F99" s="150">
        <v>1.1000000000000001</v>
      </c>
      <c r="G99" s="151">
        <v>13</v>
      </c>
      <c r="H99" s="150">
        <v>0.52</v>
      </c>
      <c r="I99" s="151">
        <v>13</v>
      </c>
      <c r="J99" s="152">
        <v>1300</v>
      </c>
      <c r="K99" s="153" t="s">
        <v>1502</v>
      </c>
    </row>
    <row r="100" spans="2:11">
      <c r="B100" s="148" t="s">
        <v>491</v>
      </c>
      <c r="C100" s="149" t="s">
        <v>492</v>
      </c>
      <c r="D100" s="150" t="s">
        <v>1503</v>
      </c>
      <c r="E100" s="151">
        <v>20</v>
      </c>
      <c r="F100" s="150" t="s">
        <v>1503</v>
      </c>
      <c r="G100" s="151">
        <v>88</v>
      </c>
      <c r="H100" s="150" t="s">
        <v>1503</v>
      </c>
      <c r="I100" s="151">
        <v>88</v>
      </c>
      <c r="J100" s="152" t="s">
        <v>1503</v>
      </c>
      <c r="K100" s="153" t="s">
        <v>1504</v>
      </c>
    </row>
    <row r="101" spans="2:11">
      <c r="B101" s="148" t="s">
        <v>496</v>
      </c>
      <c r="C101" s="149" t="s">
        <v>497</v>
      </c>
      <c r="D101" s="150" t="s">
        <v>1503</v>
      </c>
      <c r="E101" s="151">
        <v>8</v>
      </c>
      <c r="F101" s="150" t="s">
        <v>1503</v>
      </c>
      <c r="G101" s="151">
        <v>35</v>
      </c>
      <c r="H101" s="150" t="s">
        <v>1503</v>
      </c>
      <c r="I101" s="151">
        <v>35</v>
      </c>
      <c r="J101" s="152" t="s">
        <v>1503</v>
      </c>
      <c r="K101" s="153" t="s">
        <v>1502</v>
      </c>
    </row>
    <row r="102" spans="2:11">
      <c r="B102" s="148" t="s">
        <v>498</v>
      </c>
      <c r="C102" s="149" t="s">
        <v>499</v>
      </c>
      <c r="D102" s="150">
        <v>0.4</v>
      </c>
      <c r="E102" s="151">
        <v>260</v>
      </c>
      <c r="F102" s="150">
        <v>10</v>
      </c>
      <c r="G102" s="151">
        <v>1100</v>
      </c>
      <c r="H102" s="150">
        <v>4.8</v>
      </c>
      <c r="I102" s="151">
        <v>1100</v>
      </c>
      <c r="J102" s="152">
        <v>22000</v>
      </c>
      <c r="K102" s="153" t="s">
        <v>1502</v>
      </c>
    </row>
    <row r="103" spans="2:11">
      <c r="B103" s="148" t="s">
        <v>502</v>
      </c>
      <c r="C103" s="149" t="s">
        <v>503</v>
      </c>
      <c r="D103" s="150">
        <v>1.6999999999999999E-3</v>
      </c>
      <c r="E103" s="151">
        <v>9</v>
      </c>
      <c r="F103" s="150">
        <v>4.2999999999999997E-2</v>
      </c>
      <c r="G103" s="151">
        <v>40</v>
      </c>
      <c r="H103" s="150">
        <v>0.02</v>
      </c>
      <c r="I103" s="151">
        <v>40</v>
      </c>
      <c r="J103" s="152" t="s">
        <v>1503</v>
      </c>
      <c r="K103" s="153" t="s">
        <v>1502</v>
      </c>
    </row>
    <row r="104" spans="2:11">
      <c r="B104" s="148" t="s">
        <v>504</v>
      </c>
      <c r="C104" s="149" t="s">
        <v>505</v>
      </c>
      <c r="D104" s="150">
        <v>3.7999999999999999E-2</v>
      </c>
      <c r="E104" s="151">
        <v>7</v>
      </c>
      <c r="F104" s="150">
        <v>1</v>
      </c>
      <c r="G104" s="151">
        <v>31</v>
      </c>
      <c r="H104" s="150">
        <v>0.46</v>
      </c>
      <c r="I104" s="151">
        <v>31</v>
      </c>
      <c r="J104" s="152" t="s">
        <v>1503</v>
      </c>
      <c r="K104" s="153" t="s">
        <v>1502</v>
      </c>
    </row>
    <row r="105" spans="2:11">
      <c r="B105" s="148" t="s">
        <v>506</v>
      </c>
      <c r="C105" s="149" t="s">
        <v>507</v>
      </c>
      <c r="D105" s="150" t="s">
        <v>1503</v>
      </c>
      <c r="E105" s="151">
        <v>400</v>
      </c>
      <c r="F105" s="150" t="s">
        <v>1503</v>
      </c>
      <c r="G105" s="151">
        <v>1800</v>
      </c>
      <c r="H105" s="150" t="s">
        <v>1503</v>
      </c>
      <c r="I105" s="151">
        <v>1800</v>
      </c>
      <c r="J105" s="152">
        <v>2000</v>
      </c>
      <c r="K105" s="153" t="s">
        <v>1502</v>
      </c>
    </row>
    <row r="106" spans="2:11">
      <c r="B106" s="148" t="s">
        <v>512</v>
      </c>
      <c r="C106" s="149" t="s">
        <v>513</v>
      </c>
      <c r="D106" s="150" t="s">
        <v>1503</v>
      </c>
      <c r="E106" s="151">
        <v>82</v>
      </c>
      <c r="F106" s="150" t="s">
        <v>1503</v>
      </c>
      <c r="G106" s="151">
        <v>360</v>
      </c>
      <c r="H106" s="150" t="s">
        <v>1503</v>
      </c>
      <c r="I106" s="151">
        <v>360</v>
      </c>
      <c r="J106" s="152">
        <v>29000</v>
      </c>
      <c r="K106" s="153" t="s">
        <v>1502</v>
      </c>
    </row>
    <row r="107" spans="2:11">
      <c r="B107" s="148" t="s">
        <v>514</v>
      </c>
      <c r="C107" s="149" t="s">
        <v>515</v>
      </c>
      <c r="D107" s="150" t="s">
        <v>1503</v>
      </c>
      <c r="E107" s="151">
        <v>70</v>
      </c>
      <c r="F107" s="150" t="s">
        <v>1503</v>
      </c>
      <c r="G107" s="151">
        <v>310</v>
      </c>
      <c r="H107" s="150" t="s">
        <v>1503</v>
      </c>
      <c r="I107" s="151">
        <v>310</v>
      </c>
      <c r="J107" s="152">
        <v>370</v>
      </c>
      <c r="K107" s="153" t="s">
        <v>1502</v>
      </c>
    </row>
    <row r="108" spans="2:11">
      <c r="B108" s="148" t="s">
        <v>516</v>
      </c>
      <c r="C108" s="149" t="s">
        <v>517</v>
      </c>
      <c r="D108" s="150" t="s">
        <v>1503</v>
      </c>
      <c r="E108" s="151">
        <v>60</v>
      </c>
      <c r="F108" s="150" t="s">
        <v>1503</v>
      </c>
      <c r="G108" s="151">
        <v>260</v>
      </c>
      <c r="H108" s="150" t="s">
        <v>1503</v>
      </c>
      <c r="I108" s="151">
        <v>260</v>
      </c>
      <c r="J108" s="152">
        <v>140</v>
      </c>
      <c r="K108" s="153" t="s">
        <v>1502</v>
      </c>
    </row>
    <row r="109" spans="2:11">
      <c r="B109" s="148" t="s">
        <v>518</v>
      </c>
      <c r="C109" s="149" t="s">
        <v>519</v>
      </c>
      <c r="D109" s="150" t="s">
        <v>1503</v>
      </c>
      <c r="E109" s="151">
        <v>60</v>
      </c>
      <c r="F109" s="150" t="s">
        <v>1503</v>
      </c>
      <c r="G109" s="151">
        <v>260</v>
      </c>
      <c r="H109" s="150" t="s">
        <v>1503</v>
      </c>
      <c r="I109" s="151">
        <v>260</v>
      </c>
      <c r="J109" s="152">
        <v>93</v>
      </c>
      <c r="K109" s="153" t="s">
        <v>1502</v>
      </c>
    </row>
    <row r="110" spans="2:11">
      <c r="B110" s="148" t="s">
        <v>520</v>
      </c>
      <c r="C110" s="149" t="s">
        <v>521</v>
      </c>
      <c r="D110" s="150" t="s">
        <v>1503</v>
      </c>
      <c r="E110" s="151">
        <v>1</v>
      </c>
      <c r="F110" s="150" t="s">
        <v>1503</v>
      </c>
      <c r="G110" s="151">
        <v>4.4000000000000004</v>
      </c>
      <c r="H110" s="150" t="s">
        <v>1503</v>
      </c>
      <c r="I110" s="151">
        <v>4.4000000000000004</v>
      </c>
      <c r="J110" s="152" t="s">
        <v>1503</v>
      </c>
      <c r="K110" s="153" t="s">
        <v>1502</v>
      </c>
    </row>
    <row r="111" spans="2:11">
      <c r="B111" s="148" t="s">
        <v>526</v>
      </c>
      <c r="C111" s="149" t="s">
        <v>527</v>
      </c>
      <c r="D111" s="150">
        <v>2.0000000000000001E-4</v>
      </c>
      <c r="E111" s="151">
        <v>30</v>
      </c>
      <c r="F111" s="150">
        <v>2.0999999999999999E-3</v>
      </c>
      <c r="G111" s="151">
        <v>130</v>
      </c>
      <c r="H111" s="150">
        <v>4.0000000000000001E-3</v>
      </c>
      <c r="I111" s="151">
        <v>130</v>
      </c>
      <c r="J111" s="152">
        <v>160</v>
      </c>
      <c r="K111" s="153" t="s">
        <v>1502</v>
      </c>
    </row>
    <row r="112" spans="2:11">
      <c r="B112" s="148" t="s">
        <v>528</v>
      </c>
      <c r="C112" s="149" t="s">
        <v>529</v>
      </c>
      <c r="D112" s="150">
        <v>7.6999999999999999E-2</v>
      </c>
      <c r="E112" s="151" t="s">
        <v>1503</v>
      </c>
      <c r="F112" s="150">
        <v>2</v>
      </c>
      <c r="G112" s="151" t="s">
        <v>1503</v>
      </c>
      <c r="H112" s="150">
        <v>0.92</v>
      </c>
      <c r="I112" s="151" t="s">
        <v>1503</v>
      </c>
      <c r="J112" s="152" t="s">
        <v>1503</v>
      </c>
      <c r="K112" s="153" t="s">
        <v>1503</v>
      </c>
    </row>
    <row r="113" spans="2:11">
      <c r="B113" s="156" t="s">
        <v>1517</v>
      </c>
      <c r="C113" s="149" t="s">
        <v>532</v>
      </c>
      <c r="D113" s="150" t="s">
        <v>1503</v>
      </c>
      <c r="E113" s="151">
        <v>2.2999999999999998</v>
      </c>
      <c r="F113" s="150" t="s">
        <v>1503</v>
      </c>
      <c r="G113" s="151">
        <v>20</v>
      </c>
      <c r="H113" s="150" t="s">
        <v>1503</v>
      </c>
      <c r="I113" s="151">
        <v>20</v>
      </c>
      <c r="J113" s="152">
        <v>240</v>
      </c>
      <c r="K113" s="153" t="s">
        <v>1502</v>
      </c>
    </row>
    <row r="114" spans="2:11">
      <c r="B114" s="148" t="s">
        <v>533</v>
      </c>
      <c r="C114" s="149" t="s">
        <v>534</v>
      </c>
      <c r="D114" s="150" t="s">
        <v>1503</v>
      </c>
      <c r="E114" s="151" t="s">
        <v>1503</v>
      </c>
      <c r="F114" s="150" t="s">
        <v>1503</v>
      </c>
      <c r="G114" s="151" t="s">
        <v>1503</v>
      </c>
      <c r="H114" s="150" t="s">
        <v>1503</v>
      </c>
      <c r="I114" s="151" t="s">
        <v>1503</v>
      </c>
      <c r="J114" s="152">
        <v>16</v>
      </c>
      <c r="K114" s="153" t="s">
        <v>1502</v>
      </c>
    </row>
    <row r="115" spans="2:11">
      <c r="B115" s="148" t="s">
        <v>535</v>
      </c>
      <c r="C115" s="149" t="s">
        <v>536</v>
      </c>
      <c r="D115" s="150">
        <v>0.17</v>
      </c>
      <c r="E115" s="151">
        <v>9</v>
      </c>
      <c r="F115" s="150">
        <v>4.3</v>
      </c>
      <c r="G115" s="151">
        <v>40</v>
      </c>
      <c r="H115" s="150">
        <v>2</v>
      </c>
      <c r="I115" s="151">
        <v>40</v>
      </c>
      <c r="J115" s="152">
        <v>49</v>
      </c>
      <c r="K115" s="153" t="s">
        <v>1502</v>
      </c>
    </row>
    <row r="116" spans="2:11">
      <c r="B116" s="148" t="s">
        <v>544</v>
      </c>
      <c r="C116" s="149" t="s">
        <v>545</v>
      </c>
      <c r="D116" s="150" t="s">
        <v>1503</v>
      </c>
      <c r="E116" s="151">
        <v>0.08</v>
      </c>
      <c r="F116" s="150" t="s">
        <v>1503</v>
      </c>
      <c r="G116" s="151">
        <v>0.35</v>
      </c>
      <c r="H116" s="150" t="s">
        <v>1503</v>
      </c>
      <c r="I116" s="151">
        <v>0.35</v>
      </c>
      <c r="J116" s="152">
        <v>4.0999999999999996</v>
      </c>
      <c r="K116" s="153" t="s">
        <v>1504</v>
      </c>
    </row>
    <row r="117" spans="2:11">
      <c r="B117" s="148" t="s">
        <v>554</v>
      </c>
      <c r="C117" s="149" t="s">
        <v>555</v>
      </c>
      <c r="D117" s="150">
        <v>7.6999999999999996E-4</v>
      </c>
      <c r="E117" s="151" t="s">
        <v>1503</v>
      </c>
      <c r="F117" s="150">
        <v>0.02</v>
      </c>
      <c r="G117" s="151" t="s">
        <v>1503</v>
      </c>
      <c r="H117" s="150">
        <v>9.1999999999999998E-3</v>
      </c>
      <c r="I117" s="151" t="s">
        <v>1503</v>
      </c>
      <c r="J117" s="152" t="s">
        <v>1503</v>
      </c>
      <c r="K117" s="153" t="s">
        <v>1503</v>
      </c>
    </row>
    <row r="118" spans="2:11">
      <c r="B118" s="148" t="s">
        <v>556</v>
      </c>
      <c r="C118" s="149" t="s">
        <v>557</v>
      </c>
      <c r="D118" s="150">
        <v>3.8000000000000002E-4</v>
      </c>
      <c r="E118" s="151" t="s">
        <v>1503</v>
      </c>
      <c r="F118" s="150">
        <v>0.01</v>
      </c>
      <c r="G118" s="151" t="s">
        <v>1503</v>
      </c>
      <c r="H118" s="150">
        <v>4.5999999999999999E-3</v>
      </c>
      <c r="I118" s="151" t="s">
        <v>1503</v>
      </c>
      <c r="J118" s="152" t="s">
        <v>1503</v>
      </c>
      <c r="K118" s="153" t="s">
        <v>1503</v>
      </c>
    </row>
    <row r="119" spans="2:11">
      <c r="B119" s="148" t="s">
        <v>558</v>
      </c>
      <c r="C119" s="149" t="s">
        <v>559</v>
      </c>
      <c r="D119" s="150">
        <v>2E-3</v>
      </c>
      <c r="E119" s="151" t="s">
        <v>1503</v>
      </c>
      <c r="F119" s="150">
        <v>5.0999999999999997E-2</v>
      </c>
      <c r="G119" s="151" t="s">
        <v>1503</v>
      </c>
      <c r="H119" s="150">
        <v>2.4E-2</v>
      </c>
      <c r="I119" s="151" t="s">
        <v>1503</v>
      </c>
      <c r="J119" s="152" t="s">
        <v>1503</v>
      </c>
      <c r="K119" s="153" t="s">
        <v>1503</v>
      </c>
    </row>
    <row r="120" spans="2:11">
      <c r="B120" s="148" t="s">
        <v>560</v>
      </c>
      <c r="C120" s="149" t="s">
        <v>561</v>
      </c>
      <c r="D120" s="150">
        <v>4.4999999999999998E-2</v>
      </c>
      <c r="E120" s="151" t="s">
        <v>1503</v>
      </c>
      <c r="F120" s="150">
        <v>1.2</v>
      </c>
      <c r="G120" s="151" t="s">
        <v>1503</v>
      </c>
      <c r="H120" s="150">
        <v>0.55000000000000004</v>
      </c>
      <c r="I120" s="151" t="s">
        <v>1503</v>
      </c>
      <c r="J120" s="152" t="s">
        <v>1503</v>
      </c>
      <c r="K120" s="153" t="s">
        <v>1503</v>
      </c>
    </row>
    <row r="121" spans="2:11" ht="28.8">
      <c r="B121" s="148" t="s">
        <v>562</v>
      </c>
      <c r="C121" s="149" t="s">
        <v>563</v>
      </c>
      <c r="D121" s="150">
        <v>1.7000000000000001E-4</v>
      </c>
      <c r="E121" s="151" t="s">
        <v>1503</v>
      </c>
      <c r="F121" s="150">
        <v>1.7999999999999999E-2</v>
      </c>
      <c r="G121" s="151" t="s">
        <v>1503</v>
      </c>
      <c r="H121" s="150">
        <v>8.3999999999999995E-3</v>
      </c>
      <c r="I121" s="151" t="s">
        <v>1503</v>
      </c>
      <c r="J121" s="152" t="s">
        <v>1503</v>
      </c>
      <c r="K121" s="153" t="s">
        <v>1503</v>
      </c>
    </row>
    <row r="122" spans="2:11">
      <c r="B122" s="148" t="s">
        <v>564</v>
      </c>
      <c r="C122" s="149" t="s">
        <v>565</v>
      </c>
      <c r="D122" s="150">
        <v>1.7000000000000001E-4</v>
      </c>
      <c r="E122" s="151" t="s">
        <v>1503</v>
      </c>
      <c r="F122" s="150">
        <v>1.7999999999999999E-2</v>
      </c>
      <c r="G122" s="151" t="s">
        <v>1503</v>
      </c>
      <c r="H122" s="150">
        <v>8.3999999999999995E-3</v>
      </c>
      <c r="I122" s="151" t="s">
        <v>1503</v>
      </c>
      <c r="J122" s="152" t="s">
        <v>1503</v>
      </c>
      <c r="K122" s="153" t="s">
        <v>1503</v>
      </c>
    </row>
    <row r="123" spans="2:11">
      <c r="B123" s="148" t="s">
        <v>566</v>
      </c>
      <c r="C123" s="149" t="s">
        <v>567</v>
      </c>
      <c r="D123" s="150">
        <v>1.7000000000000001E-4</v>
      </c>
      <c r="E123" s="151" t="s">
        <v>1503</v>
      </c>
      <c r="F123" s="150">
        <v>1.7999999999999999E-2</v>
      </c>
      <c r="G123" s="151" t="s">
        <v>1503</v>
      </c>
      <c r="H123" s="150">
        <v>8.3999999999999995E-3</v>
      </c>
      <c r="I123" s="151" t="s">
        <v>1503</v>
      </c>
      <c r="J123" s="152" t="s">
        <v>1503</v>
      </c>
      <c r="K123" s="153" t="s">
        <v>1503</v>
      </c>
    </row>
    <row r="124" spans="2:11">
      <c r="B124" s="148" t="s">
        <v>568</v>
      </c>
      <c r="C124" s="149" t="s">
        <v>569</v>
      </c>
      <c r="D124" s="150">
        <v>5.9999999999999995E-4</v>
      </c>
      <c r="E124" s="151" t="s">
        <v>1503</v>
      </c>
      <c r="F124" s="150">
        <v>6.5000000000000002E-2</v>
      </c>
      <c r="G124" s="151" t="s">
        <v>1503</v>
      </c>
      <c r="H124" s="150">
        <v>0.03</v>
      </c>
      <c r="I124" s="151" t="s">
        <v>1503</v>
      </c>
      <c r="J124" s="152" t="s">
        <v>1503</v>
      </c>
      <c r="K124" s="153" t="s">
        <v>1503</v>
      </c>
    </row>
    <row r="125" spans="2:11">
      <c r="B125" s="148" t="s">
        <v>570</v>
      </c>
      <c r="C125" s="149" t="s">
        <v>571</v>
      </c>
      <c r="D125" s="150" t="s">
        <v>1503</v>
      </c>
      <c r="E125" s="151">
        <v>0.2</v>
      </c>
      <c r="F125" s="150" t="s">
        <v>1503</v>
      </c>
      <c r="G125" s="151">
        <v>0.88</v>
      </c>
      <c r="H125" s="150" t="s">
        <v>1503</v>
      </c>
      <c r="I125" s="151">
        <v>0.88</v>
      </c>
      <c r="J125" s="152">
        <v>110</v>
      </c>
      <c r="K125" s="153" t="s">
        <v>1502</v>
      </c>
    </row>
    <row r="126" spans="2:11">
      <c r="B126" s="148" t="s">
        <v>572</v>
      </c>
      <c r="C126" s="149" t="s">
        <v>573</v>
      </c>
      <c r="D126" s="150" t="s">
        <v>1503</v>
      </c>
      <c r="E126" s="151">
        <v>30</v>
      </c>
      <c r="F126" s="150" t="s">
        <v>1503</v>
      </c>
      <c r="G126" s="151">
        <v>130</v>
      </c>
      <c r="H126" s="150" t="s">
        <v>1503</v>
      </c>
      <c r="I126" s="151">
        <v>130</v>
      </c>
      <c r="J126" s="152">
        <v>58000</v>
      </c>
      <c r="K126" s="153" t="s">
        <v>1502</v>
      </c>
    </row>
    <row r="127" spans="2:11">
      <c r="B127" s="148" t="s">
        <v>576</v>
      </c>
      <c r="C127" s="149" t="s">
        <v>577</v>
      </c>
      <c r="D127" s="150" t="s">
        <v>1503</v>
      </c>
      <c r="E127" s="151">
        <v>6.9000000000000006E-2</v>
      </c>
      <c r="F127" s="150" t="s">
        <v>1503</v>
      </c>
      <c r="G127" s="151">
        <v>0.3</v>
      </c>
      <c r="H127" s="150" t="s">
        <v>1503</v>
      </c>
      <c r="I127" s="151">
        <v>0.3</v>
      </c>
      <c r="J127" s="152">
        <v>0.21</v>
      </c>
      <c r="K127" s="153" t="s">
        <v>1504</v>
      </c>
    </row>
    <row r="128" spans="2:11">
      <c r="B128" s="148" t="s">
        <v>578</v>
      </c>
      <c r="C128" s="149" t="s">
        <v>579</v>
      </c>
      <c r="D128" s="150" t="s">
        <v>1503</v>
      </c>
      <c r="E128" s="151">
        <v>700</v>
      </c>
      <c r="F128" s="150" t="s">
        <v>1503</v>
      </c>
      <c r="G128" s="151">
        <v>3100</v>
      </c>
      <c r="H128" s="150" t="s">
        <v>1503</v>
      </c>
      <c r="I128" s="151">
        <v>3100</v>
      </c>
      <c r="J128" s="152" t="s">
        <v>1503</v>
      </c>
      <c r="K128" s="153" t="s">
        <v>1502</v>
      </c>
    </row>
    <row r="129" spans="2:11">
      <c r="B129" s="148" t="s">
        <v>580</v>
      </c>
      <c r="C129" s="149" t="s">
        <v>581</v>
      </c>
      <c r="D129" s="150">
        <v>2.0000000000000001E-4</v>
      </c>
      <c r="E129" s="151">
        <v>0.03</v>
      </c>
      <c r="F129" s="150">
        <v>5.3E-3</v>
      </c>
      <c r="G129" s="151">
        <v>0.13</v>
      </c>
      <c r="H129" s="150">
        <v>2.3999999999999998E-3</v>
      </c>
      <c r="I129" s="151">
        <v>0.13</v>
      </c>
      <c r="J129" s="152">
        <v>5.2</v>
      </c>
      <c r="K129" s="153" t="s">
        <v>1502</v>
      </c>
    </row>
    <row r="130" spans="2:11">
      <c r="B130" s="148" t="s">
        <v>584</v>
      </c>
      <c r="C130" s="149" t="s">
        <v>585</v>
      </c>
      <c r="D130" s="150" t="s">
        <v>1503</v>
      </c>
      <c r="E130" s="151">
        <v>20</v>
      </c>
      <c r="F130" s="150" t="s">
        <v>1503</v>
      </c>
      <c r="G130" s="151">
        <v>88</v>
      </c>
      <c r="H130" s="150" t="s">
        <v>1503</v>
      </c>
      <c r="I130" s="151">
        <v>88</v>
      </c>
      <c r="J130" s="152">
        <v>2100</v>
      </c>
      <c r="K130" s="153" t="s">
        <v>1502</v>
      </c>
    </row>
    <row r="131" spans="2:11">
      <c r="B131" s="148" t="s">
        <v>588</v>
      </c>
      <c r="C131" s="149" t="s">
        <v>589</v>
      </c>
      <c r="D131" s="150" t="s">
        <v>1503</v>
      </c>
      <c r="E131" s="151">
        <v>2.1</v>
      </c>
      <c r="F131" s="150" t="s">
        <v>1503</v>
      </c>
      <c r="G131" s="151">
        <v>19</v>
      </c>
      <c r="H131" s="150" t="s">
        <v>1503</v>
      </c>
      <c r="I131" s="151">
        <v>19</v>
      </c>
      <c r="J131" s="152">
        <v>16</v>
      </c>
      <c r="K131" s="153" t="s">
        <v>1502</v>
      </c>
    </row>
    <row r="132" spans="2:11">
      <c r="B132" s="148" t="s">
        <v>590</v>
      </c>
      <c r="C132" s="149" t="s">
        <v>591</v>
      </c>
      <c r="D132" s="150" t="s">
        <v>1503</v>
      </c>
      <c r="E132" s="151">
        <v>2</v>
      </c>
      <c r="F132" s="150" t="s">
        <v>1503</v>
      </c>
      <c r="G132" s="151">
        <v>8.8000000000000007</v>
      </c>
      <c r="H132" s="150" t="s">
        <v>1503</v>
      </c>
      <c r="I132" s="151">
        <v>8.8000000000000007</v>
      </c>
      <c r="J132" s="152">
        <v>98</v>
      </c>
      <c r="K132" s="153" t="s">
        <v>1502</v>
      </c>
    </row>
    <row r="133" spans="2:11">
      <c r="B133" s="148" t="s">
        <v>598</v>
      </c>
      <c r="C133" s="149" t="s">
        <v>599</v>
      </c>
      <c r="D133" s="150" t="s">
        <v>1503</v>
      </c>
      <c r="E133" s="151">
        <v>2000</v>
      </c>
      <c r="F133" s="150" t="s">
        <v>1503</v>
      </c>
      <c r="G133" s="151">
        <v>8800</v>
      </c>
      <c r="H133" s="150" t="s">
        <v>1503</v>
      </c>
      <c r="I133" s="151">
        <v>8800</v>
      </c>
      <c r="J133" s="152" t="s">
        <v>1503</v>
      </c>
      <c r="K133" s="153" t="s">
        <v>1502</v>
      </c>
    </row>
    <row r="134" spans="2:11">
      <c r="B134" s="148" t="s">
        <v>602</v>
      </c>
      <c r="C134" s="149" t="s">
        <v>603</v>
      </c>
      <c r="D134" s="150" t="s">
        <v>1503</v>
      </c>
      <c r="E134" s="151">
        <v>200</v>
      </c>
      <c r="F134" s="150" t="s">
        <v>1503</v>
      </c>
      <c r="G134" s="151">
        <v>880</v>
      </c>
      <c r="H134" s="150" t="s">
        <v>1503</v>
      </c>
      <c r="I134" s="151">
        <v>880</v>
      </c>
      <c r="J134" s="152">
        <v>3200</v>
      </c>
      <c r="K134" s="153" t="s">
        <v>1502</v>
      </c>
    </row>
    <row r="135" spans="2:11">
      <c r="B135" s="148" t="s">
        <v>604</v>
      </c>
      <c r="C135" s="149" t="s">
        <v>605</v>
      </c>
      <c r="D135" s="150" t="s">
        <v>1503</v>
      </c>
      <c r="E135" s="151">
        <v>400</v>
      </c>
      <c r="F135" s="150" t="s">
        <v>1503</v>
      </c>
      <c r="G135" s="151">
        <v>1800</v>
      </c>
      <c r="H135" s="150" t="s">
        <v>1503</v>
      </c>
      <c r="I135" s="151">
        <v>1800</v>
      </c>
      <c r="J135" s="152" t="s">
        <v>1503</v>
      </c>
      <c r="K135" s="153" t="s">
        <v>1502</v>
      </c>
    </row>
    <row r="136" spans="2:11">
      <c r="B136" s="148" t="s">
        <v>610</v>
      </c>
      <c r="C136" s="149" t="s">
        <v>611</v>
      </c>
      <c r="D136" s="150" t="s">
        <v>1503</v>
      </c>
      <c r="E136" s="151">
        <v>0.15</v>
      </c>
      <c r="F136" s="150" t="s">
        <v>1503</v>
      </c>
      <c r="G136" s="151">
        <v>0.66</v>
      </c>
      <c r="H136" s="150" t="s">
        <v>1503</v>
      </c>
      <c r="I136" s="151">
        <v>0.66</v>
      </c>
      <c r="J136" s="152">
        <v>0.15</v>
      </c>
      <c r="K136" s="153" t="s">
        <v>1502</v>
      </c>
    </row>
    <row r="137" spans="2:11">
      <c r="B137" s="148" t="s">
        <v>614</v>
      </c>
      <c r="C137" s="149" t="s">
        <v>615</v>
      </c>
      <c r="D137" s="150" t="s">
        <v>1503</v>
      </c>
      <c r="E137" s="151">
        <v>0.7</v>
      </c>
      <c r="F137" s="150" t="s">
        <v>1503</v>
      </c>
      <c r="G137" s="151">
        <v>3.1</v>
      </c>
      <c r="H137" s="150" t="s">
        <v>1503</v>
      </c>
      <c r="I137" s="151">
        <v>3.1</v>
      </c>
      <c r="J137" s="152" t="s">
        <v>1503</v>
      </c>
      <c r="K137" s="153" t="s">
        <v>1504</v>
      </c>
    </row>
    <row r="138" spans="2:11">
      <c r="B138" s="148" t="s">
        <v>616</v>
      </c>
      <c r="C138" s="149" t="s">
        <v>617</v>
      </c>
      <c r="D138" s="150" t="s">
        <v>1503</v>
      </c>
      <c r="E138" s="151">
        <v>0.09</v>
      </c>
      <c r="F138" s="150" t="s">
        <v>1503</v>
      </c>
      <c r="G138" s="151">
        <v>0.4</v>
      </c>
      <c r="H138" s="150" t="s">
        <v>1503</v>
      </c>
      <c r="I138" s="151">
        <v>0.4</v>
      </c>
      <c r="J138" s="152">
        <v>0.3</v>
      </c>
      <c r="K138" s="153" t="s">
        <v>1502</v>
      </c>
    </row>
    <row r="139" spans="2:11">
      <c r="B139" s="148" t="s">
        <v>622</v>
      </c>
      <c r="C139" s="149" t="s">
        <v>623</v>
      </c>
      <c r="D139" s="150" t="s">
        <v>1503</v>
      </c>
      <c r="E139" s="151">
        <v>7.6999999999999999E-2</v>
      </c>
      <c r="F139" s="150" t="s">
        <v>1503</v>
      </c>
      <c r="G139" s="151">
        <v>0.63</v>
      </c>
      <c r="H139" s="150" t="s">
        <v>1503</v>
      </c>
      <c r="I139" s="151">
        <v>0.63</v>
      </c>
      <c r="J139" s="152">
        <v>0.6</v>
      </c>
      <c r="K139" s="153" t="s">
        <v>1502</v>
      </c>
    </row>
    <row r="140" spans="2:11">
      <c r="B140" s="148" t="s">
        <v>630</v>
      </c>
      <c r="C140" s="149" t="s">
        <v>631</v>
      </c>
      <c r="D140" s="150" t="s">
        <v>1503</v>
      </c>
      <c r="E140" s="151">
        <v>4000</v>
      </c>
      <c r="F140" s="150" t="s">
        <v>1503</v>
      </c>
      <c r="G140" s="151">
        <v>18000</v>
      </c>
      <c r="H140" s="150" t="s">
        <v>1503</v>
      </c>
      <c r="I140" s="151">
        <v>18000</v>
      </c>
      <c r="J140" s="152">
        <v>28000</v>
      </c>
      <c r="K140" s="153" t="s">
        <v>1502</v>
      </c>
    </row>
    <row r="141" spans="2:11">
      <c r="B141" s="148" t="s">
        <v>636</v>
      </c>
      <c r="C141" s="149" t="s">
        <v>637</v>
      </c>
      <c r="D141" s="150">
        <v>2.3E-3</v>
      </c>
      <c r="E141" s="151" t="s">
        <v>1503</v>
      </c>
      <c r="F141" s="150">
        <v>0.06</v>
      </c>
      <c r="G141" s="151" t="s">
        <v>1503</v>
      </c>
      <c r="H141" s="150">
        <v>2.8000000000000001E-2</v>
      </c>
      <c r="I141" s="151" t="s">
        <v>1503</v>
      </c>
      <c r="J141" s="152" t="s">
        <v>1503</v>
      </c>
      <c r="K141" s="153" t="s">
        <v>1503</v>
      </c>
    </row>
    <row r="142" spans="2:11">
      <c r="B142" s="148" t="s">
        <v>638</v>
      </c>
      <c r="C142" s="149" t="s">
        <v>639</v>
      </c>
      <c r="D142" s="150">
        <v>2.9999999999999997E-4</v>
      </c>
      <c r="E142" s="151">
        <v>20</v>
      </c>
      <c r="F142" s="150">
        <v>2.3E-2</v>
      </c>
      <c r="G142" s="151">
        <v>88</v>
      </c>
      <c r="H142" s="150">
        <v>0.01</v>
      </c>
      <c r="I142" s="151">
        <v>88</v>
      </c>
      <c r="J142" s="152" t="s">
        <v>1503</v>
      </c>
      <c r="K142" s="153" t="s">
        <v>1504</v>
      </c>
    </row>
    <row r="143" spans="2:11">
      <c r="B143" s="148" t="s">
        <v>646</v>
      </c>
      <c r="C143" s="149" t="s">
        <v>647</v>
      </c>
      <c r="D143" s="150" t="s">
        <v>1503</v>
      </c>
      <c r="E143" s="151">
        <v>0.08</v>
      </c>
      <c r="F143" s="150" t="s">
        <v>1503</v>
      </c>
      <c r="G143" s="151">
        <v>0.35</v>
      </c>
      <c r="H143" s="150" t="s">
        <v>1503</v>
      </c>
      <c r="I143" s="151">
        <v>0.35</v>
      </c>
      <c r="J143" s="152">
        <v>12</v>
      </c>
      <c r="K143" s="153" t="s">
        <v>1502</v>
      </c>
    </row>
    <row r="144" spans="2:11">
      <c r="B144" s="148" t="s">
        <v>654</v>
      </c>
      <c r="C144" s="149" t="s">
        <v>655</v>
      </c>
      <c r="D144" s="150" t="s">
        <v>1503</v>
      </c>
      <c r="E144" s="151">
        <v>3000</v>
      </c>
      <c r="F144" s="150" t="s">
        <v>1503</v>
      </c>
      <c r="G144" s="151">
        <v>13000</v>
      </c>
      <c r="H144" s="150" t="s">
        <v>1503</v>
      </c>
      <c r="I144" s="151">
        <v>13000</v>
      </c>
      <c r="J144" s="152" t="s">
        <v>1503</v>
      </c>
      <c r="K144" s="153" t="s">
        <v>1502</v>
      </c>
    </row>
    <row r="145" spans="2:11">
      <c r="B145" s="148" t="s">
        <v>656</v>
      </c>
      <c r="C145" s="149" t="s">
        <v>657</v>
      </c>
      <c r="D145" s="150" t="s">
        <v>1503</v>
      </c>
      <c r="E145" s="151">
        <v>1</v>
      </c>
      <c r="F145" s="150" t="s">
        <v>1503</v>
      </c>
      <c r="G145" s="151">
        <v>4.4000000000000004</v>
      </c>
      <c r="H145" s="150" t="s">
        <v>1503</v>
      </c>
      <c r="I145" s="151">
        <v>4.4000000000000004</v>
      </c>
      <c r="J145" s="152" t="s">
        <v>1503</v>
      </c>
      <c r="K145" s="153" t="s">
        <v>1502</v>
      </c>
    </row>
    <row r="146" spans="2:11">
      <c r="B146" s="148" t="s">
        <v>660</v>
      </c>
      <c r="C146" s="149" t="s">
        <v>661</v>
      </c>
      <c r="D146" s="150" t="s">
        <v>1503</v>
      </c>
      <c r="E146" s="151">
        <v>700</v>
      </c>
      <c r="F146" s="150" t="s">
        <v>1503</v>
      </c>
      <c r="G146" s="151">
        <v>3100</v>
      </c>
      <c r="H146" s="150" t="s">
        <v>1503</v>
      </c>
      <c r="I146" s="151">
        <v>3100</v>
      </c>
      <c r="J146" s="152" t="s">
        <v>1503</v>
      </c>
      <c r="K146" s="153" t="s">
        <v>1504</v>
      </c>
    </row>
    <row r="147" spans="2:11">
      <c r="B147" s="148" t="s">
        <v>674</v>
      </c>
      <c r="C147" s="149" t="s">
        <v>675</v>
      </c>
      <c r="D147" s="150">
        <v>3.8</v>
      </c>
      <c r="E147" s="151">
        <v>8000</v>
      </c>
      <c r="F147" s="150">
        <v>100</v>
      </c>
      <c r="G147" s="151">
        <v>35000</v>
      </c>
      <c r="H147" s="150">
        <v>46</v>
      </c>
      <c r="I147" s="151">
        <v>35000</v>
      </c>
      <c r="J147" s="152">
        <v>8000</v>
      </c>
      <c r="K147" s="153" t="s">
        <v>1502</v>
      </c>
    </row>
    <row r="148" spans="2:11">
      <c r="B148" s="148" t="s">
        <v>678</v>
      </c>
      <c r="C148" s="149" t="s">
        <v>679</v>
      </c>
      <c r="D148" s="150">
        <v>4.0000000000000001E-3</v>
      </c>
      <c r="E148" s="151" t="s">
        <v>1503</v>
      </c>
      <c r="F148" s="150">
        <v>0.1</v>
      </c>
      <c r="G148" s="151" t="s">
        <v>1503</v>
      </c>
      <c r="H148" s="150">
        <v>4.8000000000000001E-2</v>
      </c>
      <c r="I148" s="151" t="s">
        <v>1503</v>
      </c>
      <c r="J148" s="152" t="s">
        <v>1503</v>
      </c>
      <c r="K148" s="153" t="s">
        <v>1503</v>
      </c>
    </row>
    <row r="149" spans="2:11">
      <c r="B149" s="148" t="s">
        <v>692</v>
      </c>
      <c r="C149" s="149" t="s">
        <v>693</v>
      </c>
      <c r="D149" s="150">
        <v>2.9000000000000001E-2</v>
      </c>
      <c r="E149" s="151">
        <v>3.7</v>
      </c>
      <c r="F149" s="150">
        <v>0.76</v>
      </c>
      <c r="G149" s="151">
        <v>16</v>
      </c>
      <c r="H149" s="150">
        <v>0.35</v>
      </c>
      <c r="I149" s="151">
        <v>16</v>
      </c>
      <c r="J149" s="152">
        <v>200</v>
      </c>
      <c r="K149" s="153" t="s">
        <v>1502</v>
      </c>
    </row>
    <row r="150" spans="2:11">
      <c r="B150" s="156" t="s">
        <v>1518</v>
      </c>
      <c r="C150" s="149" t="s">
        <v>696</v>
      </c>
      <c r="D150" s="150">
        <v>3.8E-3</v>
      </c>
      <c r="E150" s="151">
        <v>1.4E-2</v>
      </c>
      <c r="F150" s="150">
        <v>0.1</v>
      </c>
      <c r="G150" s="151">
        <v>6.2E-2</v>
      </c>
      <c r="H150" s="150">
        <v>4.5999999999999999E-2</v>
      </c>
      <c r="I150" s="151">
        <v>6.2E-2</v>
      </c>
      <c r="J150" s="152">
        <v>0.2</v>
      </c>
      <c r="K150" s="153" t="s">
        <v>1502</v>
      </c>
    </row>
    <row r="151" spans="2:11">
      <c r="B151" s="156" t="s">
        <v>1519</v>
      </c>
      <c r="C151" s="149" t="s">
        <v>703</v>
      </c>
      <c r="D151" s="150" t="s">
        <v>1503</v>
      </c>
      <c r="E151" s="151">
        <v>1.4E-2</v>
      </c>
      <c r="F151" s="150" t="s">
        <v>1503</v>
      </c>
      <c r="G151" s="151">
        <v>6.2E-2</v>
      </c>
      <c r="H151" s="150" t="s">
        <v>1503</v>
      </c>
      <c r="I151" s="151">
        <v>6.2E-2</v>
      </c>
      <c r="J151" s="152">
        <v>0.2</v>
      </c>
      <c r="K151" s="153" t="s">
        <v>1502</v>
      </c>
    </row>
    <row r="152" spans="2:11">
      <c r="B152" s="148" t="s">
        <v>726</v>
      </c>
      <c r="C152" s="149" t="s">
        <v>727</v>
      </c>
      <c r="D152" s="150" t="s">
        <v>1503</v>
      </c>
      <c r="E152" s="151" t="s">
        <v>1503</v>
      </c>
      <c r="F152" s="150" t="s">
        <v>1503</v>
      </c>
      <c r="G152" s="151" t="s">
        <v>1503</v>
      </c>
      <c r="H152" s="150" t="s">
        <v>1503</v>
      </c>
      <c r="I152" s="151" t="s">
        <v>1503</v>
      </c>
      <c r="J152" s="152">
        <v>86</v>
      </c>
      <c r="K152" s="153" t="s">
        <v>1504</v>
      </c>
    </row>
    <row r="153" spans="2:11">
      <c r="B153" s="148" t="s">
        <v>734</v>
      </c>
      <c r="C153" s="149" t="s">
        <v>735</v>
      </c>
      <c r="D153" s="150">
        <v>2.5000000000000001E-2</v>
      </c>
      <c r="E153" s="151">
        <v>9</v>
      </c>
      <c r="F153" s="150">
        <v>0.65</v>
      </c>
      <c r="G153" s="151">
        <v>40</v>
      </c>
      <c r="H153" s="150">
        <v>0.3</v>
      </c>
      <c r="I153" s="151">
        <v>40</v>
      </c>
      <c r="J153" s="152" t="s">
        <v>1503</v>
      </c>
      <c r="K153" s="153" t="s">
        <v>1502</v>
      </c>
    </row>
    <row r="154" spans="2:11">
      <c r="B154" s="148" t="s">
        <v>750</v>
      </c>
      <c r="C154" s="149" t="s">
        <v>751</v>
      </c>
      <c r="D154" s="150" t="s">
        <v>1503</v>
      </c>
      <c r="E154" s="151">
        <v>20</v>
      </c>
      <c r="F154" s="150" t="s">
        <v>1503</v>
      </c>
      <c r="G154" s="151">
        <v>88</v>
      </c>
      <c r="H154" s="150" t="s">
        <v>1503</v>
      </c>
      <c r="I154" s="151">
        <v>88</v>
      </c>
      <c r="J154" s="152" t="s">
        <v>1503</v>
      </c>
      <c r="K154" s="153" t="s">
        <v>1502</v>
      </c>
    </row>
    <row r="155" spans="2:11">
      <c r="B155" s="148" t="s">
        <v>752</v>
      </c>
      <c r="C155" s="149" t="s">
        <v>753</v>
      </c>
      <c r="D155" s="150">
        <v>3.2000000000000003E-4</v>
      </c>
      <c r="E155" s="151" t="s">
        <v>1503</v>
      </c>
      <c r="F155" s="150">
        <v>8.3999999999999995E-3</v>
      </c>
      <c r="G155" s="151" t="s">
        <v>1503</v>
      </c>
      <c r="H155" s="150">
        <v>3.8999999999999998E-3</v>
      </c>
      <c r="I155" s="151" t="s">
        <v>1503</v>
      </c>
      <c r="J155" s="152" t="s">
        <v>1503</v>
      </c>
      <c r="K155" s="153" t="s">
        <v>1503</v>
      </c>
    </row>
    <row r="156" spans="2:11">
      <c r="B156" s="148" t="s">
        <v>756</v>
      </c>
      <c r="C156" s="149" t="s">
        <v>757</v>
      </c>
      <c r="D156" s="150">
        <v>5.8999999999999998E-5</v>
      </c>
      <c r="E156" s="151" t="s">
        <v>1503</v>
      </c>
      <c r="F156" s="150">
        <v>6.2E-4</v>
      </c>
      <c r="G156" s="151" t="s">
        <v>1503</v>
      </c>
      <c r="H156" s="150">
        <v>1.1999999999999999E-3</v>
      </c>
      <c r="I156" s="151" t="s">
        <v>1503</v>
      </c>
      <c r="J156" s="152" t="s">
        <v>1503</v>
      </c>
      <c r="K156" s="153" t="s">
        <v>1503</v>
      </c>
    </row>
    <row r="157" spans="2:11">
      <c r="B157" s="148" t="s">
        <v>758</v>
      </c>
      <c r="C157" s="149" t="s">
        <v>759</v>
      </c>
      <c r="D157" s="150">
        <v>1.2999999999999999E-4</v>
      </c>
      <c r="E157" s="151" t="s">
        <v>1503</v>
      </c>
      <c r="F157" s="150">
        <v>1.2999999999999999E-3</v>
      </c>
      <c r="G157" s="151" t="s">
        <v>1503</v>
      </c>
      <c r="H157" s="150">
        <v>2.5999999999999999E-3</v>
      </c>
      <c r="I157" s="151" t="s">
        <v>1503</v>
      </c>
      <c r="J157" s="152" t="s">
        <v>1503</v>
      </c>
      <c r="K157" s="153" t="s">
        <v>1503</v>
      </c>
    </row>
    <row r="158" spans="2:11">
      <c r="B158" s="148" t="s">
        <v>760</v>
      </c>
      <c r="C158" s="149" t="s">
        <v>761</v>
      </c>
      <c r="D158" s="150">
        <v>0.38</v>
      </c>
      <c r="E158" s="151" t="s">
        <v>1503</v>
      </c>
      <c r="F158" s="150">
        <v>10</v>
      </c>
      <c r="G158" s="151" t="s">
        <v>1503</v>
      </c>
      <c r="H158" s="150">
        <v>4.5999999999999996</v>
      </c>
      <c r="I158" s="151" t="s">
        <v>1503</v>
      </c>
      <c r="J158" s="152" t="s">
        <v>1503</v>
      </c>
      <c r="K158" s="153" t="s">
        <v>1503</v>
      </c>
    </row>
    <row r="159" spans="2:11">
      <c r="B159" s="148" t="s">
        <v>762</v>
      </c>
      <c r="C159" s="149" t="s">
        <v>763</v>
      </c>
      <c r="D159" s="150">
        <v>0.16</v>
      </c>
      <c r="E159" s="151" t="s">
        <v>1503</v>
      </c>
      <c r="F159" s="150">
        <v>4.0999999999999996</v>
      </c>
      <c r="G159" s="151" t="s">
        <v>1503</v>
      </c>
      <c r="H159" s="150">
        <v>1.9</v>
      </c>
      <c r="I159" s="151" t="s">
        <v>1503</v>
      </c>
      <c r="J159" s="152" t="s">
        <v>1503</v>
      </c>
      <c r="K159" s="153" t="s">
        <v>1503</v>
      </c>
    </row>
    <row r="160" spans="2:11">
      <c r="B160" s="148" t="s">
        <v>764</v>
      </c>
      <c r="C160" s="149" t="s">
        <v>765</v>
      </c>
      <c r="D160" s="150">
        <v>5.0000000000000001E-4</v>
      </c>
      <c r="E160" s="151" t="s">
        <v>1503</v>
      </c>
      <c r="F160" s="150">
        <v>1.2999999999999999E-2</v>
      </c>
      <c r="G160" s="151" t="s">
        <v>1503</v>
      </c>
      <c r="H160" s="150">
        <v>6.0000000000000001E-3</v>
      </c>
      <c r="I160" s="151" t="s">
        <v>1503</v>
      </c>
      <c r="J160" s="152" t="s">
        <v>1503</v>
      </c>
      <c r="K160" s="153" t="s">
        <v>1503</v>
      </c>
    </row>
    <row r="161" spans="2:11">
      <c r="B161" s="148" t="s">
        <v>766</v>
      </c>
      <c r="C161" s="149" t="s">
        <v>767</v>
      </c>
      <c r="D161" s="150">
        <v>1.6000000000000001E-4</v>
      </c>
      <c r="E161" s="151" t="s">
        <v>1503</v>
      </c>
      <c r="F161" s="150">
        <v>4.1000000000000003E-3</v>
      </c>
      <c r="G161" s="151" t="s">
        <v>1503</v>
      </c>
      <c r="H161" s="150">
        <v>1.9E-3</v>
      </c>
      <c r="I161" s="151" t="s">
        <v>1503</v>
      </c>
      <c r="J161" s="152" t="s">
        <v>1503</v>
      </c>
      <c r="K161" s="153" t="s">
        <v>1503</v>
      </c>
    </row>
    <row r="162" spans="2:11">
      <c r="B162" s="148" t="s">
        <v>774</v>
      </c>
      <c r="C162" s="149" t="s">
        <v>775</v>
      </c>
      <c r="D162" s="150">
        <v>5.2999999999999998E-4</v>
      </c>
      <c r="E162" s="151" t="s">
        <v>1503</v>
      </c>
      <c r="F162" s="150">
        <v>1.4E-2</v>
      </c>
      <c r="G162" s="151" t="s">
        <v>1503</v>
      </c>
      <c r="H162" s="150">
        <v>6.3E-3</v>
      </c>
      <c r="I162" s="151" t="s">
        <v>1503</v>
      </c>
      <c r="J162" s="152" t="s">
        <v>1503</v>
      </c>
      <c r="K162" s="153" t="s">
        <v>1503</v>
      </c>
    </row>
    <row r="163" spans="2:11">
      <c r="B163" s="148" t="s">
        <v>778</v>
      </c>
      <c r="C163" s="149" t="s">
        <v>779</v>
      </c>
      <c r="D163" s="150">
        <v>3.6999999999999999E-4</v>
      </c>
      <c r="E163" s="151" t="s">
        <v>1503</v>
      </c>
      <c r="F163" s="150">
        <v>9.5999999999999992E-3</v>
      </c>
      <c r="G163" s="151" t="s">
        <v>1503</v>
      </c>
      <c r="H163" s="150">
        <v>4.4000000000000003E-3</v>
      </c>
      <c r="I163" s="151" t="s">
        <v>1503</v>
      </c>
      <c r="J163" s="152" t="s">
        <v>1503</v>
      </c>
      <c r="K163" s="153" t="s">
        <v>1503</v>
      </c>
    </row>
    <row r="164" spans="2:11">
      <c r="B164" s="148" t="s">
        <v>780</v>
      </c>
      <c r="C164" s="149" t="s">
        <v>781</v>
      </c>
      <c r="D164" s="150">
        <v>1.6999999999999999E-3</v>
      </c>
      <c r="E164" s="151" t="s">
        <v>1503</v>
      </c>
      <c r="F164" s="150">
        <v>4.2999999999999997E-2</v>
      </c>
      <c r="G164" s="151" t="s">
        <v>1503</v>
      </c>
      <c r="H164" s="150">
        <v>0.02</v>
      </c>
      <c r="I164" s="151" t="s">
        <v>1503</v>
      </c>
      <c r="J164" s="152" t="s">
        <v>1503</v>
      </c>
      <c r="K164" s="153" t="s">
        <v>1503</v>
      </c>
    </row>
    <row r="165" spans="2:11">
      <c r="B165" s="148" t="s">
        <v>786</v>
      </c>
      <c r="C165" s="149" t="s">
        <v>787</v>
      </c>
      <c r="D165" s="150" t="s">
        <v>1503</v>
      </c>
      <c r="E165" s="151" t="s">
        <v>1503</v>
      </c>
      <c r="F165" s="150" t="s">
        <v>1503</v>
      </c>
      <c r="G165" s="151" t="s">
        <v>1503</v>
      </c>
      <c r="H165" s="150" t="s">
        <v>1503</v>
      </c>
      <c r="I165" s="151" t="s">
        <v>1503</v>
      </c>
      <c r="J165" s="152">
        <v>120</v>
      </c>
      <c r="K165" s="153" t="s">
        <v>1502</v>
      </c>
    </row>
    <row r="166" spans="2:11">
      <c r="B166" s="148" t="s">
        <v>788</v>
      </c>
      <c r="C166" s="149" t="s">
        <v>789</v>
      </c>
      <c r="D166" s="150" t="s">
        <v>1503</v>
      </c>
      <c r="E166" s="151" t="s">
        <v>1503</v>
      </c>
      <c r="F166" s="150" t="s">
        <v>1503</v>
      </c>
      <c r="G166" s="151" t="s">
        <v>1503</v>
      </c>
      <c r="H166" s="150" t="s">
        <v>1503</v>
      </c>
      <c r="I166" s="151" t="s">
        <v>1503</v>
      </c>
      <c r="J166" s="152">
        <v>0.02</v>
      </c>
      <c r="K166" s="153" t="s">
        <v>1502</v>
      </c>
    </row>
    <row r="167" spans="2:11">
      <c r="B167" s="148" t="s">
        <v>790</v>
      </c>
      <c r="C167" s="149" t="s">
        <v>791</v>
      </c>
      <c r="D167" s="150">
        <v>0.2</v>
      </c>
      <c r="E167" s="151" t="s">
        <v>1503</v>
      </c>
      <c r="F167" s="150">
        <v>5.0999999999999996</v>
      </c>
      <c r="G167" s="151" t="s">
        <v>1503</v>
      </c>
      <c r="H167" s="150">
        <v>2.4</v>
      </c>
      <c r="I167" s="151" t="s">
        <v>1503</v>
      </c>
      <c r="J167" s="152" t="s">
        <v>1503</v>
      </c>
      <c r="K167" s="153" t="s">
        <v>1503</v>
      </c>
    </row>
    <row r="168" spans="2:11">
      <c r="B168" s="148" t="s">
        <v>813</v>
      </c>
      <c r="C168" s="149" t="s">
        <v>814</v>
      </c>
      <c r="D168" s="150" t="s">
        <v>1503</v>
      </c>
      <c r="E168" s="151">
        <v>200</v>
      </c>
      <c r="F168" s="150" t="s">
        <v>1503</v>
      </c>
      <c r="G168" s="151">
        <v>880</v>
      </c>
      <c r="H168" s="150" t="s">
        <v>1503</v>
      </c>
      <c r="I168" s="151">
        <v>880</v>
      </c>
      <c r="J168" s="152">
        <v>5800</v>
      </c>
      <c r="K168" s="153" t="s">
        <v>1502</v>
      </c>
    </row>
    <row r="169" spans="2:11">
      <c r="B169" s="148" t="s">
        <v>825</v>
      </c>
      <c r="C169" s="149" t="s">
        <v>826</v>
      </c>
      <c r="D169" s="150" t="s">
        <v>1503</v>
      </c>
      <c r="E169" s="151">
        <v>0.3</v>
      </c>
      <c r="F169" s="150" t="s">
        <v>1503</v>
      </c>
      <c r="G169" s="151">
        <v>1.3</v>
      </c>
      <c r="H169" s="150" t="s">
        <v>1503</v>
      </c>
      <c r="I169" s="151">
        <v>1.3</v>
      </c>
      <c r="J169" s="152">
        <v>4</v>
      </c>
      <c r="K169" s="153" t="s">
        <v>1502</v>
      </c>
    </row>
    <row r="170" spans="2:11">
      <c r="B170" s="148" t="s">
        <v>827</v>
      </c>
      <c r="C170" s="149" t="s">
        <v>828</v>
      </c>
      <c r="D170" s="150" t="s">
        <v>1503</v>
      </c>
      <c r="E170" s="151">
        <v>0.8</v>
      </c>
      <c r="F170" s="150" t="s">
        <v>1503</v>
      </c>
      <c r="G170" s="151">
        <v>3.5</v>
      </c>
      <c r="H170" s="150" t="s">
        <v>1503</v>
      </c>
      <c r="I170" s="151">
        <v>3.5</v>
      </c>
      <c r="J170" s="152" t="s">
        <v>1503</v>
      </c>
      <c r="K170" s="153" t="s">
        <v>1502</v>
      </c>
    </row>
    <row r="171" spans="2:11">
      <c r="B171" s="148" t="s">
        <v>829</v>
      </c>
      <c r="C171" s="149" t="s">
        <v>830</v>
      </c>
      <c r="D171" s="150" t="s">
        <v>1503</v>
      </c>
      <c r="E171" s="151">
        <v>10</v>
      </c>
      <c r="F171" s="150" t="s">
        <v>1503</v>
      </c>
      <c r="G171" s="151">
        <v>44</v>
      </c>
      <c r="H171" s="150" t="s">
        <v>1503</v>
      </c>
      <c r="I171" s="151">
        <v>44</v>
      </c>
      <c r="J171" s="152" t="s">
        <v>1503</v>
      </c>
      <c r="K171" s="153" t="s">
        <v>1502</v>
      </c>
    </row>
    <row r="172" spans="2:11">
      <c r="B172" s="148" t="s">
        <v>841</v>
      </c>
      <c r="C172" s="149" t="s">
        <v>842</v>
      </c>
      <c r="D172" s="150" t="s">
        <v>1503</v>
      </c>
      <c r="E172" s="151">
        <v>9</v>
      </c>
      <c r="F172" s="150" t="s">
        <v>1503</v>
      </c>
      <c r="G172" s="151">
        <v>40</v>
      </c>
      <c r="H172" s="150" t="s">
        <v>1503</v>
      </c>
      <c r="I172" s="151">
        <v>40</v>
      </c>
      <c r="J172" s="152">
        <v>20</v>
      </c>
      <c r="K172" s="153" t="s">
        <v>1502</v>
      </c>
    </row>
    <row r="173" spans="2:11">
      <c r="B173" s="148" t="s">
        <v>844</v>
      </c>
      <c r="C173" s="149" t="s">
        <v>845</v>
      </c>
      <c r="D173" s="150" t="s">
        <v>1503</v>
      </c>
      <c r="E173" s="151">
        <v>20</v>
      </c>
      <c r="F173" s="150" t="s">
        <v>1503</v>
      </c>
      <c r="G173" s="151">
        <v>88</v>
      </c>
      <c r="H173" s="150" t="s">
        <v>1503</v>
      </c>
      <c r="I173" s="151">
        <v>88</v>
      </c>
      <c r="J173" s="152" t="s">
        <v>1503</v>
      </c>
      <c r="K173" s="153" t="s">
        <v>1502</v>
      </c>
    </row>
    <row r="174" spans="2:11">
      <c r="B174" s="156" t="s">
        <v>1520</v>
      </c>
      <c r="C174" s="149" t="s">
        <v>846</v>
      </c>
      <c r="D174" s="150" t="s">
        <v>1503</v>
      </c>
      <c r="E174" s="151" t="s">
        <v>1503</v>
      </c>
      <c r="F174" s="150" t="s">
        <v>1503</v>
      </c>
      <c r="G174" s="151" t="s">
        <v>1503</v>
      </c>
      <c r="H174" s="150" t="s">
        <v>1503</v>
      </c>
      <c r="I174" s="151" t="s">
        <v>1503</v>
      </c>
      <c r="J174" s="152">
        <v>6</v>
      </c>
      <c r="K174" s="153" t="s">
        <v>1502</v>
      </c>
    </row>
    <row r="175" spans="2:11">
      <c r="B175" s="148" t="s">
        <v>863</v>
      </c>
      <c r="C175" s="149" t="s">
        <v>864</v>
      </c>
      <c r="D175" s="150">
        <v>5.2999999999999998E-4</v>
      </c>
      <c r="E175" s="151" t="s">
        <v>1503</v>
      </c>
      <c r="F175" s="150">
        <v>0.02</v>
      </c>
      <c r="G175" s="151" t="s">
        <v>1503</v>
      </c>
      <c r="H175" s="150">
        <v>9.1999999999999998E-3</v>
      </c>
      <c r="I175" s="151" t="s">
        <v>1503</v>
      </c>
      <c r="J175" s="152" t="s">
        <v>1503</v>
      </c>
      <c r="K175" s="153" t="s">
        <v>1503</v>
      </c>
    </row>
    <row r="176" spans="2:11">
      <c r="B176" s="156" t="s">
        <v>1521</v>
      </c>
      <c r="C176" s="149" t="s">
        <v>865</v>
      </c>
      <c r="D176" s="150">
        <v>1.0000000000000001E-9</v>
      </c>
      <c r="E176" s="151">
        <v>1.3E-7</v>
      </c>
      <c r="F176" s="150">
        <v>8.9999999999999999E-8</v>
      </c>
      <c r="G176" s="151">
        <v>2.5999999999999998E-5</v>
      </c>
      <c r="H176" s="150">
        <v>4.1999999999999999E-8</v>
      </c>
      <c r="I176" s="151">
        <v>2.5999999999999998E-5</v>
      </c>
      <c r="J176" s="152" t="s">
        <v>1503</v>
      </c>
      <c r="K176" s="153" t="s">
        <v>1502</v>
      </c>
    </row>
    <row r="177" spans="2:11">
      <c r="B177" s="148" t="s">
        <v>878</v>
      </c>
      <c r="C177" s="149" t="s">
        <v>879</v>
      </c>
      <c r="D177" s="150">
        <v>1.0000000000000001E-5</v>
      </c>
      <c r="E177" s="151">
        <v>1.2999999999999999E-3</v>
      </c>
      <c r="F177" s="150">
        <v>8.9999999999999998E-4</v>
      </c>
      <c r="G177" s="151">
        <v>0.26</v>
      </c>
      <c r="H177" s="150">
        <v>4.2000000000000002E-4</v>
      </c>
      <c r="I177" s="151">
        <v>0.26</v>
      </c>
      <c r="J177" s="152" t="s">
        <v>1503</v>
      </c>
      <c r="K177" s="153" t="s">
        <v>1502</v>
      </c>
    </row>
    <row r="178" spans="2:11">
      <c r="B178" s="148" t="s">
        <v>880</v>
      </c>
      <c r="C178" s="149" t="s">
        <v>881</v>
      </c>
      <c r="D178" s="150">
        <v>3.4000000000000001E-6</v>
      </c>
      <c r="E178" s="151">
        <v>4.2000000000000002E-4</v>
      </c>
      <c r="F178" s="150">
        <v>2.9999999999999997E-4</v>
      </c>
      <c r="G178" s="151">
        <v>8.5000000000000006E-2</v>
      </c>
      <c r="H178" s="150">
        <v>1.3999999999999999E-4</v>
      </c>
      <c r="I178" s="151">
        <v>8.5000000000000006E-2</v>
      </c>
      <c r="J178" s="152" t="s">
        <v>1503</v>
      </c>
      <c r="K178" s="153" t="s">
        <v>1502</v>
      </c>
    </row>
    <row r="179" spans="2:11">
      <c r="B179" s="148" t="s">
        <v>884</v>
      </c>
      <c r="C179" s="149" t="s">
        <v>885</v>
      </c>
      <c r="D179" s="150">
        <v>3.4E-5</v>
      </c>
      <c r="E179" s="151">
        <v>4.1999999999999997E-3</v>
      </c>
      <c r="F179" s="150">
        <v>3.0000000000000001E-3</v>
      </c>
      <c r="G179" s="151">
        <v>0.85</v>
      </c>
      <c r="H179" s="150">
        <v>1.4E-3</v>
      </c>
      <c r="I179" s="151">
        <v>0.85</v>
      </c>
      <c r="J179" s="152" t="s">
        <v>1503</v>
      </c>
      <c r="K179" s="153" t="s">
        <v>1502</v>
      </c>
    </row>
    <row r="180" spans="2:11">
      <c r="B180" s="148" t="s">
        <v>886</v>
      </c>
      <c r="C180" s="149" t="s">
        <v>887</v>
      </c>
      <c r="D180" s="150">
        <v>3.4E-5</v>
      </c>
      <c r="E180" s="151">
        <v>4.1999999999999997E-3</v>
      </c>
      <c r="F180" s="150">
        <v>3.0000000000000001E-3</v>
      </c>
      <c r="G180" s="151">
        <v>0.85</v>
      </c>
      <c r="H180" s="150">
        <v>1.4E-3</v>
      </c>
      <c r="I180" s="151">
        <v>0.85</v>
      </c>
      <c r="J180" s="152" t="s">
        <v>1503</v>
      </c>
      <c r="K180" s="153" t="s">
        <v>1502</v>
      </c>
    </row>
    <row r="181" spans="2:11">
      <c r="B181" s="148" t="s">
        <v>888</v>
      </c>
      <c r="C181" s="149" t="s">
        <v>889</v>
      </c>
      <c r="D181" s="150">
        <v>3.4E-5</v>
      </c>
      <c r="E181" s="151">
        <v>4.1999999999999997E-3</v>
      </c>
      <c r="F181" s="150">
        <v>3.0000000000000001E-3</v>
      </c>
      <c r="G181" s="151">
        <v>0.85</v>
      </c>
      <c r="H181" s="150">
        <v>1.4E-3</v>
      </c>
      <c r="I181" s="151">
        <v>0.85</v>
      </c>
      <c r="J181" s="152" t="s">
        <v>1503</v>
      </c>
      <c r="K181" s="153" t="s">
        <v>1502</v>
      </c>
    </row>
    <row r="182" spans="2:11">
      <c r="B182" s="148" t="s">
        <v>890</v>
      </c>
      <c r="C182" s="149" t="s">
        <v>891</v>
      </c>
      <c r="D182" s="150">
        <v>3.4E-5</v>
      </c>
      <c r="E182" s="151">
        <v>4.1999999999999997E-3</v>
      </c>
      <c r="F182" s="150">
        <v>3.0000000000000001E-3</v>
      </c>
      <c r="G182" s="151">
        <v>0.85</v>
      </c>
      <c r="H182" s="150">
        <v>1.4E-3</v>
      </c>
      <c r="I182" s="151">
        <v>0.85</v>
      </c>
      <c r="J182" s="152" t="s">
        <v>1503</v>
      </c>
      <c r="K182" s="153" t="s">
        <v>1502</v>
      </c>
    </row>
    <row r="183" spans="2:11">
      <c r="B183" s="148" t="s">
        <v>892</v>
      </c>
      <c r="C183" s="149" t="s">
        <v>893</v>
      </c>
      <c r="D183" s="150">
        <v>1E-8</v>
      </c>
      <c r="E183" s="151">
        <v>1.3E-6</v>
      </c>
      <c r="F183" s="150">
        <v>8.9999999999999996E-7</v>
      </c>
      <c r="G183" s="151">
        <v>2.5999999999999998E-4</v>
      </c>
      <c r="H183" s="150">
        <v>4.2E-7</v>
      </c>
      <c r="I183" s="151">
        <v>2.5999999999999998E-4</v>
      </c>
      <c r="J183" s="152" t="s">
        <v>1503</v>
      </c>
      <c r="K183" s="153" t="s">
        <v>1502</v>
      </c>
    </row>
    <row r="184" spans="2:11">
      <c r="B184" s="148" t="s">
        <v>900</v>
      </c>
      <c r="C184" s="149" t="s">
        <v>901</v>
      </c>
      <c r="D184" s="150">
        <v>3.4E-5</v>
      </c>
      <c r="E184" s="151">
        <v>4.1999999999999997E-3</v>
      </c>
      <c r="F184" s="150">
        <v>3.0000000000000001E-3</v>
      </c>
      <c r="G184" s="151">
        <v>0.85</v>
      </c>
      <c r="H184" s="150">
        <v>1.4E-3</v>
      </c>
      <c r="I184" s="151">
        <v>0.85</v>
      </c>
      <c r="J184" s="152" t="s">
        <v>1503</v>
      </c>
      <c r="K184" s="153" t="s">
        <v>1502</v>
      </c>
    </row>
    <row r="185" spans="2:11">
      <c r="B185" s="148" t="s">
        <v>902</v>
      </c>
      <c r="C185" s="149" t="s">
        <v>903</v>
      </c>
      <c r="D185" s="150">
        <v>3.4E-5</v>
      </c>
      <c r="E185" s="151">
        <v>4.1999999999999997E-3</v>
      </c>
      <c r="F185" s="150">
        <v>3.0000000000000001E-3</v>
      </c>
      <c r="G185" s="151">
        <v>0.85</v>
      </c>
      <c r="H185" s="150">
        <v>1.4E-3</v>
      </c>
      <c r="I185" s="151">
        <v>0.85</v>
      </c>
      <c r="J185" s="152" t="s">
        <v>1503</v>
      </c>
      <c r="K185" s="153" t="s">
        <v>1502</v>
      </c>
    </row>
    <row r="186" spans="2:11">
      <c r="B186" s="148" t="s">
        <v>904</v>
      </c>
      <c r="C186" s="149" t="s">
        <v>905</v>
      </c>
      <c r="D186" s="150">
        <v>3.4E-5</v>
      </c>
      <c r="E186" s="151">
        <v>4.1999999999999997E-3</v>
      </c>
      <c r="F186" s="150">
        <v>3.0000000000000001E-3</v>
      </c>
      <c r="G186" s="151">
        <v>0.85</v>
      </c>
      <c r="H186" s="150">
        <v>1.4E-3</v>
      </c>
      <c r="I186" s="151">
        <v>0.85</v>
      </c>
      <c r="J186" s="152" t="s">
        <v>1503</v>
      </c>
      <c r="K186" s="153" t="s">
        <v>1502</v>
      </c>
    </row>
    <row r="187" spans="2:11">
      <c r="B187" s="148" t="s">
        <v>906</v>
      </c>
      <c r="C187" s="149" t="s">
        <v>907</v>
      </c>
      <c r="D187" s="150">
        <v>3.4E-8</v>
      </c>
      <c r="E187" s="151">
        <v>4.1999999999999996E-6</v>
      </c>
      <c r="F187" s="150">
        <v>3.0000000000000001E-6</v>
      </c>
      <c r="G187" s="151">
        <v>8.4999999999999995E-4</v>
      </c>
      <c r="H187" s="150">
        <v>1.3999999999999999E-6</v>
      </c>
      <c r="I187" s="151">
        <v>8.4999999999999995E-4</v>
      </c>
      <c r="J187" s="152" t="s">
        <v>1503</v>
      </c>
      <c r="K187" s="153" t="s">
        <v>1502</v>
      </c>
    </row>
    <row r="188" spans="2:11">
      <c r="B188" s="148" t="s">
        <v>914</v>
      </c>
      <c r="C188" s="149" t="s">
        <v>915</v>
      </c>
      <c r="D188" s="150">
        <v>3.4E-5</v>
      </c>
      <c r="E188" s="151">
        <v>4.1999999999999997E-3</v>
      </c>
      <c r="F188" s="150">
        <v>3.0000000000000001E-3</v>
      </c>
      <c r="G188" s="151">
        <v>0.85</v>
      </c>
      <c r="H188" s="150">
        <v>1.4E-3</v>
      </c>
      <c r="I188" s="151">
        <v>0.85</v>
      </c>
      <c r="J188" s="152" t="s">
        <v>1503</v>
      </c>
      <c r="K188" s="153" t="s">
        <v>1502</v>
      </c>
    </row>
    <row r="189" spans="2:11" ht="28.8">
      <c r="B189" s="156" t="s">
        <v>1522</v>
      </c>
      <c r="C189" s="149" t="s">
        <v>922</v>
      </c>
      <c r="D189" s="150">
        <v>1.0000000000000001E-9</v>
      </c>
      <c r="E189" s="151">
        <v>1.3E-7</v>
      </c>
      <c r="F189" s="150">
        <v>8.9999999999999999E-8</v>
      </c>
      <c r="G189" s="151">
        <v>2.5999999999999998E-5</v>
      </c>
      <c r="H189" s="150">
        <v>4.1999999999999999E-8</v>
      </c>
      <c r="I189" s="151">
        <v>2.5999999999999998E-5</v>
      </c>
      <c r="J189" s="152" t="s">
        <v>1503</v>
      </c>
      <c r="K189" s="153" t="s">
        <v>1502</v>
      </c>
    </row>
    <row r="190" spans="2:11">
      <c r="B190" s="148" t="s">
        <v>923</v>
      </c>
      <c r="C190" s="149" t="s">
        <v>924</v>
      </c>
      <c r="D190" s="150">
        <v>1.0000000000000001E-9</v>
      </c>
      <c r="E190" s="151">
        <v>1.3E-7</v>
      </c>
      <c r="F190" s="150">
        <v>8.9999999999999999E-8</v>
      </c>
      <c r="G190" s="151">
        <v>2.5999999999999998E-5</v>
      </c>
      <c r="H190" s="150">
        <v>4.1999999999999999E-8</v>
      </c>
      <c r="I190" s="151">
        <v>2.5999999999999998E-5</v>
      </c>
      <c r="J190" s="152" t="s">
        <v>1503</v>
      </c>
      <c r="K190" s="153" t="s">
        <v>1502</v>
      </c>
    </row>
    <row r="191" spans="2:11">
      <c r="B191" s="148" t="s">
        <v>925</v>
      </c>
      <c r="C191" s="149" t="s">
        <v>926</v>
      </c>
      <c r="D191" s="150">
        <v>1.0000000000000001E-9</v>
      </c>
      <c r="E191" s="151">
        <v>1.3E-7</v>
      </c>
      <c r="F191" s="150">
        <v>8.9999999999999999E-8</v>
      </c>
      <c r="G191" s="151">
        <v>2.5999999999999998E-5</v>
      </c>
      <c r="H191" s="150">
        <v>4.1999999999999999E-8</v>
      </c>
      <c r="I191" s="151">
        <v>2.5999999999999998E-5</v>
      </c>
      <c r="J191" s="152" t="s">
        <v>1503</v>
      </c>
      <c r="K191" s="153" t="s">
        <v>1502</v>
      </c>
    </row>
    <row r="192" spans="2:11">
      <c r="B192" s="148" t="s">
        <v>927</v>
      </c>
      <c r="C192" s="149" t="s">
        <v>928</v>
      </c>
      <c r="D192" s="150">
        <v>1E-8</v>
      </c>
      <c r="E192" s="151">
        <v>1.3E-6</v>
      </c>
      <c r="F192" s="150">
        <v>8.9999999999999996E-7</v>
      </c>
      <c r="G192" s="151">
        <v>2.5999999999999998E-4</v>
      </c>
      <c r="H192" s="150">
        <v>4.2E-7</v>
      </c>
      <c r="I192" s="151">
        <v>2.5999999999999998E-4</v>
      </c>
      <c r="J192" s="152" t="s">
        <v>1503</v>
      </c>
      <c r="K192" s="153" t="s">
        <v>1502</v>
      </c>
    </row>
    <row r="193" spans="2:11">
      <c r="B193" s="148" t="s">
        <v>929</v>
      </c>
      <c r="C193" s="149" t="s">
        <v>930</v>
      </c>
      <c r="D193" s="150">
        <v>1E-8</v>
      </c>
      <c r="E193" s="151">
        <v>1.3E-6</v>
      </c>
      <c r="F193" s="150">
        <v>8.9999999999999996E-7</v>
      </c>
      <c r="G193" s="151">
        <v>2.5999999999999998E-4</v>
      </c>
      <c r="H193" s="150">
        <v>4.2E-7</v>
      </c>
      <c r="I193" s="151">
        <v>2.5999999999999998E-4</v>
      </c>
      <c r="J193" s="152" t="s">
        <v>1503</v>
      </c>
      <c r="K193" s="153" t="s">
        <v>1502</v>
      </c>
    </row>
    <row r="194" spans="2:11">
      <c r="B194" s="148" t="s">
        <v>931</v>
      </c>
      <c r="C194" s="149" t="s">
        <v>932</v>
      </c>
      <c r="D194" s="150">
        <v>1E-8</v>
      </c>
      <c r="E194" s="151">
        <v>1.3E-6</v>
      </c>
      <c r="F194" s="150">
        <v>8.9999999999999996E-7</v>
      </c>
      <c r="G194" s="151">
        <v>2.5999999999999998E-4</v>
      </c>
      <c r="H194" s="150">
        <v>4.2E-7</v>
      </c>
      <c r="I194" s="151">
        <v>2.5999999999999998E-4</v>
      </c>
      <c r="J194" s="152" t="s">
        <v>1503</v>
      </c>
      <c r="K194" s="153" t="s">
        <v>1502</v>
      </c>
    </row>
    <row r="195" spans="2:11">
      <c r="B195" s="148" t="s">
        <v>933</v>
      </c>
      <c r="C195" s="149" t="s">
        <v>934</v>
      </c>
      <c r="D195" s="150">
        <v>9.9999999999999995E-8</v>
      </c>
      <c r="E195" s="151">
        <v>1.2999999999999999E-5</v>
      </c>
      <c r="F195" s="150">
        <v>9.0000000000000002E-6</v>
      </c>
      <c r="G195" s="151">
        <v>2.5999999999999999E-3</v>
      </c>
      <c r="H195" s="150">
        <v>4.1999999999999996E-6</v>
      </c>
      <c r="I195" s="151">
        <v>2.5999999999999999E-3</v>
      </c>
      <c r="J195" s="152" t="s">
        <v>1503</v>
      </c>
      <c r="K195" s="153" t="s">
        <v>1502</v>
      </c>
    </row>
    <row r="196" spans="2:11">
      <c r="B196" s="148" t="s">
        <v>935</v>
      </c>
      <c r="C196" s="149" t="s">
        <v>936</v>
      </c>
      <c r="D196" s="150">
        <v>3.4000000000000001E-6</v>
      </c>
      <c r="E196" s="151">
        <v>4.2000000000000002E-4</v>
      </c>
      <c r="F196" s="150">
        <v>2.9999999999999997E-4</v>
      </c>
      <c r="G196" s="151">
        <v>8.5000000000000006E-2</v>
      </c>
      <c r="H196" s="150">
        <v>1.3999999999999999E-4</v>
      </c>
      <c r="I196" s="151">
        <v>8.5000000000000006E-2</v>
      </c>
      <c r="J196" s="152" t="s">
        <v>1503</v>
      </c>
      <c r="K196" s="153" t="s">
        <v>1502</v>
      </c>
    </row>
    <row r="197" spans="2:11">
      <c r="B197" s="148" t="s">
        <v>937</v>
      </c>
      <c r="C197" s="149" t="s">
        <v>938</v>
      </c>
      <c r="D197" s="150">
        <v>1E-8</v>
      </c>
      <c r="E197" s="151">
        <v>1.3E-6</v>
      </c>
      <c r="F197" s="150">
        <v>8.9999999999999996E-7</v>
      </c>
      <c r="G197" s="151">
        <v>2.5999999999999998E-4</v>
      </c>
      <c r="H197" s="150">
        <v>4.2E-7</v>
      </c>
      <c r="I197" s="151">
        <v>2.5999999999999998E-4</v>
      </c>
      <c r="J197" s="152" t="s">
        <v>1503</v>
      </c>
      <c r="K197" s="153" t="s">
        <v>1502</v>
      </c>
    </row>
    <row r="198" spans="2:11">
      <c r="B198" s="148" t="s">
        <v>939</v>
      </c>
      <c r="C198" s="149" t="s">
        <v>940</v>
      </c>
      <c r="D198" s="150">
        <v>3.4E-8</v>
      </c>
      <c r="E198" s="151">
        <v>4.1999999999999996E-6</v>
      </c>
      <c r="F198" s="150">
        <v>3.0000000000000001E-6</v>
      </c>
      <c r="G198" s="151">
        <v>8.4999999999999995E-4</v>
      </c>
      <c r="H198" s="150">
        <v>1.3999999999999999E-6</v>
      </c>
      <c r="I198" s="151">
        <v>8.4999999999999995E-4</v>
      </c>
      <c r="J198" s="152" t="s">
        <v>1503</v>
      </c>
      <c r="K198" s="153" t="s">
        <v>1502</v>
      </c>
    </row>
    <row r="199" spans="2:11">
      <c r="B199" s="148" t="s">
        <v>941</v>
      </c>
      <c r="C199" s="149" t="s">
        <v>942</v>
      </c>
      <c r="D199" s="150">
        <v>3.3999999999999998E-9</v>
      </c>
      <c r="E199" s="151">
        <v>4.2E-7</v>
      </c>
      <c r="F199" s="150">
        <v>2.9999999999999999E-7</v>
      </c>
      <c r="G199" s="151">
        <v>8.5000000000000006E-5</v>
      </c>
      <c r="H199" s="150">
        <v>1.4000000000000001E-7</v>
      </c>
      <c r="I199" s="151">
        <v>8.5000000000000006E-5</v>
      </c>
      <c r="J199" s="152" t="s">
        <v>1503</v>
      </c>
      <c r="K199" s="153" t="s">
        <v>1502</v>
      </c>
    </row>
    <row r="200" spans="2:11">
      <c r="B200" s="148" t="s">
        <v>943</v>
      </c>
      <c r="C200" s="149" t="s">
        <v>944</v>
      </c>
      <c r="D200" s="150">
        <v>1E-8</v>
      </c>
      <c r="E200" s="151">
        <v>1.3E-6</v>
      </c>
      <c r="F200" s="150">
        <v>8.9999999999999996E-7</v>
      </c>
      <c r="G200" s="151">
        <v>2.5999999999999998E-4</v>
      </c>
      <c r="H200" s="150">
        <v>4.2E-7</v>
      </c>
      <c r="I200" s="151">
        <v>2.5999999999999998E-4</v>
      </c>
      <c r="J200" s="152" t="s">
        <v>1503</v>
      </c>
      <c r="K200" s="153" t="s">
        <v>1502</v>
      </c>
    </row>
    <row r="201" spans="2:11">
      <c r="B201" s="148" t="s">
        <v>945</v>
      </c>
      <c r="C201" s="149" t="s">
        <v>946</v>
      </c>
      <c r="D201" s="150">
        <v>1E-8</v>
      </c>
      <c r="E201" s="151">
        <v>1.3E-6</v>
      </c>
      <c r="F201" s="150">
        <v>8.9999999999999996E-7</v>
      </c>
      <c r="G201" s="151">
        <v>2.5999999999999998E-4</v>
      </c>
      <c r="H201" s="150">
        <v>4.2E-7</v>
      </c>
      <c r="I201" s="151">
        <v>2.5999999999999998E-4</v>
      </c>
      <c r="J201" s="152" t="s">
        <v>1503</v>
      </c>
      <c r="K201" s="153" t="s">
        <v>1502</v>
      </c>
    </row>
    <row r="202" spans="2:11">
      <c r="B202" s="148" t="s">
        <v>947</v>
      </c>
      <c r="C202" s="149" t="s">
        <v>948</v>
      </c>
      <c r="D202" s="150">
        <v>1E-8</v>
      </c>
      <c r="E202" s="151">
        <v>1.3E-6</v>
      </c>
      <c r="F202" s="150">
        <v>8.9999999999999996E-7</v>
      </c>
      <c r="G202" s="151">
        <v>2.5999999999999998E-4</v>
      </c>
      <c r="H202" s="150">
        <v>4.2E-7</v>
      </c>
      <c r="I202" s="151">
        <v>2.5999999999999998E-4</v>
      </c>
      <c r="J202" s="152" t="s">
        <v>1503</v>
      </c>
      <c r="K202" s="153" t="s">
        <v>1502</v>
      </c>
    </row>
    <row r="203" spans="2:11">
      <c r="B203" s="154" t="s">
        <v>949</v>
      </c>
      <c r="C203" s="149" t="s">
        <v>1391</v>
      </c>
      <c r="D203" s="150">
        <v>1E-8</v>
      </c>
      <c r="E203" s="151">
        <v>1.3E-6</v>
      </c>
      <c r="F203" s="150">
        <v>8.9999999999999996E-7</v>
      </c>
      <c r="G203" s="151">
        <v>2.5999999999999998E-4</v>
      </c>
      <c r="H203" s="150">
        <v>4.2E-7</v>
      </c>
      <c r="I203" s="151">
        <v>2.5999999999999998E-4</v>
      </c>
      <c r="J203" s="152" t="s">
        <v>1503</v>
      </c>
      <c r="K203" s="153" t="s">
        <v>1502</v>
      </c>
    </row>
    <row r="204" spans="2:11">
      <c r="B204" s="148" t="s">
        <v>951</v>
      </c>
      <c r="C204" s="149" t="s">
        <v>952</v>
      </c>
      <c r="D204" s="150">
        <v>9.9999999999999995E-8</v>
      </c>
      <c r="E204" s="151">
        <v>1.2999999999999999E-5</v>
      </c>
      <c r="F204" s="150">
        <v>9.0000000000000002E-6</v>
      </c>
      <c r="G204" s="151">
        <v>2.5999999999999999E-3</v>
      </c>
      <c r="H204" s="150">
        <v>4.1999999999999996E-6</v>
      </c>
      <c r="I204" s="151">
        <v>2.5999999999999999E-3</v>
      </c>
      <c r="J204" s="152" t="s">
        <v>1503</v>
      </c>
      <c r="K204" s="153" t="s">
        <v>1502</v>
      </c>
    </row>
    <row r="205" spans="2:11">
      <c r="B205" s="148" t="s">
        <v>953</v>
      </c>
      <c r="C205" s="149" t="s">
        <v>954</v>
      </c>
      <c r="D205" s="150">
        <v>9.9999999999999995E-8</v>
      </c>
      <c r="E205" s="151">
        <v>1.2999999999999999E-5</v>
      </c>
      <c r="F205" s="150">
        <v>9.0000000000000002E-6</v>
      </c>
      <c r="G205" s="151">
        <v>2.5999999999999999E-3</v>
      </c>
      <c r="H205" s="150">
        <v>4.1999999999999996E-6</v>
      </c>
      <c r="I205" s="151">
        <v>2.5999999999999999E-3</v>
      </c>
      <c r="J205" s="152" t="s">
        <v>1503</v>
      </c>
      <c r="K205" s="153" t="s">
        <v>1502</v>
      </c>
    </row>
    <row r="206" spans="2:11">
      <c r="B206" s="148" t="s">
        <v>955</v>
      </c>
      <c r="C206" s="149" t="s">
        <v>956</v>
      </c>
      <c r="D206" s="150">
        <v>3.4000000000000001E-6</v>
      </c>
      <c r="E206" s="151">
        <v>4.2000000000000002E-4</v>
      </c>
      <c r="F206" s="150">
        <v>2.9999999999999997E-4</v>
      </c>
      <c r="G206" s="151">
        <v>8.5000000000000006E-2</v>
      </c>
      <c r="H206" s="150">
        <v>1.3999999999999999E-4</v>
      </c>
      <c r="I206" s="151">
        <v>8.5000000000000006E-2</v>
      </c>
      <c r="J206" s="152" t="s">
        <v>1503</v>
      </c>
      <c r="K206" s="153" t="s">
        <v>1502</v>
      </c>
    </row>
    <row r="207" spans="2:11">
      <c r="B207" s="156" t="s">
        <v>1523</v>
      </c>
      <c r="C207" s="149" t="s">
        <v>957</v>
      </c>
      <c r="D207" s="150">
        <v>4.3000000000000002E-5</v>
      </c>
      <c r="E207" s="151" t="s">
        <v>1503</v>
      </c>
      <c r="F207" s="150">
        <v>1.6000000000000001E-3</v>
      </c>
      <c r="G207" s="151" t="s">
        <v>1503</v>
      </c>
      <c r="H207" s="150">
        <v>3.0000000000000001E-3</v>
      </c>
      <c r="I207" s="151" t="s">
        <v>1503</v>
      </c>
      <c r="J207" s="152" t="s">
        <v>1503</v>
      </c>
      <c r="K207" s="153" t="s">
        <v>1503</v>
      </c>
    </row>
    <row r="208" spans="2:11">
      <c r="B208" s="148" t="s">
        <v>961</v>
      </c>
      <c r="C208" s="149" t="s">
        <v>962</v>
      </c>
      <c r="D208" s="150">
        <v>1.1E-4</v>
      </c>
      <c r="E208" s="151" t="s">
        <v>1503</v>
      </c>
      <c r="F208" s="150">
        <v>3.8999999999999998E-3</v>
      </c>
      <c r="G208" s="151" t="s">
        <v>1503</v>
      </c>
      <c r="H208" s="150">
        <v>7.6E-3</v>
      </c>
      <c r="I208" s="151" t="s">
        <v>1503</v>
      </c>
      <c r="J208" s="152" t="s">
        <v>1503</v>
      </c>
      <c r="K208" s="153" t="s">
        <v>1503</v>
      </c>
    </row>
    <row r="209" spans="2:11">
      <c r="B209" s="148" t="s">
        <v>963</v>
      </c>
      <c r="C209" s="149" t="s">
        <v>51</v>
      </c>
      <c r="D209" s="150">
        <v>2.1000000000000001E-4</v>
      </c>
      <c r="E209" s="151" t="s">
        <v>1503</v>
      </c>
      <c r="F209" s="150">
        <v>7.7999999999999996E-3</v>
      </c>
      <c r="G209" s="151" t="s">
        <v>1503</v>
      </c>
      <c r="H209" s="150">
        <v>1.4999999999999999E-2</v>
      </c>
      <c r="I209" s="151" t="s">
        <v>1503</v>
      </c>
      <c r="J209" s="152" t="s">
        <v>1503</v>
      </c>
      <c r="K209" s="153" t="s">
        <v>1503</v>
      </c>
    </row>
    <row r="210" spans="2:11">
      <c r="B210" s="148" t="s">
        <v>964</v>
      </c>
      <c r="C210" s="149" t="s">
        <v>54</v>
      </c>
      <c r="D210" s="150">
        <v>4.3000000000000002E-5</v>
      </c>
      <c r="E210" s="151">
        <v>2E-3</v>
      </c>
      <c r="F210" s="150">
        <v>1.6000000000000001E-3</v>
      </c>
      <c r="G210" s="151">
        <v>8.8000000000000005E-3</v>
      </c>
      <c r="H210" s="150">
        <v>3.0000000000000001E-3</v>
      </c>
      <c r="I210" s="151">
        <v>8.8000000000000005E-3</v>
      </c>
      <c r="J210" s="152">
        <v>2E-3</v>
      </c>
      <c r="K210" s="153" t="s">
        <v>1502</v>
      </c>
    </row>
    <row r="211" spans="2:11">
      <c r="B211" s="148" t="s">
        <v>965</v>
      </c>
      <c r="C211" s="149" t="s">
        <v>57</v>
      </c>
      <c r="D211" s="150">
        <v>5.3000000000000001E-5</v>
      </c>
      <c r="E211" s="151" t="s">
        <v>1503</v>
      </c>
      <c r="F211" s="150">
        <v>2E-3</v>
      </c>
      <c r="G211" s="151" t="s">
        <v>1503</v>
      </c>
      <c r="H211" s="150">
        <v>3.8E-3</v>
      </c>
      <c r="I211" s="151" t="s">
        <v>1503</v>
      </c>
      <c r="J211" s="152" t="s">
        <v>1503</v>
      </c>
      <c r="K211" s="153" t="s">
        <v>1503</v>
      </c>
    </row>
    <row r="212" spans="2:11">
      <c r="B212" s="148" t="s">
        <v>966</v>
      </c>
      <c r="C212" s="149" t="s">
        <v>967</v>
      </c>
      <c r="D212" s="150">
        <v>2.0999999999999998E-6</v>
      </c>
      <c r="E212" s="151" t="s">
        <v>1503</v>
      </c>
      <c r="F212" s="150">
        <v>7.7999999999999999E-5</v>
      </c>
      <c r="G212" s="151" t="s">
        <v>1503</v>
      </c>
      <c r="H212" s="150">
        <v>1.4999999999999999E-4</v>
      </c>
      <c r="I212" s="151" t="s">
        <v>1503</v>
      </c>
      <c r="J212" s="152" t="s">
        <v>1503</v>
      </c>
      <c r="K212" s="153" t="s">
        <v>1503</v>
      </c>
    </row>
    <row r="213" spans="2:11">
      <c r="B213" s="148" t="s">
        <v>969</v>
      </c>
      <c r="C213" s="149" t="s">
        <v>63</v>
      </c>
      <c r="D213" s="150">
        <v>4.7000000000000002E-3</v>
      </c>
      <c r="E213" s="151" t="s">
        <v>1503</v>
      </c>
      <c r="F213" s="150">
        <v>0.17</v>
      </c>
      <c r="G213" s="151" t="s">
        <v>1503</v>
      </c>
      <c r="H213" s="150">
        <v>0.34</v>
      </c>
      <c r="I213" s="151" t="s">
        <v>1503</v>
      </c>
      <c r="J213" s="152" t="s">
        <v>1503</v>
      </c>
      <c r="K213" s="153" t="s">
        <v>1503</v>
      </c>
    </row>
    <row r="214" spans="2:11">
      <c r="B214" s="148" t="s">
        <v>970</v>
      </c>
      <c r="C214" s="149" t="s">
        <v>971</v>
      </c>
      <c r="D214" s="150">
        <v>1.3999999999999999E-4</v>
      </c>
      <c r="E214" s="151" t="s">
        <v>1503</v>
      </c>
      <c r="F214" s="150">
        <v>5.1999999999999998E-3</v>
      </c>
      <c r="G214" s="151" t="s">
        <v>1503</v>
      </c>
      <c r="H214" s="150">
        <v>0.01</v>
      </c>
      <c r="I214" s="151" t="s">
        <v>1503</v>
      </c>
      <c r="J214" s="152" t="s">
        <v>1503</v>
      </c>
      <c r="K214" s="153" t="s">
        <v>1503</v>
      </c>
    </row>
    <row r="215" spans="2:11">
      <c r="B215" s="148" t="s">
        <v>972</v>
      </c>
      <c r="C215" s="149" t="s">
        <v>66</v>
      </c>
      <c r="D215" s="150">
        <v>1.4E-3</v>
      </c>
      <c r="E215" s="151" t="s">
        <v>1503</v>
      </c>
      <c r="F215" s="150">
        <v>5.1999999999999998E-2</v>
      </c>
      <c r="G215" s="151" t="s">
        <v>1503</v>
      </c>
      <c r="H215" s="150">
        <v>0.1</v>
      </c>
      <c r="I215" s="151" t="s">
        <v>1503</v>
      </c>
      <c r="J215" s="152" t="s">
        <v>1503</v>
      </c>
      <c r="K215" s="153" t="s">
        <v>1503</v>
      </c>
    </row>
    <row r="216" spans="2:11">
      <c r="B216" s="148" t="s">
        <v>975</v>
      </c>
      <c r="C216" s="149" t="s">
        <v>73</v>
      </c>
      <c r="D216" s="150">
        <v>4.2999999999999999E-4</v>
      </c>
      <c r="E216" s="151" t="s">
        <v>1503</v>
      </c>
      <c r="F216" s="150">
        <v>1.6E-2</v>
      </c>
      <c r="G216" s="151" t="s">
        <v>1503</v>
      </c>
      <c r="H216" s="150">
        <v>0.03</v>
      </c>
      <c r="I216" s="151" t="s">
        <v>1503</v>
      </c>
      <c r="J216" s="152" t="s">
        <v>1503</v>
      </c>
      <c r="K216" s="153" t="s">
        <v>1503</v>
      </c>
    </row>
    <row r="217" spans="2:11">
      <c r="B217" s="148" t="s">
        <v>976</v>
      </c>
      <c r="C217" s="149" t="s">
        <v>977</v>
      </c>
      <c r="D217" s="150">
        <v>1.1E-4</v>
      </c>
      <c r="E217" s="151" t="s">
        <v>1503</v>
      </c>
      <c r="F217" s="150">
        <v>3.8999999999999998E-3</v>
      </c>
      <c r="G217" s="151" t="s">
        <v>1503</v>
      </c>
      <c r="H217" s="150">
        <v>7.6E-3</v>
      </c>
      <c r="I217" s="151" t="s">
        <v>1503</v>
      </c>
      <c r="J217" s="152" t="s">
        <v>1503</v>
      </c>
      <c r="K217" s="153" t="s">
        <v>1503</v>
      </c>
    </row>
    <row r="218" spans="2:11">
      <c r="B218" s="148" t="s">
        <v>984</v>
      </c>
      <c r="C218" s="149" t="s">
        <v>76</v>
      </c>
      <c r="D218" s="150">
        <v>4.3000000000000003E-6</v>
      </c>
      <c r="E218" s="151" t="s">
        <v>1503</v>
      </c>
      <c r="F218" s="150">
        <v>1.6000000000000001E-4</v>
      </c>
      <c r="G218" s="151" t="s">
        <v>1503</v>
      </c>
      <c r="H218" s="150">
        <v>2.9999999999999997E-4</v>
      </c>
      <c r="I218" s="151" t="s">
        <v>1503</v>
      </c>
      <c r="J218" s="152" t="s">
        <v>1503</v>
      </c>
      <c r="K218" s="153" t="s">
        <v>1503</v>
      </c>
    </row>
    <row r="219" spans="2:11">
      <c r="B219" s="148" t="s">
        <v>987</v>
      </c>
      <c r="C219" s="149" t="s">
        <v>988</v>
      </c>
      <c r="D219" s="150">
        <v>1.1E-4</v>
      </c>
      <c r="E219" s="151" t="s">
        <v>1503</v>
      </c>
      <c r="F219" s="150">
        <v>3.8999999999999998E-3</v>
      </c>
      <c r="G219" s="151" t="s">
        <v>1503</v>
      </c>
      <c r="H219" s="150">
        <v>7.6E-3</v>
      </c>
      <c r="I219" s="151" t="s">
        <v>1503</v>
      </c>
      <c r="J219" s="152" t="s">
        <v>1503</v>
      </c>
      <c r="K219" s="153" t="s">
        <v>1503</v>
      </c>
    </row>
    <row r="220" spans="2:11">
      <c r="B220" s="148" t="s">
        <v>989</v>
      </c>
      <c r="C220" s="149" t="s">
        <v>990</v>
      </c>
      <c r="D220" s="150">
        <v>4.6999999999999997E-5</v>
      </c>
      <c r="E220" s="151" t="s">
        <v>1503</v>
      </c>
      <c r="F220" s="150">
        <v>1.6999999999999999E-3</v>
      </c>
      <c r="G220" s="151" t="s">
        <v>1503</v>
      </c>
      <c r="H220" s="150">
        <v>3.3999999999999998E-3</v>
      </c>
      <c r="I220" s="151" t="s">
        <v>1503</v>
      </c>
      <c r="J220" s="152" t="s">
        <v>1503</v>
      </c>
      <c r="K220" s="153" t="s">
        <v>1503</v>
      </c>
    </row>
    <row r="221" spans="2:11">
      <c r="B221" s="148" t="s">
        <v>991</v>
      </c>
      <c r="C221" s="149" t="s">
        <v>992</v>
      </c>
      <c r="D221" s="150">
        <v>7.1000000000000005E-5</v>
      </c>
      <c r="E221" s="151" t="s">
        <v>1503</v>
      </c>
      <c r="F221" s="150">
        <v>2.5999999999999999E-3</v>
      </c>
      <c r="G221" s="151" t="s">
        <v>1503</v>
      </c>
      <c r="H221" s="150">
        <v>5.1000000000000004E-3</v>
      </c>
      <c r="I221" s="151" t="s">
        <v>1503</v>
      </c>
      <c r="J221" s="152" t="s">
        <v>1503</v>
      </c>
      <c r="K221" s="153" t="s">
        <v>1503</v>
      </c>
    </row>
    <row r="222" spans="2:11">
      <c r="B222" s="148" t="s">
        <v>993</v>
      </c>
      <c r="C222" s="149" t="s">
        <v>994</v>
      </c>
      <c r="D222" s="150">
        <v>1.3999999999999999E-6</v>
      </c>
      <c r="E222" s="151" t="s">
        <v>1503</v>
      </c>
      <c r="F222" s="150">
        <v>5.1999999999999997E-5</v>
      </c>
      <c r="G222" s="151" t="s">
        <v>1503</v>
      </c>
      <c r="H222" s="150">
        <v>1E-4</v>
      </c>
      <c r="I222" s="151" t="s">
        <v>1503</v>
      </c>
      <c r="J222" s="152" t="s">
        <v>1503</v>
      </c>
      <c r="K222" s="153" t="s">
        <v>1503</v>
      </c>
    </row>
    <row r="223" spans="2:11">
      <c r="B223" s="148" t="s">
        <v>995</v>
      </c>
      <c r="C223" s="149" t="s">
        <v>79</v>
      </c>
      <c r="D223" s="150">
        <v>5.2999999999999998E-4</v>
      </c>
      <c r="E223" s="151" t="s">
        <v>1503</v>
      </c>
      <c r="F223" s="150">
        <v>0.02</v>
      </c>
      <c r="G223" s="151" t="s">
        <v>1503</v>
      </c>
      <c r="H223" s="150">
        <v>3.7999999999999999E-2</v>
      </c>
      <c r="I223" s="151" t="s">
        <v>1503</v>
      </c>
      <c r="J223" s="152" t="s">
        <v>1503</v>
      </c>
      <c r="K223" s="153" t="s">
        <v>1503</v>
      </c>
    </row>
    <row r="224" spans="2:11">
      <c r="B224" s="148" t="s">
        <v>997</v>
      </c>
      <c r="C224" s="149" t="s">
        <v>85</v>
      </c>
      <c r="D224" s="150">
        <v>6.0999999999999997E-4</v>
      </c>
      <c r="E224" s="151" t="s">
        <v>1503</v>
      </c>
      <c r="F224" s="150">
        <v>2.1999999999999999E-2</v>
      </c>
      <c r="G224" s="151" t="s">
        <v>1503</v>
      </c>
      <c r="H224" s="150">
        <v>4.2999999999999997E-2</v>
      </c>
      <c r="I224" s="151" t="s">
        <v>1503</v>
      </c>
      <c r="J224" s="152" t="s">
        <v>1503</v>
      </c>
      <c r="K224" s="153" t="s">
        <v>1503</v>
      </c>
    </row>
    <row r="225" spans="2:11">
      <c r="B225" s="148" t="s">
        <v>1016</v>
      </c>
      <c r="C225" s="149" t="s">
        <v>1017</v>
      </c>
      <c r="D225" s="150">
        <v>4.3000000000000002E-5</v>
      </c>
      <c r="E225" s="151" t="s">
        <v>1503</v>
      </c>
      <c r="F225" s="150">
        <v>1.6000000000000001E-3</v>
      </c>
      <c r="G225" s="151" t="s">
        <v>1503</v>
      </c>
      <c r="H225" s="150">
        <v>3.0000000000000001E-3</v>
      </c>
      <c r="I225" s="151" t="s">
        <v>1503</v>
      </c>
      <c r="J225" s="152" t="s">
        <v>1503</v>
      </c>
      <c r="K225" s="153" t="s">
        <v>1503</v>
      </c>
    </row>
    <row r="226" spans="2:11">
      <c r="B226" s="148" t="s">
        <v>1020</v>
      </c>
      <c r="C226" s="149" t="s">
        <v>1021</v>
      </c>
      <c r="D226" s="150">
        <v>4.3000000000000003E-6</v>
      </c>
      <c r="E226" s="151" t="s">
        <v>1503</v>
      </c>
      <c r="F226" s="150">
        <v>1.6000000000000001E-4</v>
      </c>
      <c r="G226" s="151" t="s">
        <v>1503</v>
      </c>
      <c r="H226" s="150">
        <v>2.9999999999999997E-4</v>
      </c>
      <c r="I226" s="151" t="s">
        <v>1503</v>
      </c>
      <c r="J226" s="152" t="s">
        <v>1503</v>
      </c>
      <c r="K226" s="153" t="s">
        <v>1503</v>
      </c>
    </row>
    <row r="227" spans="2:11">
      <c r="B227" s="148" t="s">
        <v>1032</v>
      </c>
      <c r="C227" s="149" t="s">
        <v>1033</v>
      </c>
      <c r="D227" s="150">
        <v>7.1000000000000004E-3</v>
      </c>
      <c r="E227" s="151" t="s">
        <v>1503</v>
      </c>
      <c r="F227" s="150">
        <v>0.19</v>
      </c>
      <c r="G227" s="151" t="s">
        <v>1503</v>
      </c>
      <c r="H227" s="150">
        <v>8.5999999999999993E-2</v>
      </c>
      <c r="I227" s="151" t="s">
        <v>1503</v>
      </c>
      <c r="J227" s="152" t="s">
        <v>1503</v>
      </c>
      <c r="K227" s="153" t="s">
        <v>1503</v>
      </c>
    </row>
    <row r="228" spans="2:11">
      <c r="B228" s="148" t="s">
        <v>1038</v>
      </c>
      <c r="C228" s="149" t="s">
        <v>1039</v>
      </c>
      <c r="D228" s="150">
        <v>1.4E-3</v>
      </c>
      <c r="E228" s="151" t="s">
        <v>1503</v>
      </c>
      <c r="F228" s="150">
        <v>3.7999999999999999E-2</v>
      </c>
      <c r="G228" s="151" t="s">
        <v>1503</v>
      </c>
      <c r="H228" s="150">
        <v>1.7000000000000001E-2</v>
      </c>
      <c r="I228" s="151" t="s">
        <v>1503</v>
      </c>
      <c r="J228" s="152" t="s">
        <v>1503</v>
      </c>
      <c r="K228" s="153" t="s">
        <v>1503</v>
      </c>
    </row>
    <row r="229" spans="2:11">
      <c r="B229" s="148" t="s">
        <v>1042</v>
      </c>
      <c r="C229" s="149" t="s">
        <v>1043</v>
      </c>
      <c r="D229" s="150" t="s">
        <v>1503</v>
      </c>
      <c r="E229" s="151">
        <v>8</v>
      </c>
      <c r="F229" s="150" t="s">
        <v>1503</v>
      </c>
      <c r="G229" s="151">
        <v>35</v>
      </c>
      <c r="H229" s="150" t="s">
        <v>1503</v>
      </c>
      <c r="I229" s="151">
        <v>35</v>
      </c>
      <c r="J229" s="152" t="s">
        <v>1503</v>
      </c>
      <c r="K229" s="153" t="s">
        <v>1504</v>
      </c>
    </row>
    <row r="230" spans="2:11">
      <c r="B230" s="148" t="s">
        <v>1046</v>
      </c>
      <c r="C230" s="149" t="s">
        <v>1047</v>
      </c>
      <c r="D230" s="150" t="s">
        <v>1503</v>
      </c>
      <c r="E230" s="151">
        <v>3000</v>
      </c>
      <c r="F230" s="150" t="s">
        <v>1503</v>
      </c>
      <c r="G230" s="151">
        <v>13000</v>
      </c>
      <c r="H230" s="150" t="s">
        <v>1503</v>
      </c>
      <c r="I230" s="151">
        <v>13000</v>
      </c>
      <c r="J230" s="152" t="s">
        <v>1503</v>
      </c>
      <c r="K230" s="153" t="s">
        <v>1504</v>
      </c>
    </row>
    <row r="231" spans="2:11">
      <c r="B231" s="148" t="s">
        <v>1048</v>
      </c>
      <c r="C231" s="149" t="s">
        <v>1049</v>
      </c>
      <c r="D231" s="150" t="s">
        <v>1503</v>
      </c>
      <c r="E231" s="151">
        <v>0.27</v>
      </c>
      <c r="F231" s="150" t="s">
        <v>1503</v>
      </c>
      <c r="G231" s="151">
        <v>1.2</v>
      </c>
      <c r="H231" s="150" t="s">
        <v>1503</v>
      </c>
      <c r="I231" s="151">
        <v>1.2</v>
      </c>
      <c r="J231" s="152">
        <v>20</v>
      </c>
      <c r="K231" s="153" t="s">
        <v>1504</v>
      </c>
    </row>
    <row r="232" spans="2:11">
      <c r="B232" s="148" t="s">
        <v>1050</v>
      </c>
      <c r="C232" s="149" t="s">
        <v>1051</v>
      </c>
      <c r="D232" s="150" t="s">
        <v>1503</v>
      </c>
      <c r="E232" s="151">
        <v>7000</v>
      </c>
      <c r="F232" s="150" t="s">
        <v>1503</v>
      </c>
      <c r="G232" s="151">
        <v>31000</v>
      </c>
      <c r="H232" s="150" t="s">
        <v>1503</v>
      </c>
      <c r="I232" s="151">
        <v>31000</v>
      </c>
      <c r="J232" s="152" t="s">
        <v>1503</v>
      </c>
      <c r="K232" s="153" t="s">
        <v>1502</v>
      </c>
    </row>
    <row r="233" spans="2:11">
      <c r="B233" s="148" t="s">
        <v>1054</v>
      </c>
      <c r="C233" s="149" t="s">
        <v>1055</v>
      </c>
      <c r="D233" s="150">
        <v>0.27</v>
      </c>
      <c r="E233" s="151">
        <v>30</v>
      </c>
      <c r="F233" s="150">
        <v>7</v>
      </c>
      <c r="G233" s="151">
        <v>130</v>
      </c>
      <c r="H233" s="150">
        <v>3.2</v>
      </c>
      <c r="I233" s="151">
        <v>130</v>
      </c>
      <c r="J233" s="152">
        <v>3100</v>
      </c>
      <c r="K233" s="153" t="s">
        <v>1502</v>
      </c>
    </row>
    <row r="234" spans="2:11">
      <c r="B234" s="156" t="s">
        <v>1524</v>
      </c>
      <c r="C234" s="149" t="s">
        <v>1068</v>
      </c>
      <c r="D234" s="150" t="s">
        <v>1503</v>
      </c>
      <c r="E234" s="151">
        <v>0.03</v>
      </c>
      <c r="F234" s="150" t="s">
        <v>1503</v>
      </c>
      <c r="G234" s="151">
        <v>0.13</v>
      </c>
      <c r="H234" s="150" t="s">
        <v>1503</v>
      </c>
      <c r="I234" s="151">
        <v>0.13</v>
      </c>
      <c r="J234" s="152" t="s">
        <v>1503</v>
      </c>
      <c r="K234" s="153" t="s">
        <v>1504</v>
      </c>
    </row>
    <row r="235" spans="2:11">
      <c r="B235" s="148" t="s">
        <v>1074</v>
      </c>
      <c r="C235" s="149" t="s">
        <v>1075</v>
      </c>
      <c r="D235" s="150" t="s">
        <v>1503</v>
      </c>
      <c r="E235" s="151" t="s">
        <v>1503</v>
      </c>
      <c r="F235" s="150" t="s">
        <v>1503</v>
      </c>
      <c r="G235" s="151" t="s">
        <v>1503</v>
      </c>
      <c r="H235" s="150" t="s">
        <v>1503</v>
      </c>
      <c r="I235" s="151" t="s">
        <v>1503</v>
      </c>
      <c r="J235" s="152">
        <v>5</v>
      </c>
      <c r="K235" s="153" t="s">
        <v>1502</v>
      </c>
    </row>
    <row r="236" spans="2:11">
      <c r="B236" s="148" t="s">
        <v>1076</v>
      </c>
      <c r="C236" s="149" t="s">
        <v>1077</v>
      </c>
      <c r="D236" s="150" t="s">
        <v>1503</v>
      </c>
      <c r="E236" s="151" t="s">
        <v>1503</v>
      </c>
      <c r="F236" s="150" t="s">
        <v>1503</v>
      </c>
      <c r="G236" s="151" t="s">
        <v>1503</v>
      </c>
      <c r="H236" s="150" t="s">
        <v>1503</v>
      </c>
      <c r="I236" s="151" t="s">
        <v>1503</v>
      </c>
      <c r="J236" s="152">
        <v>2</v>
      </c>
      <c r="K236" s="153" t="s">
        <v>1502</v>
      </c>
    </row>
    <row r="237" spans="2:11">
      <c r="B237" s="148" t="s">
        <v>1080</v>
      </c>
      <c r="C237" s="149" t="s">
        <v>1081</v>
      </c>
      <c r="D237" s="150" t="s">
        <v>1503</v>
      </c>
      <c r="E237" s="151">
        <v>3</v>
      </c>
      <c r="F237" s="150" t="s">
        <v>1503</v>
      </c>
      <c r="G237" s="151">
        <v>13</v>
      </c>
      <c r="H237" s="150" t="s">
        <v>1503</v>
      </c>
      <c r="I237" s="151">
        <v>13</v>
      </c>
      <c r="J237" s="152" t="s">
        <v>1503</v>
      </c>
      <c r="K237" s="153" t="s">
        <v>1504</v>
      </c>
    </row>
    <row r="238" spans="2:11">
      <c r="B238" s="148" t="s">
        <v>1085</v>
      </c>
      <c r="C238" s="149" t="s">
        <v>1086</v>
      </c>
      <c r="D238" s="150" t="s">
        <v>1503</v>
      </c>
      <c r="E238" s="151" t="s">
        <v>1503</v>
      </c>
      <c r="F238" s="150" t="s">
        <v>1503</v>
      </c>
      <c r="G238" s="151" t="s">
        <v>1503</v>
      </c>
      <c r="H238" s="150" t="s">
        <v>1503</v>
      </c>
      <c r="I238" s="151" t="s">
        <v>1503</v>
      </c>
      <c r="J238" s="152">
        <v>8</v>
      </c>
      <c r="K238" s="153" t="s">
        <v>1502</v>
      </c>
    </row>
    <row r="239" spans="2:11">
      <c r="B239" s="148" t="s">
        <v>1091</v>
      </c>
      <c r="C239" s="149" t="s">
        <v>1092</v>
      </c>
      <c r="D239" s="150" t="s">
        <v>1503</v>
      </c>
      <c r="E239" s="151">
        <v>1000</v>
      </c>
      <c r="F239" s="150" t="s">
        <v>1503</v>
      </c>
      <c r="G239" s="151">
        <v>4400</v>
      </c>
      <c r="H239" s="150" t="s">
        <v>1503</v>
      </c>
      <c r="I239" s="151">
        <v>4400</v>
      </c>
      <c r="J239" s="152">
        <v>21000</v>
      </c>
      <c r="K239" s="153" t="s">
        <v>1502</v>
      </c>
    </row>
    <row r="240" spans="2:11">
      <c r="B240" s="148" t="s">
        <v>1097</v>
      </c>
      <c r="C240" s="149" t="s">
        <v>1098</v>
      </c>
      <c r="D240" s="150" t="s">
        <v>1503</v>
      </c>
      <c r="E240" s="151">
        <v>1</v>
      </c>
      <c r="F240" s="150" t="s">
        <v>1503</v>
      </c>
      <c r="G240" s="151">
        <v>4.4000000000000004</v>
      </c>
      <c r="H240" s="150" t="s">
        <v>1503</v>
      </c>
      <c r="I240" s="151">
        <v>4.4000000000000004</v>
      </c>
      <c r="J240" s="152">
        <v>120</v>
      </c>
      <c r="K240" s="153" t="s">
        <v>1504</v>
      </c>
    </row>
    <row r="241" spans="2:11">
      <c r="B241" s="148" t="s">
        <v>1099</v>
      </c>
      <c r="C241" s="149" t="s">
        <v>1395</v>
      </c>
      <c r="D241" s="150" t="s">
        <v>1503</v>
      </c>
      <c r="E241" s="151" t="s">
        <v>1503</v>
      </c>
      <c r="F241" s="150" t="s">
        <v>1503</v>
      </c>
      <c r="G241" s="151" t="s">
        <v>1503</v>
      </c>
      <c r="H241" s="150" t="s">
        <v>1503</v>
      </c>
      <c r="I241" s="151" t="s">
        <v>1503</v>
      </c>
      <c r="J241" s="152">
        <v>0.7</v>
      </c>
      <c r="K241" s="153" t="s">
        <v>1502</v>
      </c>
    </row>
    <row r="242" spans="2:11">
      <c r="B242" s="148" t="s">
        <v>1101</v>
      </c>
      <c r="C242" s="149" t="s">
        <v>1102</v>
      </c>
      <c r="D242" s="150" t="s">
        <v>1503</v>
      </c>
      <c r="E242" s="151">
        <v>1</v>
      </c>
      <c r="F242" s="150" t="s">
        <v>1503</v>
      </c>
      <c r="G242" s="151">
        <v>4.4000000000000004</v>
      </c>
      <c r="H242" s="150" t="s">
        <v>1503</v>
      </c>
      <c r="I242" s="151">
        <v>4.4000000000000004</v>
      </c>
      <c r="J242" s="152">
        <v>120</v>
      </c>
      <c r="K242" s="153" t="s">
        <v>1504</v>
      </c>
    </row>
    <row r="243" spans="2:11">
      <c r="B243" s="148" t="s">
        <v>1108</v>
      </c>
      <c r="C243" s="149" t="s">
        <v>1109</v>
      </c>
      <c r="D243" s="150">
        <v>0.14000000000000001</v>
      </c>
      <c r="E243" s="151" t="s">
        <v>1503</v>
      </c>
      <c r="F243" s="150">
        <v>3.5</v>
      </c>
      <c r="G243" s="151" t="s">
        <v>1503</v>
      </c>
      <c r="H243" s="150">
        <v>1.6</v>
      </c>
      <c r="I243" s="151" t="s">
        <v>1503</v>
      </c>
      <c r="J243" s="152" t="s">
        <v>1503</v>
      </c>
      <c r="K243" s="153" t="s">
        <v>1503</v>
      </c>
    </row>
    <row r="244" spans="2:11">
      <c r="B244" s="148" t="s">
        <v>1110</v>
      </c>
      <c r="C244" s="149" t="s">
        <v>1111</v>
      </c>
      <c r="D244" s="150">
        <v>1.7000000000000001E-2</v>
      </c>
      <c r="E244" s="151" t="s">
        <v>1503</v>
      </c>
      <c r="F244" s="150">
        <v>0.45</v>
      </c>
      <c r="G244" s="151" t="s">
        <v>1503</v>
      </c>
      <c r="H244" s="150">
        <v>0.21</v>
      </c>
      <c r="I244" s="151" t="s">
        <v>1503</v>
      </c>
      <c r="J244" s="152" t="s">
        <v>1503</v>
      </c>
      <c r="K244" s="153" t="s">
        <v>1503</v>
      </c>
    </row>
    <row r="245" spans="2:11">
      <c r="B245" s="148" t="s">
        <v>1112</v>
      </c>
      <c r="C245" s="149" t="s">
        <v>1113</v>
      </c>
      <c r="D245" s="150">
        <v>3.8</v>
      </c>
      <c r="E245" s="151">
        <v>41</v>
      </c>
      <c r="F245" s="150">
        <v>100</v>
      </c>
      <c r="G245" s="151">
        <v>180</v>
      </c>
      <c r="H245" s="150">
        <v>46</v>
      </c>
      <c r="I245" s="151">
        <v>180</v>
      </c>
      <c r="J245" s="152">
        <v>41</v>
      </c>
      <c r="K245" s="153" t="s">
        <v>1502</v>
      </c>
    </row>
    <row r="246" spans="2:11">
      <c r="B246" s="148" t="s">
        <v>1116</v>
      </c>
      <c r="C246" s="149" t="s">
        <v>1117</v>
      </c>
      <c r="D246" s="150" t="s">
        <v>1503</v>
      </c>
      <c r="E246" s="151">
        <v>80000</v>
      </c>
      <c r="F246" s="150" t="s">
        <v>1503</v>
      </c>
      <c r="G246" s="151">
        <v>350000</v>
      </c>
      <c r="H246" s="150" t="s">
        <v>1503</v>
      </c>
      <c r="I246" s="151">
        <v>350000</v>
      </c>
      <c r="J246" s="152" t="s">
        <v>1503</v>
      </c>
      <c r="K246" s="153" t="s">
        <v>1502</v>
      </c>
    </row>
    <row r="247" spans="2:11">
      <c r="B247" s="148" t="s">
        <v>1120</v>
      </c>
      <c r="C247" s="149" t="s">
        <v>1121</v>
      </c>
      <c r="D247" s="150">
        <v>5.9000000000000003E-4</v>
      </c>
      <c r="E247" s="151" t="s">
        <v>1503</v>
      </c>
      <c r="F247" s="150">
        <v>1.4999999999999999E-2</v>
      </c>
      <c r="G247" s="151" t="s">
        <v>1503</v>
      </c>
      <c r="H247" s="150">
        <v>7.1000000000000004E-3</v>
      </c>
      <c r="I247" s="151" t="s">
        <v>1503</v>
      </c>
      <c r="J247" s="152" t="s">
        <v>1503</v>
      </c>
      <c r="K247" s="153" t="s">
        <v>1503</v>
      </c>
    </row>
    <row r="248" spans="2:11">
      <c r="B248" s="148" t="s">
        <v>1126</v>
      </c>
      <c r="C248" s="149" t="s">
        <v>1127</v>
      </c>
      <c r="D248" s="150" t="s">
        <v>1503</v>
      </c>
      <c r="E248" s="151">
        <v>0.1</v>
      </c>
      <c r="F248" s="150" t="s">
        <v>1503</v>
      </c>
      <c r="G248" s="151">
        <v>0.44</v>
      </c>
      <c r="H248" s="150" t="s">
        <v>1503</v>
      </c>
      <c r="I248" s="151">
        <v>0.44</v>
      </c>
      <c r="J248" s="152">
        <v>10</v>
      </c>
      <c r="K248" s="153" t="s">
        <v>1502</v>
      </c>
    </row>
    <row r="249" spans="2:11">
      <c r="B249" s="148" t="s">
        <v>1128</v>
      </c>
      <c r="C249" s="149" t="s">
        <v>1129</v>
      </c>
      <c r="D249" s="150" t="s">
        <v>1503</v>
      </c>
      <c r="E249" s="151">
        <v>5000</v>
      </c>
      <c r="F249" s="150" t="s">
        <v>1503</v>
      </c>
      <c r="G249" s="151">
        <v>22000</v>
      </c>
      <c r="H249" s="150" t="s">
        <v>1503</v>
      </c>
      <c r="I249" s="151">
        <v>22000</v>
      </c>
      <c r="J249" s="152">
        <v>7500</v>
      </c>
      <c r="K249" s="153" t="s">
        <v>1502</v>
      </c>
    </row>
    <row r="250" spans="2:11">
      <c r="B250" s="148" t="s">
        <v>1130</v>
      </c>
      <c r="C250" s="149" t="s">
        <v>1131</v>
      </c>
      <c r="D250" s="150">
        <v>9.0999999999999998E-2</v>
      </c>
      <c r="E250" s="151">
        <v>2.1000000000000001E-2</v>
      </c>
      <c r="F250" s="150">
        <v>2.4</v>
      </c>
      <c r="G250" s="151">
        <v>9.1999999999999998E-2</v>
      </c>
      <c r="H250" s="150">
        <v>1.1000000000000001</v>
      </c>
      <c r="I250" s="151">
        <v>9.1999999999999998E-2</v>
      </c>
      <c r="J250" s="152">
        <v>7.0999999999999994E-2</v>
      </c>
      <c r="K250" s="153" t="s">
        <v>1502</v>
      </c>
    </row>
    <row r="251" spans="2:11">
      <c r="B251" s="148" t="s">
        <v>1156</v>
      </c>
      <c r="C251" s="149" t="s">
        <v>1157</v>
      </c>
      <c r="D251" s="150">
        <v>3.0999999999999999E-3</v>
      </c>
      <c r="E251" s="151" t="s">
        <v>1503</v>
      </c>
      <c r="F251" s="150">
        <v>8.1000000000000003E-2</v>
      </c>
      <c r="G251" s="151" t="s">
        <v>1503</v>
      </c>
      <c r="H251" s="150">
        <v>3.7999999999999999E-2</v>
      </c>
      <c r="I251" s="151" t="s">
        <v>1503</v>
      </c>
      <c r="J251" s="152" t="s">
        <v>1503</v>
      </c>
      <c r="K251" s="153" t="s">
        <v>1503</v>
      </c>
    </row>
    <row r="252" spans="2:11">
      <c r="B252" s="148" t="s">
        <v>1162</v>
      </c>
      <c r="C252" s="149" t="s">
        <v>1163</v>
      </c>
      <c r="D252" s="150" t="s">
        <v>1503</v>
      </c>
      <c r="E252" s="151">
        <v>5000</v>
      </c>
      <c r="F252" s="150" t="s">
        <v>1503</v>
      </c>
      <c r="G252" s="151">
        <v>22000</v>
      </c>
      <c r="H252" s="150" t="s">
        <v>1503</v>
      </c>
      <c r="I252" s="151">
        <v>22000</v>
      </c>
      <c r="J252" s="152">
        <v>11000</v>
      </c>
      <c r="K252" s="153" t="s">
        <v>1502</v>
      </c>
    </row>
    <row r="253" spans="2:11">
      <c r="B253" s="148" t="s">
        <v>1164</v>
      </c>
      <c r="C253" s="149" t="s">
        <v>1165</v>
      </c>
      <c r="D253" s="150">
        <v>6.3E-2</v>
      </c>
      <c r="E253" s="151" t="s">
        <v>1503</v>
      </c>
      <c r="F253" s="150">
        <v>1.6</v>
      </c>
      <c r="G253" s="151" t="s">
        <v>1503</v>
      </c>
      <c r="H253" s="150">
        <v>0.75</v>
      </c>
      <c r="I253" s="151" t="s">
        <v>1503</v>
      </c>
      <c r="J253" s="152" t="s">
        <v>1503</v>
      </c>
      <c r="K253" s="153" t="s">
        <v>1503</v>
      </c>
    </row>
    <row r="254" spans="2:11">
      <c r="B254" s="148" t="s">
        <v>1166</v>
      </c>
      <c r="C254" s="149" t="s">
        <v>1167</v>
      </c>
      <c r="D254" s="150">
        <v>0.2</v>
      </c>
      <c r="E254" s="151">
        <v>2.1</v>
      </c>
      <c r="F254" s="150">
        <v>3.5</v>
      </c>
      <c r="G254" s="151">
        <v>9.1999999999999993</v>
      </c>
      <c r="H254" s="150">
        <v>2.9</v>
      </c>
      <c r="I254" s="151">
        <v>9.1999999999999993</v>
      </c>
      <c r="J254" s="152">
        <v>2.1</v>
      </c>
      <c r="K254" s="153" t="s">
        <v>1502</v>
      </c>
    </row>
    <row r="255" spans="2:11">
      <c r="B255" s="148" t="s">
        <v>1172</v>
      </c>
      <c r="C255" s="149" t="s">
        <v>1173</v>
      </c>
      <c r="D255" s="150">
        <v>0.05</v>
      </c>
      <c r="E255" s="151" t="s">
        <v>1503</v>
      </c>
      <c r="F255" s="150">
        <v>1.3</v>
      </c>
      <c r="G255" s="151" t="s">
        <v>1503</v>
      </c>
      <c r="H255" s="150">
        <v>0.6</v>
      </c>
      <c r="I255" s="151" t="s">
        <v>1503</v>
      </c>
      <c r="J255" s="152" t="s">
        <v>1503</v>
      </c>
      <c r="K255" s="153" t="s">
        <v>1503</v>
      </c>
    </row>
    <row r="256" spans="2:11">
      <c r="B256" s="148" t="s">
        <v>1174</v>
      </c>
      <c r="C256" s="149" t="s">
        <v>1175</v>
      </c>
      <c r="D256" s="150" t="s">
        <v>1503</v>
      </c>
      <c r="E256" s="151">
        <v>0.3</v>
      </c>
      <c r="F256" s="150" t="s">
        <v>1503</v>
      </c>
      <c r="G256" s="151">
        <v>1.3</v>
      </c>
      <c r="H256" s="150" t="s">
        <v>1503</v>
      </c>
      <c r="I256" s="151">
        <v>1.3</v>
      </c>
      <c r="J256" s="152">
        <v>1.8</v>
      </c>
      <c r="K256" s="153" t="s">
        <v>1504</v>
      </c>
    </row>
    <row r="257" spans="2:11">
      <c r="B257" s="148" t="s">
        <v>1178</v>
      </c>
      <c r="C257" s="149" t="s">
        <v>1179</v>
      </c>
      <c r="D257" s="150" t="s">
        <v>1503</v>
      </c>
      <c r="E257" s="151">
        <v>200</v>
      </c>
      <c r="F257" s="150" t="s">
        <v>1503</v>
      </c>
      <c r="G257" s="151">
        <v>880</v>
      </c>
      <c r="H257" s="150" t="s">
        <v>1503</v>
      </c>
      <c r="I257" s="151">
        <v>880</v>
      </c>
      <c r="J257" s="152">
        <v>2800</v>
      </c>
      <c r="K257" s="153" t="s">
        <v>1502</v>
      </c>
    </row>
    <row r="258" spans="2:11">
      <c r="B258" s="148" t="s">
        <v>1192</v>
      </c>
      <c r="C258" s="149" t="s">
        <v>1193</v>
      </c>
      <c r="D258" s="150" t="s">
        <v>1503</v>
      </c>
      <c r="E258" s="151">
        <v>60</v>
      </c>
      <c r="F258" s="150" t="s">
        <v>1503</v>
      </c>
      <c r="G258" s="151">
        <v>260</v>
      </c>
      <c r="H258" s="150" t="s">
        <v>1503</v>
      </c>
      <c r="I258" s="151">
        <v>260</v>
      </c>
      <c r="J258" s="152" t="s">
        <v>1503</v>
      </c>
      <c r="K258" s="153" t="s">
        <v>1502</v>
      </c>
    </row>
    <row r="259" spans="2:11">
      <c r="B259" s="148" t="s">
        <v>1194</v>
      </c>
      <c r="C259" s="149" t="s">
        <v>1195</v>
      </c>
      <c r="D259" s="150" t="s">
        <v>1503</v>
      </c>
      <c r="E259" s="151">
        <v>60</v>
      </c>
      <c r="F259" s="150" t="s">
        <v>1503</v>
      </c>
      <c r="G259" s="151">
        <v>260</v>
      </c>
      <c r="H259" s="150" t="s">
        <v>1503</v>
      </c>
      <c r="I259" s="151">
        <v>260</v>
      </c>
      <c r="J259" s="152" t="s">
        <v>1503</v>
      </c>
      <c r="K259" s="153" t="s">
        <v>1502</v>
      </c>
    </row>
    <row r="260" spans="2:11">
      <c r="B260" s="148" t="s">
        <v>1196</v>
      </c>
      <c r="C260" s="149" t="s">
        <v>1197</v>
      </c>
      <c r="D260" s="150" t="s">
        <v>1503</v>
      </c>
      <c r="E260" s="151">
        <v>60</v>
      </c>
      <c r="F260" s="150" t="s">
        <v>1503</v>
      </c>
      <c r="G260" s="151">
        <v>260</v>
      </c>
      <c r="H260" s="150" t="s">
        <v>1503</v>
      </c>
      <c r="I260" s="151">
        <v>260</v>
      </c>
      <c r="J260" s="152" t="s">
        <v>1503</v>
      </c>
      <c r="K260" s="153" t="s">
        <v>1502</v>
      </c>
    </row>
    <row r="261" spans="2:11">
      <c r="B261" s="148" t="s">
        <v>1204</v>
      </c>
      <c r="C261" s="149" t="s">
        <v>1205</v>
      </c>
      <c r="D261" s="150">
        <v>2E-3</v>
      </c>
      <c r="E261" s="151" t="s">
        <v>1503</v>
      </c>
      <c r="F261" s="150">
        <v>2.1000000000000001E-2</v>
      </c>
      <c r="G261" s="151" t="s">
        <v>1503</v>
      </c>
      <c r="H261" s="150">
        <v>4.1000000000000002E-2</v>
      </c>
      <c r="I261" s="151" t="s">
        <v>1503</v>
      </c>
      <c r="J261" s="152" t="s">
        <v>1503</v>
      </c>
      <c r="K261" s="153" t="s">
        <v>1503</v>
      </c>
    </row>
    <row r="262" spans="2:11">
      <c r="B262" s="148" t="s">
        <v>1206</v>
      </c>
      <c r="C262" s="149" t="s">
        <v>1207</v>
      </c>
      <c r="D262" s="150" t="s">
        <v>1503</v>
      </c>
      <c r="E262" s="151">
        <v>0.1</v>
      </c>
      <c r="F262" s="150" t="s">
        <v>1503</v>
      </c>
      <c r="G262" s="151">
        <v>0.44</v>
      </c>
      <c r="H262" s="150" t="s">
        <v>1503</v>
      </c>
      <c r="I262" s="151">
        <v>0.44</v>
      </c>
      <c r="J262" s="152">
        <v>0.8</v>
      </c>
      <c r="K262" s="153" t="s">
        <v>1502</v>
      </c>
    </row>
    <row r="263" spans="2:11">
      <c r="B263" s="148" t="s">
        <v>1208</v>
      </c>
      <c r="C263" s="149" t="s">
        <v>1209</v>
      </c>
      <c r="D263" s="150">
        <v>1.2E-4</v>
      </c>
      <c r="E263" s="151">
        <v>7.0000000000000001E-3</v>
      </c>
      <c r="F263" s="150">
        <v>3.0999999999999999E-3</v>
      </c>
      <c r="G263" s="151">
        <v>3.1E-2</v>
      </c>
      <c r="H263" s="150">
        <v>1.4E-3</v>
      </c>
      <c r="I263" s="151">
        <v>3.1E-2</v>
      </c>
      <c r="J263" s="152">
        <v>30</v>
      </c>
      <c r="K263" s="153" t="s">
        <v>1502</v>
      </c>
    </row>
    <row r="264" spans="2:11">
      <c r="B264" s="148" t="s">
        <v>1210</v>
      </c>
      <c r="C264" s="149" t="s">
        <v>1211</v>
      </c>
      <c r="D264" s="150" t="s">
        <v>1503</v>
      </c>
      <c r="E264" s="151">
        <v>200</v>
      </c>
      <c r="F264" s="150" t="s">
        <v>1503</v>
      </c>
      <c r="G264" s="151">
        <v>880</v>
      </c>
      <c r="H264" s="150" t="s">
        <v>1503</v>
      </c>
      <c r="I264" s="151">
        <v>880</v>
      </c>
      <c r="J264" s="152">
        <v>200</v>
      </c>
      <c r="K264" s="153" t="s">
        <v>1502</v>
      </c>
    </row>
    <row r="265" spans="2:11">
      <c r="B265" s="148" t="s">
        <v>1212</v>
      </c>
      <c r="C265" s="149" t="s">
        <v>1213</v>
      </c>
      <c r="D265" s="150" t="s">
        <v>1503</v>
      </c>
      <c r="E265" s="151">
        <v>3</v>
      </c>
      <c r="F265" s="150" t="s">
        <v>1503</v>
      </c>
      <c r="G265" s="151">
        <v>13</v>
      </c>
      <c r="H265" s="150" t="s">
        <v>1503</v>
      </c>
      <c r="I265" s="151">
        <v>13</v>
      </c>
      <c r="J265" s="152" t="s">
        <v>1503</v>
      </c>
      <c r="K265" s="153" t="s">
        <v>1504</v>
      </c>
    </row>
    <row r="266" spans="2:11">
      <c r="B266" s="148" t="s">
        <v>1214</v>
      </c>
      <c r="C266" s="149" t="s">
        <v>1215</v>
      </c>
      <c r="D266" s="150">
        <v>0.11</v>
      </c>
      <c r="E266" s="151">
        <v>100</v>
      </c>
      <c r="F266" s="150">
        <v>0.22</v>
      </c>
      <c r="G266" s="151">
        <v>440</v>
      </c>
      <c r="H266" s="150">
        <v>2.7</v>
      </c>
      <c r="I266" s="151">
        <v>440</v>
      </c>
      <c r="J266" s="152">
        <v>1300</v>
      </c>
      <c r="K266" s="153" t="s">
        <v>1502</v>
      </c>
    </row>
    <row r="267" spans="2:11">
      <c r="B267" s="148" t="s">
        <v>1220</v>
      </c>
      <c r="C267" s="149" t="s">
        <v>1221</v>
      </c>
      <c r="D267" s="150" t="s">
        <v>1503</v>
      </c>
      <c r="E267" s="151">
        <v>200</v>
      </c>
      <c r="F267" s="150" t="s">
        <v>1503</v>
      </c>
      <c r="G267" s="151">
        <v>880</v>
      </c>
      <c r="H267" s="150" t="s">
        <v>1503</v>
      </c>
      <c r="I267" s="151">
        <v>880</v>
      </c>
      <c r="J267" s="152">
        <v>200</v>
      </c>
      <c r="K267" s="153" t="s">
        <v>1502</v>
      </c>
    </row>
    <row r="268" spans="2:11">
      <c r="B268" s="148" t="s">
        <v>1222</v>
      </c>
      <c r="C268" s="149" t="s">
        <v>1223</v>
      </c>
      <c r="D268" s="150" t="s">
        <v>1503</v>
      </c>
      <c r="E268" s="151">
        <v>220</v>
      </c>
      <c r="F268" s="150" t="s">
        <v>1503</v>
      </c>
      <c r="G268" s="151">
        <v>970</v>
      </c>
      <c r="H268" s="150" t="s">
        <v>1503</v>
      </c>
      <c r="I268" s="151">
        <v>970</v>
      </c>
      <c r="J268" s="152">
        <v>8700</v>
      </c>
      <c r="K268" s="153" t="s">
        <v>1502</v>
      </c>
    </row>
  </sheetData>
  <autoFilter ref="A7:K268" xr:uid="{00000000-0009-0000-0000-000011000000}"/>
  <mergeCells count="8">
    <mergeCell ref="B2:K2"/>
    <mergeCell ref="B4:B7"/>
    <mergeCell ref="C4:C7"/>
    <mergeCell ref="D4:J4"/>
    <mergeCell ref="K4:K7"/>
    <mergeCell ref="D5:E5"/>
    <mergeCell ref="F5:I5"/>
    <mergeCell ref="J5:J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FABF-E51F-3F44-A98F-E99F9160C29B}">
  <sheetPr codeName="Sheet8"/>
  <dimension ref="A1:Z267"/>
  <sheetViews>
    <sheetView workbookViewId="0"/>
  </sheetViews>
  <sheetFormatPr defaultColWidth="7.296875" defaultRowHeight="13.2"/>
  <cols>
    <col min="1" max="1" width="11.69921875" style="57" customWidth="1"/>
    <col min="2" max="2" width="21.19921875" style="57" customWidth="1"/>
    <col min="3" max="3" width="6.69921875" style="57" customWidth="1"/>
    <col min="4" max="7" width="8.69921875" style="57" customWidth="1"/>
    <col min="8" max="10" width="7.796875" style="57" customWidth="1"/>
    <col min="11" max="14" width="7.296875" style="57"/>
    <col min="15" max="15" width="9.5" style="57" bestFit="1" customWidth="1"/>
    <col min="16" max="16" width="27" style="57" bestFit="1" customWidth="1"/>
    <col min="17" max="18" width="7.296875" style="57"/>
    <col min="19" max="26" width="11.296875" style="58" customWidth="1"/>
    <col min="27" max="16384" width="7.296875" style="57"/>
  </cols>
  <sheetData>
    <row r="1" spans="1:26" ht="16.95" customHeight="1">
      <c r="A1" s="56" t="s">
        <v>1355</v>
      </c>
    </row>
    <row r="2" spans="1:26" ht="16.95" customHeight="1">
      <c r="A2" s="56" t="s">
        <v>1356</v>
      </c>
    </row>
    <row r="3" spans="1:26" ht="79.05" customHeight="1">
      <c r="A3" s="418" t="s">
        <v>1357</v>
      </c>
      <c r="B3" s="419"/>
      <c r="C3" s="419"/>
      <c r="D3" s="419"/>
      <c r="E3" s="419"/>
      <c r="F3" s="419"/>
      <c r="G3" s="419"/>
      <c r="H3" s="419"/>
      <c r="I3" s="419"/>
      <c r="J3" s="420"/>
    </row>
    <row r="4" spans="1:26" ht="16.95" customHeight="1">
      <c r="A4" s="59"/>
      <c r="B4" s="59"/>
      <c r="C4" s="59"/>
      <c r="D4" s="421" t="s">
        <v>1358</v>
      </c>
      <c r="E4" s="422"/>
      <c r="F4" s="423" t="s">
        <v>1359</v>
      </c>
      <c r="G4" s="424"/>
      <c r="H4" s="424"/>
      <c r="I4" s="425"/>
      <c r="J4" s="60" t="s">
        <v>1360</v>
      </c>
    </row>
    <row r="5" spans="1:26" ht="37.049999999999997" customHeight="1">
      <c r="A5" s="59"/>
      <c r="B5" s="59"/>
      <c r="C5" s="59"/>
      <c r="D5" s="61" t="s">
        <v>1361</v>
      </c>
      <c r="E5" s="60" t="s">
        <v>1362</v>
      </c>
      <c r="F5" s="60" t="s">
        <v>1363</v>
      </c>
      <c r="G5" s="60" t="s">
        <v>1364</v>
      </c>
      <c r="H5" s="60" t="s">
        <v>1365</v>
      </c>
      <c r="I5" s="60" t="s">
        <v>1366</v>
      </c>
      <c r="J5" s="60" t="s">
        <v>1362</v>
      </c>
    </row>
    <row r="6" spans="1:26" ht="16.95" customHeight="1">
      <c r="A6" s="62" t="s">
        <v>1367</v>
      </c>
      <c r="B6" s="60" t="s">
        <v>1368</v>
      </c>
      <c r="C6" s="60" t="s">
        <v>1369</v>
      </c>
      <c r="D6" s="63" t="s">
        <v>1370</v>
      </c>
      <c r="E6" s="64" t="s">
        <v>1370</v>
      </c>
      <c r="F6" s="64" t="s">
        <v>1370</v>
      </c>
      <c r="G6" s="65" t="s">
        <v>1370</v>
      </c>
      <c r="H6" s="64" t="s">
        <v>1370</v>
      </c>
      <c r="I6" s="65" t="s">
        <v>1370</v>
      </c>
      <c r="J6" s="64" t="s">
        <v>1370</v>
      </c>
    </row>
    <row r="7" spans="1:26" ht="16.05" customHeight="1">
      <c r="A7" s="66" t="s">
        <v>40</v>
      </c>
      <c r="B7" s="67" t="s">
        <v>41</v>
      </c>
      <c r="C7" s="68"/>
      <c r="D7" s="69">
        <v>0.45</v>
      </c>
      <c r="E7" s="70">
        <v>140</v>
      </c>
      <c r="F7" s="71">
        <v>12</v>
      </c>
      <c r="G7" s="71">
        <v>620</v>
      </c>
      <c r="H7" s="70">
        <v>5.5</v>
      </c>
      <c r="I7" s="71">
        <v>620</v>
      </c>
      <c r="J7" s="71">
        <v>470</v>
      </c>
      <c r="K7" s="72">
        <v>1</v>
      </c>
      <c r="V7" s="57"/>
    </row>
    <row r="8" spans="1:26" ht="16.05" customHeight="1">
      <c r="A8" s="66" t="s">
        <v>43</v>
      </c>
      <c r="B8" s="67" t="s">
        <v>44</v>
      </c>
      <c r="C8" s="68"/>
      <c r="D8" s="73">
        <v>0.05</v>
      </c>
      <c r="E8" s="68"/>
      <c r="F8" s="70">
        <v>1.3</v>
      </c>
      <c r="G8" s="68"/>
      <c r="H8" s="69">
        <v>0.6</v>
      </c>
      <c r="I8" s="68"/>
      <c r="J8" s="68"/>
      <c r="K8" s="72">
        <v>2</v>
      </c>
    </row>
    <row r="9" spans="1:26" ht="16.05" customHeight="1">
      <c r="A9" s="66" t="s">
        <v>46</v>
      </c>
      <c r="B9" s="67" t="s">
        <v>47</v>
      </c>
      <c r="C9" s="68"/>
      <c r="D9" s="68"/>
      <c r="E9" s="74">
        <v>31000</v>
      </c>
      <c r="F9" s="68"/>
      <c r="G9" s="74">
        <v>140000</v>
      </c>
      <c r="H9" s="68"/>
      <c r="I9" s="74">
        <v>140000</v>
      </c>
      <c r="J9" s="74">
        <v>62000</v>
      </c>
      <c r="K9" s="72">
        <v>3</v>
      </c>
    </row>
    <row r="10" spans="1:26" ht="16.05" customHeight="1">
      <c r="A10" s="75" t="s">
        <v>49</v>
      </c>
      <c r="B10" s="67" t="s">
        <v>50</v>
      </c>
      <c r="C10" s="68"/>
      <c r="D10" s="68"/>
      <c r="E10" s="71">
        <v>60</v>
      </c>
      <c r="F10" s="68"/>
      <c r="G10" s="71">
        <v>260</v>
      </c>
      <c r="H10" s="68"/>
      <c r="I10" s="71">
        <v>260</v>
      </c>
      <c r="J10" s="68"/>
      <c r="K10" s="72">
        <v>4</v>
      </c>
    </row>
    <row r="11" spans="1:26" ht="16.05" customHeight="1">
      <c r="A11" s="66" t="s">
        <v>55</v>
      </c>
      <c r="B11" s="67" t="s">
        <v>56</v>
      </c>
      <c r="C11" s="68"/>
      <c r="D11" s="68"/>
      <c r="E11" s="69">
        <v>0.35</v>
      </c>
      <c r="F11" s="68"/>
      <c r="G11" s="70">
        <v>1.5</v>
      </c>
      <c r="H11" s="68"/>
      <c r="I11" s="70">
        <v>1.5</v>
      </c>
      <c r="J11" s="70">
        <v>6.9</v>
      </c>
      <c r="K11" s="72">
        <v>5</v>
      </c>
    </row>
    <row r="12" spans="1:26" ht="16.05" customHeight="1">
      <c r="A12" s="75" t="s">
        <v>58</v>
      </c>
      <c r="B12" s="67" t="s">
        <v>59</v>
      </c>
      <c r="C12" s="68" t="s">
        <v>1371</v>
      </c>
      <c r="D12" s="76">
        <v>5.8999999999999999E-3</v>
      </c>
      <c r="E12" s="70">
        <v>6</v>
      </c>
      <c r="F12" s="69">
        <v>6.2E-2</v>
      </c>
      <c r="G12" s="71">
        <v>26</v>
      </c>
      <c r="H12" s="69">
        <v>0.12</v>
      </c>
      <c r="I12" s="71">
        <v>26</v>
      </c>
      <c r="J12" s="68" t="s">
        <v>223</v>
      </c>
      <c r="K12" s="72">
        <v>6</v>
      </c>
    </row>
    <row r="13" spans="1:26" ht="16.05" customHeight="1">
      <c r="A13" s="75" t="s">
        <v>61</v>
      </c>
      <c r="B13" s="67" t="s">
        <v>62</v>
      </c>
      <c r="C13" s="68"/>
      <c r="D13" s="68"/>
      <c r="E13" s="70">
        <v>1</v>
      </c>
      <c r="F13" s="68" t="s">
        <v>223</v>
      </c>
      <c r="G13" s="70">
        <v>4.4000000000000004</v>
      </c>
      <c r="H13" s="68" t="s">
        <v>223</v>
      </c>
      <c r="I13" s="70">
        <v>4.4000000000000004</v>
      </c>
      <c r="J13" s="74">
        <v>6000</v>
      </c>
      <c r="K13" s="72">
        <v>7</v>
      </c>
    </row>
    <row r="14" spans="1:26" ht="16.05" customHeight="1">
      <c r="A14" s="66" t="s">
        <v>64</v>
      </c>
      <c r="B14" s="67" t="s">
        <v>65</v>
      </c>
      <c r="C14" s="68"/>
      <c r="D14" s="73">
        <v>1.4999999999999999E-2</v>
      </c>
      <c r="E14" s="70">
        <v>5</v>
      </c>
      <c r="F14" s="69">
        <v>0.38</v>
      </c>
      <c r="G14" s="70">
        <v>22</v>
      </c>
      <c r="H14" s="69">
        <v>0.18</v>
      </c>
      <c r="I14" s="70">
        <v>22</v>
      </c>
      <c r="J14" s="71">
        <v>220</v>
      </c>
      <c r="K14" s="72">
        <v>8</v>
      </c>
      <c r="S14" s="77"/>
      <c r="T14" s="77"/>
      <c r="U14" s="77"/>
      <c r="V14" s="77"/>
      <c r="W14" s="77"/>
      <c r="X14" s="57"/>
      <c r="Y14" s="57"/>
      <c r="Z14" s="57"/>
    </row>
    <row r="15" spans="1:26" ht="16.05" customHeight="1">
      <c r="A15" s="66" t="s">
        <v>74</v>
      </c>
      <c r="B15" s="67" t="s">
        <v>75</v>
      </c>
      <c r="C15" s="68"/>
      <c r="D15" s="78">
        <v>2.0000000000000001E-4</v>
      </c>
      <c r="E15" s="68"/>
      <c r="F15" s="76">
        <v>5.3E-3</v>
      </c>
      <c r="G15" s="68"/>
      <c r="H15" s="76">
        <v>2.3999999999999998E-3</v>
      </c>
      <c r="I15" s="68"/>
      <c r="J15" s="68"/>
      <c r="K15" s="72">
        <v>9</v>
      </c>
      <c r="S15" s="57"/>
      <c r="T15" s="57"/>
      <c r="U15" s="57"/>
      <c r="V15" s="57"/>
      <c r="W15" s="57"/>
      <c r="X15" s="57"/>
      <c r="Y15" s="57"/>
      <c r="Z15" s="57"/>
    </row>
    <row r="16" spans="1:26" ht="16.05" customHeight="1">
      <c r="A16" s="66" t="s">
        <v>77</v>
      </c>
      <c r="B16" s="67" t="s">
        <v>78</v>
      </c>
      <c r="C16" s="68"/>
      <c r="D16" s="69">
        <v>0.17</v>
      </c>
      <c r="E16" s="70">
        <v>1</v>
      </c>
      <c r="F16" s="70">
        <v>4.3</v>
      </c>
      <c r="G16" s="70">
        <v>4.4000000000000004</v>
      </c>
      <c r="H16" s="70">
        <v>2</v>
      </c>
      <c r="I16" s="70">
        <v>4.4000000000000004</v>
      </c>
      <c r="J16" s="68" t="s">
        <v>223</v>
      </c>
      <c r="K16" s="72">
        <v>10</v>
      </c>
      <c r="S16" s="57"/>
      <c r="T16" s="57"/>
      <c r="U16" s="57"/>
      <c r="V16" s="57"/>
      <c r="W16" s="57"/>
      <c r="X16" s="57"/>
      <c r="Y16" s="57"/>
      <c r="Z16" s="57"/>
    </row>
    <row r="17" spans="1:26" ht="16.05" customHeight="1">
      <c r="A17" s="66" t="s">
        <v>80</v>
      </c>
      <c r="B17" s="67" t="s">
        <v>81</v>
      </c>
      <c r="C17" s="68" t="s">
        <v>1372</v>
      </c>
      <c r="D17" s="68"/>
      <c r="E17" s="70">
        <v>5</v>
      </c>
      <c r="F17" s="68"/>
      <c r="G17" s="71">
        <v>22</v>
      </c>
      <c r="H17" s="68"/>
      <c r="I17" s="71">
        <v>22</v>
      </c>
      <c r="J17" s="68"/>
      <c r="K17" s="72">
        <v>11</v>
      </c>
      <c r="S17" s="57"/>
      <c r="T17" s="57"/>
      <c r="U17" s="57"/>
      <c r="V17" s="57"/>
      <c r="W17" s="57"/>
      <c r="X17" s="57"/>
      <c r="Y17" s="57"/>
      <c r="Z17" s="57"/>
    </row>
    <row r="18" spans="1:26" ht="16.05" customHeight="1">
      <c r="A18" s="66" t="s">
        <v>109</v>
      </c>
      <c r="B18" s="67" t="s">
        <v>110</v>
      </c>
      <c r="C18" s="68"/>
      <c r="D18" s="68"/>
      <c r="E18" s="71">
        <v>500</v>
      </c>
      <c r="F18" s="68"/>
      <c r="G18" s="74">
        <v>2200</v>
      </c>
      <c r="H18" s="68"/>
      <c r="I18" s="74">
        <v>2200</v>
      </c>
      <c r="J18" s="74">
        <v>1200</v>
      </c>
      <c r="K18" s="72">
        <v>12</v>
      </c>
      <c r="S18" s="57"/>
      <c r="T18" s="57"/>
      <c r="U18" s="57"/>
      <c r="V18" s="57"/>
      <c r="W18" s="57"/>
      <c r="X18" s="57"/>
      <c r="Y18" s="57"/>
      <c r="Z18" s="57"/>
    </row>
    <row r="19" spans="1:26" ht="16.05" customHeight="1">
      <c r="A19" s="66" t="s">
        <v>117</v>
      </c>
      <c r="B19" s="67" t="s">
        <v>118</v>
      </c>
      <c r="C19" s="68"/>
      <c r="D19" s="69">
        <v>0.63</v>
      </c>
      <c r="E19" s="70">
        <v>1</v>
      </c>
      <c r="F19" s="71">
        <v>16</v>
      </c>
      <c r="G19" s="70">
        <v>4.4000000000000004</v>
      </c>
      <c r="H19" s="70">
        <v>7.5</v>
      </c>
      <c r="I19" s="70">
        <v>4.4000000000000004</v>
      </c>
      <c r="J19" s="68" t="s">
        <v>223</v>
      </c>
      <c r="K19" s="72">
        <v>13</v>
      </c>
      <c r="S19" s="57"/>
      <c r="T19" s="57"/>
      <c r="U19" s="57"/>
      <c r="V19" s="57"/>
      <c r="W19" s="57"/>
      <c r="X19" s="57"/>
      <c r="Y19" s="57"/>
      <c r="Z19" s="57"/>
    </row>
    <row r="20" spans="1:26" ht="16.05" customHeight="1">
      <c r="A20" s="79" t="s">
        <v>123</v>
      </c>
      <c r="B20" s="80" t="s">
        <v>124</v>
      </c>
      <c r="C20" s="81"/>
      <c r="D20" s="81"/>
      <c r="E20" s="82">
        <v>0.3</v>
      </c>
      <c r="F20" s="81" t="s">
        <v>223</v>
      </c>
      <c r="G20" s="82">
        <v>1.3</v>
      </c>
      <c r="H20" s="81" t="s">
        <v>223</v>
      </c>
      <c r="I20" s="82">
        <v>1.3</v>
      </c>
      <c r="J20" s="81" t="s">
        <v>223</v>
      </c>
      <c r="K20" s="72">
        <v>14</v>
      </c>
      <c r="S20" s="57"/>
      <c r="T20" s="57"/>
      <c r="U20" s="57"/>
      <c r="V20" s="57"/>
      <c r="W20" s="57"/>
      <c r="X20" s="57"/>
      <c r="Y20" s="57"/>
      <c r="Z20" s="57"/>
    </row>
    <row r="21" spans="1:26" ht="16.05" customHeight="1">
      <c r="A21" s="66" t="s">
        <v>127</v>
      </c>
      <c r="B21" s="67" t="s">
        <v>128</v>
      </c>
      <c r="C21" s="68"/>
      <c r="D21" s="69">
        <v>0.14000000000000001</v>
      </c>
      <c r="E21" s="68" t="s">
        <v>223</v>
      </c>
      <c r="F21" s="70">
        <v>3.7</v>
      </c>
      <c r="G21" s="68" t="s">
        <v>223</v>
      </c>
      <c r="H21" s="70">
        <v>1.7</v>
      </c>
      <c r="I21" s="68" t="s">
        <v>223</v>
      </c>
      <c r="J21" s="68" t="s">
        <v>223</v>
      </c>
      <c r="K21" s="72">
        <v>15</v>
      </c>
      <c r="S21" s="57"/>
      <c r="T21" s="57"/>
      <c r="U21" s="57"/>
      <c r="V21" s="57"/>
      <c r="W21" s="57"/>
      <c r="X21" s="57"/>
      <c r="Y21" s="57"/>
      <c r="Z21" s="57"/>
    </row>
    <row r="22" spans="1:26" ht="16.05" customHeight="1">
      <c r="A22" s="66" t="s">
        <v>129</v>
      </c>
      <c r="B22" s="67" t="s">
        <v>130</v>
      </c>
      <c r="C22" s="66" t="s">
        <v>1372</v>
      </c>
      <c r="D22" s="83">
        <v>2.3975065931431311E-5</v>
      </c>
      <c r="E22" s="78">
        <v>1.7000000000000001E-4</v>
      </c>
      <c r="F22" s="76">
        <v>1.2999999999999999E-3</v>
      </c>
      <c r="G22" s="76">
        <v>2.3999999999999998E-3</v>
      </c>
      <c r="H22" s="78">
        <v>6.2E-4</v>
      </c>
      <c r="I22" s="76">
        <v>2.3999999999999998E-3</v>
      </c>
      <c r="J22" s="69">
        <v>0.2</v>
      </c>
      <c r="K22" s="72">
        <v>16</v>
      </c>
      <c r="S22" s="57"/>
      <c r="T22" s="57"/>
      <c r="U22" s="57"/>
      <c r="V22" s="57"/>
      <c r="W22" s="57"/>
      <c r="X22" s="57"/>
      <c r="Y22" s="57"/>
      <c r="Z22" s="57"/>
    </row>
    <row r="23" spans="1:26" ht="16.05" customHeight="1">
      <c r="A23" s="66" t="s">
        <v>131</v>
      </c>
      <c r="B23" s="67" t="s">
        <v>132</v>
      </c>
      <c r="C23" s="68"/>
      <c r="D23" s="68"/>
      <c r="E23" s="73">
        <v>1.4999999999999999E-2</v>
      </c>
      <c r="F23" s="68" t="s">
        <v>223</v>
      </c>
      <c r="G23" s="73">
        <v>6.6000000000000003E-2</v>
      </c>
      <c r="H23" s="68" t="s">
        <v>223</v>
      </c>
      <c r="I23" s="73">
        <v>6.6000000000000003E-2</v>
      </c>
      <c r="J23" s="69">
        <v>0.2</v>
      </c>
      <c r="K23" s="72">
        <v>17</v>
      </c>
      <c r="S23" s="57"/>
      <c r="T23" s="57"/>
      <c r="U23" s="57"/>
      <c r="V23" s="57"/>
      <c r="W23" s="57"/>
      <c r="X23" s="57"/>
      <c r="Y23" s="57"/>
      <c r="Z23" s="57"/>
    </row>
    <row r="24" spans="1:26" ht="27" customHeight="1">
      <c r="A24" s="66" t="s">
        <v>133</v>
      </c>
      <c r="B24" s="84" t="s">
        <v>134</v>
      </c>
      <c r="C24" s="66" t="s">
        <v>1373</v>
      </c>
      <c r="D24" s="85">
        <v>4.3478260869565214E-6</v>
      </c>
      <c r="E24" s="68" t="s">
        <v>223</v>
      </c>
      <c r="F24" s="78">
        <v>1.1E-4</v>
      </c>
      <c r="G24" s="68" t="s">
        <v>223</v>
      </c>
      <c r="H24" s="66">
        <v>5.2173913043478256E-5</v>
      </c>
      <c r="I24" s="68" t="s">
        <v>223</v>
      </c>
      <c r="J24" s="68" t="s">
        <v>223</v>
      </c>
      <c r="K24" s="72">
        <v>18</v>
      </c>
      <c r="S24" s="57"/>
      <c r="T24" s="57"/>
      <c r="U24" s="57"/>
      <c r="V24" s="57"/>
      <c r="W24" s="57"/>
      <c r="X24" s="57"/>
      <c r="Y24" s="57"/>
      <c r="Z24" s="57"/>
    </row>
    <row r="25" spans="1:26" ht="16.05" customHeight="1">
      <c r="A25" s="66" t="s">
        <v>143</v>
      </c>
      <c r="B25" s="67" t="s">
        <v>144</v>
      </c>
      <c r="C25" s="68"/>
      <c r="D25" s="73">
        <v>3.2000000000000001E-2</v>
      </c>
      <c r="E25" s="68" t="s">
        <v>223</v>
      </c>
      <c r="F25" s="69">
        <v>0.84</v>
      </c>
      <c r="G25" s="68" t="s">
        <v>223</v>
      </c>
      <c r="H25" s="69">
        <v>0.39</v>
      </c>
      <c r="I25" s="68" t="s">
        <v>223</v>
      </c>
      <c r="J25" s="68" t="s">
        <v>223</v>
      </c>
      <c r="K25" s="72">
        <v>19</v>
      </c>
      <c r="S25" s="57"/>
      <c r="T25" s="57"/>
      <c r="U25" s="57"/>
      <c r="V25" s="57"/>
      <c r="W25" s="57"/>
      <c r="X25" s="57"/>
      <c r="Y25" s="57"/>
      <c r="Z25" s="57"/>
    </row>
    <row r="26" spans="1:26" ht="16.05" customHeight="1">
      <c r="A26" s="66" t="s">
        <v>147</v>
      </c>
      <c r="B26" s="67" t="s">
        <v>148</v>
      </c>
      <c r="C26" s="68"/>
      <c r="D26" s="69">
        <v>0.13</v>
      </c>
      <c r="E26" s="71">
        <v>3</v>
      </c>
      <c r="F26" s="70">
        <v>3.3</v>
      </c>
      <c r="G26" s="71">
        <v>13</v>
      </c>
      <c r="H26" s="70">
        <v>1.5</v>
      </c>
      <c r="I26" s="71">
        <v>13</v>
      </c>
      <c r="J26" s="71">
        <v>29</v>
      </c>
      <c r="K26" s="72">
        <v>20</v>
      </c>
      <c r="S26" s="57"/>
      <c r="T26" s="57"/>
      <c r="U26" s="57"/>
      <c r="V26" s="57"/>
      <c r="W26" s="57"/>
      <c r="X26" s="57"/>
      <c r="Y26" s="57"/>
      <c r="Z26" s="57"/>
    </row>
    <row r="27" spans="1:26" ht="16.05" customHeight="1">
      <c r="A27" s="66" t="s">
        <v>149</v>
      </c>
      <c r="B27" s="67" t="s">
        <v>150</v>
      </c>
      <c r="C27" s="68" t="s">
        <v>1371</v>
      </c>
      <c r="D27" s="86">
        <v>4.2016806722689068E-6</v>
      </c>
      <c r="E27" s="68" t="s">
        <v>223</v>
      </c>
      <c r="F27" s="86">
        <v>4.3999999999999999E-5</v>
      </c>
      <c r="G27" s="68" t="s">
        <v>223</v>
      </c>
      <c r="H27" s="85">
        <v>8.6000000000000003E-5</v>
      </c>
      <c r="I27" s="68" t="s">
        <v>223</v>
      </c>
      <c r="J27" s="68" t="s">
        <v>223</v>
      </c>
      <c r="K27" s="72">
        <v>21</v>
      </c>
      <c r="S27" s="77"/>
      <c r="T27" s="77"/>
      <c r="U27" s="77"/>
      <c r="V27" s="77"/>
      <c r="W27" s="77"/>
      <c r="X27" s="57"/>
      <c r="Y27" s="57"/>
      <c r="Z27" s="57"/>
    </row>
    <row r="28" spans="1:26" ht="16.05" customHeight="1">
      <c r="A28" s="66" t="s">
        <v>159</v>
      </c>
      <c r="B28" s="67" t="s">
        <v>160</v>
      </c>
      <c r="C28" s="68"/>
      <c r="D28" s="73">
        <v>0.02</v>
      </c>
      <c r="E28" s="70">
        <v>1</v>
      </c>
      <c r="F28" s="69">
        <v>0.53</v>
      </c>
      <c r="G28" s="70">
        <v>4.4000000000000004</v>
      </c>
      <c r="H28" s="69">
        <v>0.24</v>
      </c>
      <c r="I28" s="70">
        <v>4.4000000000000004</v>
      </c>
      <c r="J28" s="71">
        <v>240</v>
      </c>
      <c r="K28" s="72">
        <v>22</v>
      </c>
      <c r="S28" s="57"/>
      <c r="T28" s="57"/>
      <c r="U28" s="57"/>
      <c r="V28" s="57"/>
      <c r="W28" s="57"/>
      <c r="X28" s="57"/>
      <c r="Y28" s="57"/>
      <c r="Z28" s="57"/>
    </row>
    <row r="29" spans="1:26" ht="16.05" customHeight="1">
      <c r="A29" s="66" t="s">
        <v>163</v>
      </c>
      <c r="B29" s="67" t="s">
        <v>164</v>
      </c>
      <c r="C29" s="68" t="s">
        <v>1372</v>
      </c>
      <c r="D29" s="78">
        <v>4.2000000000000002E-4</v>
      </c>
      <c r="E29" s="73">
        <v>7.0000000000000001E-3</v>
      </c>
      <c r="F29" s="73">
        <v>1.0999999999999999E-2</v>
      </c>
      <c r="G29" s="73">
        <v>3.1E-2</v>
      </c>
      <c r="H29" s="76">
        <v>5.0000000000000001E-3</v>
      </c>
      <c r="I29" s="73">
        <v>3.1E-2</v>
      </c>
      <c r="J29" s="73">
        <v>0.02</v>
      </c>
      <c r="K29" s="72">
        <v>23</v>
      </c>
      <c r="S29" s="57"/>
      <c r="T29" s="57"/>
      <c r="U29" s="57"/>
      <c r="V29" s="57"/>
      <c r="W29" s="57"/>
      <c r="X29" s="57"/>
      <c r="Y29" s="57"/>
      <c r="Z29" s="57"/>
    </row>
    <row r="30" spans="1:26">
      <c r="A30" s="66" t="s">
        <v>171</v>
      </c>
      <c r="B30" s="67" t="s">
        <v>172</v>
      </c>
      <c r="C30" s="68"/>
      <c r="D30" s="76">
        <v>1.4E-3</v>
      </c>
      <c r="E30" s="68" t="s">
        <v>223</v>
      </c>
      <c r="F30" s="73">
        <v>3.6999999999999998E-2</v>
      </c>
      <c r="G30" s="68" t="s">
        <v>223</v>
      </c>
      <c r="H30" s="73">
        <v>1.7000000000000001E-2</v>
      </c>
      <c r="I30" s="68" t="s">
        <v>223</v>
      </c>
      <c r="J30" s="71">
        <v>120</v>
      </c>
      <c r="K30" s="72">
        <v>24</v>
      </c>
      <c r="S30" s="57"/>
      <c r="T30" s="57"/>
      <c r="U30" s="57"/>
      <c r="V30" s="57"/>
      <c r="W30" s="57"/>
      <c r="X30" s="57"/>
      <c r="Y30" s="57"/>
      <c r="Z30" s="57"/>
    </row>
    <row r="31" spans="1:26" ht="16.05" customHeight="1">
      <c r="A31" s="66" t="s">
        <v>173</v>
      </c>
      <c r="B31" s="87" t="s">
        <v>174</v>
      </c>
      <c r="C31" s="68"/>
      <c r="D31" s="83">
        <v>7.6923076923076926E-5</v>
      </c>
      <c r="E31" s="68" t="s">
        <v>223</v>
      </c>
      <c r="F31" s="78">
        <v>2E-3</v>
      </c>
      <c r="G31" s="68" t="s">
        <v>223</v>
      </c>
      <c r="H31" s="78">
        <v>9.2000000000000003E-4</v>
      </c>
      <c r="I31" s="68" t="s">
        <v>223</v>
      </c>
      <c r="J31" s="70">
        <v>1.4</v>
      </c>
      <c r="K31" s="72">
        <v>25</v>
      </c>
      <c r="S31" s="57"/>
      <c r="T31" s="57"/>
      <c r="U31" s="57"/>
      <c r="V31" s="57"/>
      <c r="W31" s="57"/>
      <c r="X31" s="57"/>
      <c r="Y31" s="57"/>
      <c r="Z31" s="57"/>
    </row>
    <row r="32" spans="1:26" ht="27" customHeight="1">
      <c r="A32" s="66" t="s">
        <v>177</v>
      </c>
      <c r="B32" s="87" t="s">
        <v>178</v>
      </c>
      <c r="C32" s="66" t="s">
        <v>1374</v>
      </c>
      <c r="D32" s="73">
        <v>0.08</v>
      </c>
      <c r="E32" s="68" t="s">
        <v>223</v>
      </c>
      <c r="F32" s="71">
        <v>11</v>
      </c>
      <c r="G32" s="68" t="s">
        <v>223</v>
      </c>
      <c r="H32" s="70">
        <v>5</v>
      </c>
      <c r="I32" s="68" t="s">
        <v>223</v>
      </c>
      <c r="J32" s="68" t="s">
        <v>223</v>
      </c>
      <c r="K32" s="72">
        <v>26</v>
      </c>
      <c r="S32" s="57"/>
      <c r="T32" s="57"/>
      <c r="U32" s="57"/>
      <c r="V32" s="57"/>
      <c r="W32" s="57"/>
      <c r="X32" s="57"/>
      <c r="Y32" s="57"/>
      <c r="Z32" s="57"/>
    </row>
    <row r="33" spans="1:26" ht="16.05" customHeight="1">
      <c r="A33" s="66" t="s">
        <v>185</v>
      </c>
      <c r="B33" s="67" t="s">
        <v>186</v>
      </c>
      <c r="C33" s="68"/>
      <c r="D33" s="69">
        <v>0.91</v>
      </c>
      <c r="E33" s="68" t="s">
        <v>223</v>
      </c>
      <c r="F33" s="71">
        <v>24</v>
      </c>
      <c r="G33" s="68" t="s">
        <v>223</v>
      </c>
      <c r="H33" s="71">
        <v>11</v>
      </c>
      <c r="I33" s="68" t="s">
        <v>223</v>
      </c>
      <c r="J33" s="68" t="s">
        <v>223</v>
      </c>
      <c r="K33" s="72">
        <v>27</v>
      </c>
      <c r="S33" s="57"/>
      <c r="T33" s="57"/>
      <c r="U33" s="57"/>
      <c r="V33" s="57"/>
      <c r="W33" s="57"/>
      <c r="X33" s="57"/>
      <c r="Y33" s="57"/>
      <c r="Z33" s="57"/>
    </row>
    <row r="34" spans="1:26" ht="27" customHeight="1">
      <c r="A34" s="66" t="s">
        <v>187</v>
      </c>
      <c r="B34" s="67" t="s">
        <v>188</v>
      </c>
      <c r="C34" s="68"/>
      <c r="D34" s="68"/>
      <c r="E34" s="70">
        <v>5</v>
      </c>
      <c r="F34" s="68" t="s">
        <v>223</v>
      </c>
      <c r="G34" s="71">
        <v>22</v>
      </c>
      <c r="H34" s="68" t="s">
        <v>223</v>
      </c>
      <c r="I34" s="71">
        <v>22</v>
      </c>
      <c r="J34" s="88">
        <v>3900</v>
      </c>
      <c r="K34" s="72">
        <v>28</v>
      </c>
      <c r="S34" s="57"/>
      <c r="T34" s="57"/>
      <c r="U34" s="57"/>
      <c r="V34" s="57"/>
      <c r="W34" s="57"/>
      <c r="X34" s="57"/>
      <c r="Y34" s="57"/>
      <c r="Z34" s="57"/>
    </row>
    <row r="35" spans="1:26" ht="27" customHeight="1">
      <c r="A35" s="66" t="s">
        <v>189</v>
      </c>
      <c r="B35" s="87" t="s">
        <v>190</v>
      </c>
      <c r="C35" s="68"/>
      <c r="D35" s="69">
        <v>0.48</v>
      </c>
      <c r="E35" s="88">
        <v>33</v>
      </c>
      <c r="F35" s="71">
        <v>12</v>
      </c>
      <c r="G35" s="88">
        <v>150</v>
      </c>
      <c r="H35" s="70">
        <v>5.7</v>
      </c>
      <c r="I35" s="88">
        <v>150</v>
      </c>
      <c r="J35" s="89">
        <v>1700</v>
      </c>
      <c r="K35" s="72">
        <v>29</v>
      </c>
      <c r="S35" s="57"/>
      <c r="T35" s="57"/>
      <c r="U35" s="57"/>
      <c r="V35" s="57"/>
      <c r="W35" s="57"/>
      <c r="X35" s="57"/>
      <c r="Y35" s="57"/>
      <c r="Z35" s="57"/>
    </row>
    <row r="36" spans="1:26" ht="16.05" customHeight="1">
      <c r="A36" s="66" t="s">
        <v>193</v>
      </c>
      <c r="B36" s="67" t="s">
        <v>194</v>
      </c>
      <c r="C36" s="68"/>
      <c r="D36" s="73">
        <v>3.3000000000000002E-2</v>
      </c>
      <c r="E36" s="70">
        <v>2</v>
      </c>
      <c r="F36" s="69">
        <v>0.86</v>
      </c>
      <c r="G36" s="70">
        <v>8.8000000000000007</v>
      </c>
      <c r="H36" s="69">
        <v>0.4</v>
      </c>
      <c r="I36" s="70">
        <v>8.8000000000000007</v>
      </c>
      <c r="J36" s="71">
        <v>660</v>
      </c>
      <c r="K36" s="72">
        <v>30</v>
      </c>
      <c r="S36" s="57"/>
      <c r="T36" s="57"/>
      <c r="U36" s="57"/>
      <c r="V36" s="57"/>
      <c r="W36" s="57"/>
      <c r="X36" s="57"/>
      <c r="Y36" s="57"/>
      <c r="Z36" s="57"/>
    </row>
    <row r="37" spans="1:26" ht="27" customHeight="1">
      <c r="A37" s="66" t="s">
        <v>195</v>
      </c>
      <c r="B37" s="67" t="s">
        <v>196</v>
      </c>
      <c r="C37" s="68"/>
      <c r="D37" s="68"/>
      <c r="E37" s="74">
        <v>5000</v>
      </c>
      <c r="F37" s="68" t="s">
        <v>223</v>
      </c>
      <c r="G37" s="74">
        <v>22000</v>
      </c>
      <c r="H37" s="68" t="s">
        <v>223</v>
      </c>
      <c r="I37" s="74">
        <v>22000</v>
      </c>
      <c r="J37" s="74">
        <v>5000</v>
      </c>
      <c r="K37" s="72">
        <v>31</v>
      </c>
      <c r="S37" s="57"/>
      <c r="T37" s="57"/>
      <c r="U37" s="57"/>
      <c r="V37" s="57"/>
      <c r="W37" s="57"/>
      <c r="X37" s="57"/>
      <c r="Y37" s="57"/>
      <c r="Z37" s="57"/>
    </row>
    <row r="38" spans="1:26" ht="16.05" customHeight="1">
      <c r="A38" s="66" t="s">
        <v>203</v>
      </c>
      <c r="B38" s="87" t="s">
        <v>204</v>
      </c>
      <c r="C38" s="68"/>
      <c r="D38" s="68" t="s">
        <v>223</v>
      </c>
      <c r="E38" s="74">
        <v>30000</v>
      </c>
      <c r="F38" s="68" t="s">
        <v>223</v>
      </c>
      <c r="G38" s="74">
        <v>130000</v>
      </c>
      <c r="H38" s="68" t="s">
        <v>223</v>
      </c>
      <c r="I38" s="74">
        <v>130000</v>
      </c>
      <c r="J38" s="68" t="s">
        <v>223</v>
      </c>
      <c r="K38" s="72">
        <v>32</v>
      </c>
      <c r="S38" s="57"/>
      <c r="T38" s="57"/>
      <c r="U38" s="57"/>
      <c r="V38" s="57"/>
      <c r="W38" s="57"/>
      <c r="X38" s="57"/>
      <c r="Y38" s="57"/>
      <c r="Z38" s="57"/>
    </row>
    <row r="39" spans="1:26" ht="16.05" customHeight="1">
      <c r="A39" s="66" t="s">
        <v>213</v>
      </c>
      <c r="B39" s="67" t="s">
        <v>214</v>
      </c>
      <c r="C39" s="66" t="s">
        <v>1375</v>
      </c>
      <c r="D39" s="78">
        <v>5.5999999999999995E-4</v>
      </c>
      <c r="E39" s="76">
        <v>5.0000000000000001E-3</v>
      </c>
      <c r="F39" s="73">
        <v>1.4E-2</v>
      </c>
      <c r="G39" s="73">
        <v>3.6999999999999998E-2</v>
      </c>
      <c r="H39" s="76">
        <v>6.7000000000000002E-3</v>
      </c>
      <c r="I39" s="73">
        <v>3.6999999999999998E-2</v>
      </c>
      <c r="J39" s="73">
        <v>0.03</v>
      </c>
      <c r="K39" s="72">
        <v>33</v>
      </c>
      <c r="Z39" s="57"/>
    </row>
    <row r="40" spans="1:26" ht="16.05" customHeight="1">
      <c r="A40" s="66" t="s">
        <v>217</v>
      </c>
      <c r="B40" s="67" t="s">
        <v>218</v>
      </c>
      <c r="C40" s="68"/>
      <c r="D40" s="68"/>
      <c r="E40" s="70">
        <v>2.2000000000000002</v>
      </c>
      <c r="F40" s="68" t="s">
        <v>223</v>
      </c>
      <c r="G40" s="70">
        <v>9.6999999999999993</v>
      </c>
      <c r="H40" s="68" t="s">
        <v>223</v>
      </c>
      <c r="I40" s="70">
        <v>9.6999999999999993</v>
      </c>
      <c r="J40" s="71">
        <v>50</v>
      </c>
      <c r="K40" s="72">
        <v>34</v>
      </c>
      <c r="Z40" s="57"/>
    </row>
    <row r="41" spans="1:26" ht="16.05" customHeight="1">
      <c r="A41" s="66" t="s">
        <v>225</v>
      </c>
      <c r="B41" s="67" t="s">
        <v>226</v>
      </c>
      <c r="C41" s="68"/>
      <c r="D41" s="68"/>
      <c r="E41" s="71">
        <v>800</v>
      </c>
      <c r="F41" s="68" t="s">
        <v>223</v>
      </c>
      <c r="G41" s="74">
        <v>3500</v>
      </c>
      <c r="H41" s="68" t="s">
        <v>223</v>
      </c>
      <c r="I41" s="74">
        <v>3500</v>
      </c>
      <c r="J41" s="74">
        <v>6200</v>
      </c>
      <c r="K41" s="72">
        <v>35</v>
      </c>
    </row>
    <row r="42" spans="1:26" ht="16.05" customHeight="1">
      <c r="A42" s="66" t="s">
        <v>227</v>
      </c>
      <c r="B42" s="67" t="s">
        <v>228</v>
      </c>
      <c r="C42" s="68"/>
      <c r="D42" s="69">
        <v>0.17</v>
      </c>
      <c r="E42" s="71">
        <v>100</v>
      </c>
      <c r="F42" s="70">
        <v>4.3</v>
      </c>
      <c r="G42" s="71">
        <v>440</v>
      </c>
      <c r="H42" s="70">
        <v>2</v>
      </c>
      <c r="I42" s="71">
        <v>440</v>
      </c>
      <c r="J42" s="74">
        <v>1900</v>
      </c>
      <c r="K42" s="72">
        <v>36</v>
      </c>
    </row>
    <row r="43" spans="1:26" ht="16.05" customHeight="1">
      <c r="A43" s="66" t="s">
        <v>229</v>
      </c>
      <c r="B43" s="67" t="s">
        <v>230</v>
      </c>
      <c r="C43" s="68"/>
      <c r="D43" s="68"/>
      <c r="E43" s="71">
        <v>10</v>
      </c>
      <c r="F43" s="68" t="s">
        <v>223</v>
      </c>
      <c r="G43" s="71">
        <v>44</v>
      </c>
      <c r="H43" s="68" t="s">
        <v>223</v>
      </c>
      <c r="I43" s="71">
        <v>44</v>
      </c>
      <c r="J43" s="71">
        <v>660</v>
      </c>
      <c r="K43" s="72">
        <v>37</v>
      </c>
    </row>
    <row r="44" spans="1:26" ht="16.05" customHeight="1">
      <c r="A44" s="66" t="s">
        <v>240</v>
      </c>
      <c r="B44" s="67" t="s">
        <v>241</v>
      </c>
      <c r="C44" s="68"/>
      <c r="D44" s="76">
        <v>0.01</v>
      </c>
      <c r="E44" s="82">
        <v>0.02</v>
      </c>
      <c r="F44" s="69">
        <v>0.26</v>
      </c>
      <c r="G44" s="90">
        <v>8.7999999999999995E-2</v>
      </c>
      <c r="H44" s="69">
        <v>0.12</v>
      </c>
      <c r="I44" s="90">
        <v>8.7999999999999995E-2</v>
      </c>
      <c r="J44" s="82">
        <v>0.2</v>
      </c>
      <c r="K44" s="72">
        <v>38</v>
      </c>
    </row>
    <row r="45" spans="1:26" ht="16.05" customHeight="1">
      <c r="A45" s="66" t="s">
        <v>248</v>
      </c>
      <c r="B45" s="67" t="s">
        <v>249</v>
      </c>
      <c r="C45" s="66" t="s">
        <v>1376</v>
      </c>
      <c r="D45" s="73">
        <v>0.04</v>
      </c>
      <c r="E45" s="68" t="s">
        <v>223</v>
      </c>
      <c r="F45" s="69">
        <v>1</v>
      </c>
      <c r="G45" s="68" t="s">
        <v>223</v>
      </c>
      <c r="H45" s="69">
        <v>0.48</v>
      </c>
      <c r="I45" s="68" t="s">
        <v>223</v>
      </c>
      <c r="J45" s="68" t="s">
        <v>223</v>
      </c>
      <c r="K45" s="72">
        <v>39</v>
      </c>
    </row>
    <row r="46" spans="1:26" ht="16.05" customHeight="1">
      <c r="A46" s="66" t="s">
        <v>250</v>
      </c>
      <c r="B46" s="67" t="s">
        <v>251</v>
      </c>
      <c r="C46" s="68"/>
      <c r="D46" s="68"/>
      <c r="E46" s="69">
        <v>0.15</v>
      </c>
      <c r="F46" s="68"/>
      <c r="G46" s="69">
        <v>0.66</v>
      </c>
      <c r="H46" s="68"/>
      <c r="I46" s="69">
        <v>0.66</v>
      </c>
      <c r="J46" s="71">
        <v>170</v>
      </c>
      <c r="K46" s="72">
        <v>40</v>
      </c>
    </row>
    <row r="47" spans="1:26" ht="16.05" customHeight="1">
      <c r="A47" s="66" t="s">
        <v>252</v>
      </c>
      <c r="B47" s="67" t="s">
        <v>253</v>
      </c>
      <c r="C47" s="68"/>
      <c r="D47" s="68"/>
      <c r="E47" s="69">
        <v>0.6</v>
      </c>
      <c r="F47" s="68"/>
      <c r="G47" s="69">
        <v>2.6</v>
      </c>
      <c r="H47" s="68"/>
      <c r="I47" s="69">
        <v>2.6</v>
      </c>
      <c r="J47" s="70">
        <v>2.8</v>
      </c>
      <c r="K47" s="72">
        <v>41</v>
      </c>
    </row>
    <row r="48" spans="1:26" ht="16.05" customHeight="1">
      <c r="A48" s="66" t="s">
        <v>256</v>
      </c>
      <c r="B48" s="67" t="s">
        <v>257</v>
      </c>
      <c r="C48" s="68"/>
      <c r="D48" s="68"/>
      <c r="E48" s="73">
        <v>0.03</v>
      </c>
      <c r="F48" s="68"/>
      <c r="G48" s="69">
        <v>0.13</v>
      </c>
      <c r="H48" s="68"/>
      <c r="I48" s="69">
        <v>0.13</v>
      </c>
      <c r="J48" s="68" t="s">
        <v>223</v>
      </c>
      <c r="K48" s="72">
        <v>42</v>
      </c>
    </row>
    <row r="49" spans="1:11" ht="16.05" customHeight="1">
      <c r="A49" s="66" t="s">
        <v>262</v>
      </c>
      <c r="B49" s="67" t="s">
        <v>263</v>
      </c>
      <c r="C49" s="68"/>
      <c r="D49" s="68"/>
      <c r="E49" s="71">
        <v>50</v>
      </c>
      <c r="F49" s="68"/>
      <c r="G49" s="71">
        <v>220</v>
      </c>
      <c r="H49" s="68"/>
      <c r="I49" s="71">
        <v>220</v>
      </c>
      <c r="J49" s="68" t="s">
        <v>223</v>
      </c>
      <c r="K49" s="72">
        <v>43</v>
      </c>
    </row>
    <row r="50" spans="1:11" ht="27" customHeight="1">
      <c r="A50" s="66" t="s">
        <v>266</v>
      </c>
      <c r="B50" s="67" t="s">
        <v>267</v>
      </c>
      <c r="C50" s="68"/>
      <c r="D50" s="68"/>
      <c r="E50" s="74">
        <v>50000</v>
      </c>
      <c r="F50" s="68"/>
      <c r="G50" s="74">
        <v>220000</v>
      </c>
      <c r="H50" s="68"/>
      <c r="I50" s="74">
        <v>220000</v>
      </c>
      <c r="J50" s="68" t="s">
        <v>223</v>
      </c>
      <c r="K50" s="72">
        <v>44</v>
      </c>
    </row>
    <row r="51" spans="1:11" ht="27" customHeight="1">
      <c r="A51" s="66" t="s">
        <v>268</v>
      </c>
      <c r="B51" s="67" t="s">
        <v>269</v>
      </c>
      <c r="C51" s="68"/>
      <c r="D51" s="68"/>
      <c r="E51" s="74">
        <v>50000</v>
      </c>
      <c r="F51" s="68"/>
      <c r="G51" s="74">
        <v>220000</v>
      </c>
      <c r="H51" s="68"/>
      <c r="I51" s="74">
        <v>220000</v>
      </c>
      <c r="J51" s="68" t="s">
        <v>223</v>
      </c>
      <c r="K51" s="72">
        <v>45</v>
      </c>
    </row>
    <row r="52" spans="1:11" ht="27" customHeight="1">
      <c r="A52" s="66" t="s">
        <v>270</v>
      </c>
      <c r="B52" s="67" t="s">
        <v>271</v>
      </c>
      <c r="C52" s="68"/>
      <c r="D52" s="68"/>
      <c r="E52" s="74">
        <v>30000</v>
      </c>
      <c r="F52" s="68"/>
      <c r="G52" s="74">
        <v>130000</v>
      </c>
      <c r="H52" s="68"/>
      <c r="I52" s="74">
        <v>130000</v>
      </c>
      <c r="J52" s="74">
        <v>40000</v>
      </c>
      <c r="K52" s="72">
        <v>46</v>
      </c>
    </row>
    <row r="53" spans="1:11" ht="16.05" customHeight="1">
      <c r="A53" s="66" t="s">
        <v>272</v>
      </c>
      <c r="B53" s="67" t="s">
        <v>273</v>
      </c>
      <c r="C53" s="68"/>
      <c r="D53" s="73"/>
      <c r="E53" s="71">
        <v>300</v>
      </c>
      <c r="F53" s="70"/>
      <c r="G53" s="74">
        <v>1300</v>
      </c>
      <c r="H53" s="69"/>
      <c r="I53" s="74">
        <v>1300</v>
      </c>
      <c r="J53" s="71">
        <v>490</v>
      </c>
      <c r="K53" s="72">
        <v>47</v>
      </c>
    </row>
    <row r="54" spans="1:11">
      <c r="A54" s="66" t="s">
        <v>274</v>
      </c>
      <c r="B54" s="67" t="s">
        <v>275</v>
      </c>
      <c r="C54" s="68"/>
      <c r="D54" s="68"/>
      <c r="E54" s="71">
        <v>90</v>
      </c>
      <c r="F54" s="68"/>
      <c r="G54" s="71">
        <v>400</v>
      </c>
      <c r="H54" s="68"/>
      <c r="I54" s="71">
        <v>400</v>
      </c>
      <c r="J54" s="74">
        <v>1000</v>
      </c>
      <c r="K54" s="72">
        <v>48</v>
      </c>
    </row>
    <row r="55" spans="1:11" ht="27" customHeight="1">
      <c r="A55" s="66" t="s">
        <v>282</v>
      </c>
      <c r="B55" s="87" t="s">
        <v>283</v>
      </c>
      <c r="C55" s="68"/>
      <c r="D55" s="69">
        <v>0.22</v>
      </c>
      <c r="E55" s="68" t="s">
        <v>223</v>
      </c>
      <c r="F55" s="70">
        <v>5.7</v>
      </c>
      <c r="G55" s="68" t="s">
        <v>223</v>
      </c>
      <c r="H55" s="70">
        <v>2.6</v>
      </c>
      <c r="I55" s="68" t="s">
        <v>223</v>
      </c>
      <c r="J55" s="68" t="s">
        <v>223</v>
      </c>
      <c r="K55" s="72">
        <v>49</v>
      </c>
    </row>
    <row r="56" spans="1:11" ht="16.05" customHeight="1">
      <c r="A56" s="75" t="s">
        <v>284</v>
      </c>
      <c r="B56" s="67" t="s">
        <v>285</v>
      </c>
      <c r="C56" s="68"/>
      <c r="D56" s="68" t="s">
        <v>223</v>
      </c>
      <c r="E56" s="69">
        <v>0.4</v>
      </c>
      <c r="F56" s="68" t="s">
        <v>223</v>
      </c>
      <c r="G56" s="70">
        <v>1.8</v>
      </c>
      <c r="H56" s="68" t="s">
        <v>223</v>
      </c>
      <c r="I56" s="70">
        <v>1.8</v>
      </c>
      <c r="J56" s="71">
        <v>29</v>
      </c>
      <c r="K56" s="72">
        <v>50</v>
      </c>
    </row>
    <row r="57" spans="1:11" ht="16.05" customHeight="1">
      <c r="A57" s="66" t="s">
        <v>286</v>
      </c>
      <c r="B57" s="67" t="s">
        <v>287</v>
      </c>
      <c r="C57" s="68"/>
      <c r="D57" s="76">
        <v>3.3E-3</v>
      </c>
      <c r="E57" s="71">
        <v>20</v>
      </c>
      <c r="F57" s="73">
        <v>8.6999999999999994E-2</v>
      </c>
      <c r="G57" s="71">
        <v>88</v>
      </c>
      <c r="H57" s="73">
        <v>0.04</v>
      </c>
      <c r="I57" s="71">
        <v>88</v>
      </c>
      <c r="J57" s="68" t="s">
        <v>223</v>
      </c>
      <c r="K57" s="72">
        <v>51</v>
      </c>
    </row>
    <row r="58" spans="1:11" ht="16.05" customHeight="1">
      <c r="A58" s="66" t="s">
        <v>290</v>
      </c>
      <c r="B58" s="87" t="s">
        <v>291</v>
      </c>
      <c r="C58" s="68"/>
      <c r="D58" s="73">
        <v>1.2999999999999999E-2</v>
      </c>
      <c r="E58" s="68" t="s">
        <v>223</v>
      </c>
      <c r="F58" s="69">
        <v>0.34</v>
      </c>
      <c r="G58" s="68" t="s">
        <v>223</v>
      </c>
      <c r="H58" s="69">
        <v>0.16</v>
      </c>
      <c r="I58" s="68" t="s">
        <v>223</v>
      </c>
      <c r="J58" s="68" t="s">
        <v>223</v>
      </c>
      <c r="K58" s="72">
        <v>52</v>
      </c>
    </row>
    <row r="59" spans="1:11" ht="27" customHeight="1">
      <c r="A59" s="66" t="s">
        <v>296</v>
      </c>
      <c r="B59" s="67" t="s">
        <v>1377</v>
      </c>
      <c r="C59" s="66" t="s">
        <v>1378</v>
      </c>
      <c r="D59" s="86">
        <v>3.1000000000000001E-5</v>
      </c>
      <c r="E59" s="90">
        <v>8.3000000000000004E-2</v>
      </c>
      <c r="F59" s="78">
        <v>5.1999999999999995E-4</v>
      </c>
      <c r="G59" s="82">
        <v>0.88</v>
      </c>
      <c r="H59" s="78">
        <v>1E-3</v>
      </c>
      <c r="I59" s="82">
        <v>0.88</v>
      </c>
      <c r="J59" s="69">
        <v>0.3</v>
      </c>
      <c r="K59" s="72">
        <v>53</v>
      </c>
    </row>
    <row r="60" spans="1:11" ht="27" customHeight="1">
      <c r="A60" s="66" t="s">
        <v>296</v>
      </c>
      <c r="B60" s="67" t="s">
        <v>1379</v>
      </c>
      <c r="C60" s="66" t="s">
        <v>1378</v>
      </c>
      <c r="D60" s="86">
        <v>3.1000000000000001E-5</v>
      </c>
      <c r="E60" s="76">
        <v>2.0999999999999999E-3</v>
      </c>
      <c r="F60" s="78">
        <v>5.1999999999999995E-4</v>
      </c>
      <c r="G60" s="73">
        <v>2.1999999999999999E-2</v>
      </c>
      <c r="H60" s="78">
        <v>1E-3</v>
      </c>
      <c r="I60" s="73">
        <v>2.1999999999999999E-2</v>
      </c>
      <c r="J60" s="76">
        <v>5.0000000000000001E-3</v>
      </c>
      <c r="K60" s="72">
        <v>54</v>
      </c>
    </row>
    <row r="61" spans="1:11" ht="16.05" customHeight="1">
      <c r="A61" s="66" t="s">
        <v>304</v>
      </c>
      <c r="B61" s="67" t="s">
        <v>305</v>
      </c>
      <c r="C61" s="68" t="s">
        <v>1372</v>
      </c>
      <c r="D61" s="78" t="s">
        <v>223</v>
      </c>
      <c r="E61" s="69">
        <v>0.1</v>
      </c>
      <c r="F61" s="76" t="s">
        <v>223</v>
      </c>
      <c r="G61" s="69">
        <v>0.44</v>
      </c>
      <c r="H61" s="76" t="s">
        <v>223</v>
      </c>
      <c r="I61" s="69">
        <v>0.44</v>
      </c>
      <c r="J61" s="68" t="s">
        <v>223</v>
      </c>
      <c r="K61" s="72">
        <v>55</v>
      </c>
    </row>
    <row r="62" spans="1:11" ht="16.05" customHeight="1">
      <c r="A62" s="68" t="s">
        <v>1380</v>
      </c>
      <c r="B62" s="67" t="s">
        <v>306</v>
      </c>
      <c r="C62" s="68" t="s">
        <v>1371</v>
      </c>
      <c r="D62" s="78">
        <v>9.5E-4</v>
      </c>
      <c r="E62" s="68" t="s">
        <v>223</v>
      </c>
      <c r="F62" s="73">
        <v>0.01</v>
      </c>
      <c r="G62" s="68" t="s">
        <v>223</v>
      </c>
      <c r="H62" s="73">
        <v>1.9E-2</v>
      </c>
      <c r="I62" s="68" t="s">
        <v>223</v>
      </c>
      <c r="J62" s="68" t="s">
        <v>223</v>
      </c>
      <c r="K62" s="72">
        <v>56</v>
      </c>
    </row>
    <row r="63" spans="1:11" ht="16.05" customHeight="1">
      <c r="A63" s="66" t="s">
        <v>307</v>
      </c>
      <c r="B63" s="67" t="s">
        <v>308</v>
      </c>
      <c r="C63" s="68" t="s">
        <v>1372</v>
      </c>
      <c r="D63" s="68" t="s">
        <v>223</v>
      </c>
      <c r="E63" s="68" t="s">
        <v>223</v>
      </c>
      <c r="F63" s="68" t="s">
        <v>223</v>
      </c>
      <c r="G63" s="68" t="s">
        <v>223</v>
      </c>
      <c r="H63" s="68" t="s">
        <v>223</v>
      </c>
      <c r="I63" s="68" t="s">
        <v>223</v>
      </c>
      <c r="J63" s="71">
        <v>100</v>
      </c>
      <c r="K63" s="72">
        <v>57</v>
      </c>
    </row>
    <row r="64" spans="1:11" ht="16.05" customHeight="1">
      <c r="A64" s="66" t="s">
        <v>310</v>
      </c>
      <c r="B64" s="87" t="s">
        <v>311</v>
      </c>
      <c r="C64" s="68"/>
      <c r="D64" s="73">
        <v>2.3E-2</v>
      </c>
      <c r="E64" s="68" t="s">
        <v>223</v>
      </c>
      <c r="F64" s="69">
        <v>0.6</v>
      </c>
      <c r="G64" s="68" t="s">
        <v>223</v>
      </c>
      <c r="H64" s="69">
        <v>0.28000000000000003</v>
      </c>
      <c r="I64" s="68" t="s">
        <v>223</v>
      </c>
      <c r="J64" s="68" t="s">
        <v>223</v>
      </c>
      <c r="K64" s="72">
        <v>58</v>
      </c>
    </row>
    <row r="65" spans="1:11" ht="37.049999999999997" customHeight="1">
      <c r="A65" s="66" t="s">
        <v>312</v>
      </c>
      <c r="B65" s="87" t="s">
        <v>313</v>
      </c>
      <c r="C65" s="68"/>
      <c r="D65" s="68"/>
      <c r="E65" s="71">
        <v>600</v>
      </c>
      <c r="F65" s="68" t="s">
        <v>223</v>
      </c>
      <c r="G65" s="74">
        <v>2600</v>
      </c>
      <c r="H65" s="68" t="s">
        <v>223</v>
      </c>
      <c r="I65" s="74">
        <v>2600</v>
      </c>
      <c r="J65" s="68" t="s">
        <v>223</v>
      </c>
      <c r="K65" s="72">
        <v>59</v>
      </c>
    </row>
    <row r="66" spans="1:11" ht="16.05" customHeight="1">
      <c r="A66" s="66" t="s">
        <v>324</v>
      </c>
      <c r="B66" s="67" t="s">
        <v>325</v>
      </c>
      <c r="C66" s="68"/>
      <c r="D66" s="73">
        <v>1.6E-2</v>
      </c>
      <c r="E66" s="68" t="s">
        <v>223</v>
      </c>
      <c r="F66" s="69">
        <v>0.41</v>
      </c>
      <c r="G66" s="68" t="s">
        <v>223</v>
      </c>
      <c r="H66" s="69">
        <v>0.19</v>
      </c>
      <c r="I66" s="68" t="s">
        <v>223</v>
      </c>
      <c r="J66" s="68" t="s">
        <v>223</v>
      </c>
      <c r="K66" s="72">
        <v>60</v>
      </c>
    </row>
    <row r="67" spans="1:11" ht="16.05" customHeight="1">
      <c r="A67" s="66" t="s">
        <v>328</v>
      </c>
      <c r="B67" s="67" t="s">
        <v>1381</v>
      </c>
      <c r="C67" s="68"/>
      <c r="D67" s="68"/>
      <c r="E67" s="69">
        <v>0.8</v>
      </c>
      <c r="F67" s="68" t="s">
        <v>223</v>
      </c>
      <c r="G67" s="70">
        <v>3.5</v>
      </c>
      <c r="H67" s="68" t="s">
        <v>223</v>
      </c>
      <c r="I67" s="70">
        <v>3.5</v>
      </c>
      <c r="J67" s="71">
        <v>340</v>
      </c>
      <c r="K67" s="72">
        <v>61</v>
      </c>
    </row>
    <row r="68" spans="1:11" ht="16.05" customHeight="1">
      <c r="A68" s="66" t="s">
        <v>330</v>
      </c>
      <c r="B68" s="67" t="s">
        <v>331</v>
      </c>
      <c r="C68" s="68"/>
      <c r="D68" s="68"/>
      <c r="E68" s="74">
        <v>6000</v>
      </c>
      <c r="F68" s="68" t="s">
        <v>223</v>
      </c>
      <c r="G68" s="74">
        <v>26000</v>
      </c>
      <c r="H68" s="68" t="s">
        <v>223</v>
      </c>
      <c r="I68" s="74">
        <v>26000</v>
      </c>
      <c r="J68" s="68" t="s">
        <v>223</v>
      </c>
      <c r="K68" s="72">
        <v>62</v>
      </c>
    </row>
    <row r="69" spans="1:11" ht="16.05" customHeight="1">
      <c r="A69" s="68" t="s">
        <v>358</v>
      </c>
      <c r="B69" s="67" t="s">
        <v>359</v>
      </c>
      <c r="C69" s="66" t="s">
        <v>1382</v>
      </c>
      <c r="D69" s="73">
        <v>0.01</v>
      </c>
      <c r="E69" s="68" t="s">
        <v>223</v>
      </c>
      <c r="F69" s="69">
        <v>0.27</v>
      </c>
      <c r="G69" s="68" t="s">
        <v>223</v>
      </c>
      <c r="H69" s="69">
        <v>0.12</v>
      </c>
      <c r="I69" s="68" t="s">
        <v>223</v>
      </c>
      <c r="J69" s="68" t="s">
        <v>223</v>
      </c>
      <c r="K69" s="72">
        <v>63</v>
      </c>
    </row>
    <row r="70" spans="1:11" ht="16.05" customHeight="1">
      <c r="A70" s="66" t="s">
        <v>360</v>
      </c>
      <c r="B70" s="67" t="s">
        <v>361</v>
      </c>
      <c r="C70" s="68"/>
      <c r="D70" s="69">
        <v>0.15</v>
      </c>
      <c r="E70" s="68" t="s">
        <v>223</v>
      </c>
      <c r="F70" s="70">
        <v>3.9</v>
      </c>
      <c r="G70" s="68" t="s">
        <v>223</v>
      </c>
      <c r="H70" s="70">
        <v>1.8</v>
      </c>
      <c r="I70" s="68" t="s">
        <v>223</v>
      </c>
      <c r="J70" s="68" t="s">
        <v>223</v>
      </c>
      <c r="K70" s="72">
        <v>64</v>
      </c>
    </row>
    <row r="71" spans="1:11" ht="27" customHeight="1">
      <c r="A71" s="66" t="s">
        <v>366</v>
      </c>
      <c r="B71" s="67" t="s">
        <v>367</v>
      </c>
      <c r="C71" s="68"/>
      <c r="D71" s="78">
        <v>9.1E-4</v>
      </c>
      <c r="E71" s="68" t="s">
        <v>223</v>
      </c>
      <c r="F71" s="73">
        <v>2.4E-2</v>
      </c>
      <c r="G71" s="68" t="s">
        <v>223</v>
      </c>
      <c r="H71" s="73">
        <v>1.0999999999999999E-2</v>
      </c>
      <c r="I71" s="68" t="s">
        <v>223</v>
      </c>
      <c r="J71" s="68" t="s">
        <v>223</v>
      </c>
      <c r="K71" s="72">
        <v>65</v>
      </c>
    </row>
    <row r="72" spans="1:11" ht="16.05" customHeight="1">
      <c r="A72" s="66" t="s">
        <v>370</v>
      </c>
      <c r="B72" s="67" t="s">
        <v>371</v>
      </c>
      <c r="C72" s="68"/>
      <c r="D72" s="68"/>
      <c r="E72" s="68" t="s">
        <v>223</v>
      </c>
      <c r="F72" s="68" t="s">
        <v>223</v>
      </c>
      <c r="G72" s="68" t="s">
        <v>223</v>
      </c>
      <c r="H72" s="68" t="s">
        <v>223</v>
      </c>
      <c r="I72" s="68" t="s">
        <v>223</v>
      </c>
      <c r="J72" s="71">
        <v>10</v>
      </c>
      <c r="K72" s="72">
        <v>66</v>
      </c>
    </row>
    <row r="73" spans="1:11" ht="27" customHeight="1">
      <c r="A73" s="75" t="s">
        <v>376</v>
      </c>
      <c r="B73" s="67" t="s">
        <v>377</v>
      </c>
      <c r="C73" s="68" t="s">
        <v>1371</v>
      </c>
      <c r="D73" s="86">
        <v>9.8039215686274506E-5</v>
      </c>
      <c r="E73" s="69">
        <v>0.2</v>
      </c>
      <c r="F73" s="76">
        <v>1E-3</v>
      </c>
      <c r="G73" s="69">
        <v>0.88</v>
      </c>
      <c r="H73" s="76">
        <v>2E-3</v>
      </c>
      <c r="I73" s="69">
        <v>0.88</v>
      </c>
      <c r="J73" s="70">
        <v>1.9</v>
      </c>
      <c r="K73" s="72">
        <v>67</v>
      </c>
    </row>
    <row r="74" spans="1:11" ht="27" customHeight="1">
      <c r="A74" s="66" t="s">
        <v>386</v>
      </c>
      <c r="B74" s="67" t="s">
        <v>387</v>
      </c>
      <c r="C74" s="68"/>
      <c r="D74" s="73">
        <v>9.0999999999999998E-2</v>
      </c>
      <c r="E74" s="71">
        <v>60</v>
      </c>
      <c r="F74" s="70">
        <v>2.4</v>
      </c>
      <c r="G74" s="74">
        <v>260</v>
      </c>
      <c r="H74" s="70">
        <v>1.1000000000000001</v>
      </c>
      <c r="I74" s="74">
        <v>260</v>
      </c>
      <c r="J74" s="74">
        <v>12000</v>
      </c>
      <c r="K74" s="72">
        <v>68</v>
      </c>
    </row>
    <row r="75" spans="1:11" ht="16.05" customHeight="1">
      <c r="A75" s="66" t="s">
        <v>388</v>
      </c>
      <c r="B75" s="67" t="s">
        <v>389</v>
      </c>
      <c r="C75" s="68"/>
      <c r="D75" s="76">
        <v>2.8999999999999998E-3</v>
      </c>
      <c r="E75" s="68" t="s">
        <v>223</v>
      </c>
      <c r="F75" s="73">
        <v>7.5999999999999998E-2</v>
      </c>
      <c r="G75" s="68" t="s">
        <v>223</v>
      </c>
      <c r="H75" s="73">
        <v>3.5000000000000003E-2</v>
      </c>
      <c r="I75" s="68" t="s">
        <v>223</v>
      </c>
      <c r="J75" s="68" t="s">
        <v>223</v>
      </c>
      <c r="K75" s="72">
        <v>69</v>
      </c>
    </row>
    <row r="76" spans="1:11" ht="27" customHeight="1">
      <c r="A76" s="66" t="s">
        <v>394</v>
      </c>
      <c r="B76" s="67" t="s">
        <v>395</v>
      </c>
      <c r="C76" s="68"/>
      <c r="D76" s="69">
        <v>0.63</v>
      </c>
      <c r="E76" s="68" t="s">
        <v>223</v>
      </c>
      <c r="F76" s="71">
        <v>16</v>
      </c>
      <c r="G76" s="68" t="s">
        <v>223</v>
      </c>
      <c r="H76" s="70">
        <v>7.5</v>
      </c>
      <c r="I76" s="68" t="s">
        <v>223</v>
      </c>
      <c r="J76" s="68" t="s">
        <v>223</v>
      </c>
      <c r="K76" s="72">
        <v>70</v>
      </c>
    </row>
    <row r="77" spans="1:11" ht="16.05" customHeight="1">
      <c r="A77" s="66" t="s">
        <v>396</v>
      </c>
      <c r="B77" s="87" t="s">
        <v>397</v>
      </c>
      <c r="C77" s="68"/>
      <c r="D77" s="68" t="s">
        <v>223</v>
      </c>
      <c r="E77" s="68" t="s">
        <v>223</v>
      </c>
      <c r="F77" s="68" t="s">
        <v>223</v>
      </c>
      <c r="G77" s="68" t="s">
        <v>223</v>
      </c>
      <c r="H77" s="68" t="s">
        <v>223</v>
      </c>
      <c r="I77" s="68" t="s">
        <v>223</v>
      </c>
      <c r="J77" s="71">
        <v>790</v>
      </c>
      <c r="K77" s="72">
        <v>71</v>
      </c>
    </row>
    <row r="78" spans="1:11" ht="27" customHeight="1">
      <c r="A78" s="91" t="s">
        <v>398</v>
      </c>
      <c r="B78" s="67" t="s">
        <v>399</v>
      </c>
      <c r="C78" s="68"/>
      <c r="D78" s="71">
        <v>59</v>
      </c>
      <c r="E78" s="71">
        <v>600</v>
      </c>
      <c r="F78" s="71">
        <v>620</v>
      </c>
      <c r="G78" s="74">
        <v>2600</v>
      </c>
      <c r="H78" s="74">
        <v>1200</v>
      </c>
      <c r="I78" s="74">
        <v>2600</v>
      </c>
      <c r="J78" s="74">
        <v>2100</v>
      </c>
      <c r="K78" s="72">
        <v>72</v>
      </c>
    </row>
    <row r="79" spans="1:11" ht="27" customHeight="1">
      <c r="A79" s="66" t="s">
        <v>404</v>
      </c>
      <c r="B79" s="67" t="s">
        <v>405</v>
      </c>
      <c r="C79" s="68"/>
      <c r="D79" s="68" t="s">
        <v>223</v>
      </c>
      <c r="E79" s="70">
        <v>4</v>
      </c>
      <c r="F79" s="68" t="s">
        <v>223</v>
      </c>
      <c r="G79" s="71">
        <v>18</v>
      </c>
      <c r="H79" s="68" t="s">
        <v>223</v>
      </c>
      <c r="I79" s="71">
        <v>18</v>
      </c>
      <c r="J79" s="71">
        <v>230</v>
      </c>
      <c r="K79" s="72">
        <v>73</v>
      </c>
    </row>
    <row r="80" spans="1:11" ht="16.05" customHeight="1">
      <c r="A80" s="66" t="s">
        <v>406</v>
      </c>
      <c r="B80" s="67" t="s">
        <v>407</v>
      </c>
      <c r="C80" s="68"/>
      <c r="D80" s="69">
        <v>0.25</v>
      </c>
      <c r="E80" s="71">
        <v>32</v>
      </c>
      <c r="F80" s="70">
        <v>6.5</v>
      </c>
      <c r="G80" s="71">
        <v>140</v>
      </c>
      <c r="H80" s="70">
        <v>3</v>
      </c>
      <c r="I80" s="71">
        <v>140</v>
      </c>
      <c r="J80" s="71">
        <v>36</v>
      </c>
      <c r="K80" s="72">
        <v>74</v>
      </c>
    </row>
    <row r="81" spans="1:11" ht="16.05" customHeight="1">
      <c r="A81" s="66" t="s">
        <v>408</v>
      </c>
      <c r="B81" s="67" t="s">
        <v>409</v>
      </c>
      <c r="C81" s="68"/>
      <c r="D81" s="68" t="s">
        <v>223</v>
      </c>
      <c r="E81" s="69">
        <v>0.54</v>
      </c>
      <c r="F81" s="68" t="s">
        <v>223</v>
      </c>
      <c r="G81" s="70">
        <v>2.4</v>
      </c>
      <c r="H81" s="68" t="s">
        <v>223</v>
      </c>
      <c r="I81" s="70">
        <v>2.4</v>
      </c>
      <c r="J81" s="71">
        <v>18</v>
      </c>
      <c r="K81" s="72">
        <v>75</v>
      </c>
    </row>
    <row r="82" spans="1:11" ht="16.05" customHeight="1">
      <c r="A82" s="66" t="s">
        <v>414</v>
      </c>
      <c r="B82" s="67" t="s">
        <v>415</v>
      </c>
      <c r="C82" s="68"/>
      <c r="D82" s="78">
        <v>2.2000000000000001E-4</v>
      </c>
      <c r="E82" s="68" t="s">
        <v>223</v>
      </c>
      <c r="F82" s="76">
        <v>5.7000000000000002E-3</v>
      </c>
      <c r="G82" s="68" t="s">
        <v>223</v>
      </c>
      <c r="H82" s="76">
        <v>2.5999999999999999E-3</v>
      </c>
      <c r="I82" s="68" t="s">
        <v>223</v>
      </c>
      <c r="J82" s="68" t="s">
        <v>223</v>
      </c>
      <c r="K82" s="72">
        <v>76</v>
      </c>
    </row>
    <row r="83" spans="1:11" ht="16.05" customHeight="1">
      <c r="A83" s="68" t="s">
        <v>1383</v>
      </c>
      <c r="B83" s="67" t="s">
        <v>416</v>
      </c>
      <c r="C83" s="68"/>
      <c r="D83" s="69">
        <v>0.1</v>
      </c>
      <c r="E83" s="70">
        <v>5</v>
      </c>
      <c r="F83" s="70">
        <v>2.6</v>
      </c>
      <c r="G83" s="71">
        <v>22</v>
      </c>
      <c r="H83" s="70">
        <v>1.2</v>
      </c>
      <c r="I83" s="71">
        <v>22</v>
      </c>
      <c r="J83" s="68" t="s">
        <v>223</v>
      </c>
      <c r="K83" s="72">
        <v>77</v>
      </c>
    </row>
    <row r="84" spans="1:11" ht="16.05" customHeight="1">
      <c r="A84" s="66" t="s">
        <v>417</v>
      </c>
      <c r="B84" s="67" t="s">
        <v>418</v>
      </c>
      <c r="C84" s="68"/>
      <c r="D84" s="68" t="s">
        <v>223</v>
      </c>
      <c r="E84" s="69">
        <v>0.2</v>
      </c>
      <c r="F84" s="68" t="s">
        <v>223</v>
      </c>
      <c r="G84" s="69">
        <v>0.88</v>
      </c>
      <c r="H84" s="68" t="s">
        <v>223</v>
      </c>
      <c r="I84" s="69">
        <v>0.88</v>
      </c>
      <c r="J84" s="68" t="s">
        <v>223</v>
      </c>
      <c r="K84" s="72">
        <v>78</v>
      </c>
    </row>
    <row r="85" spans="1:11" ht="27" customHeight="1">
      <c r="A85" s="66" t="s">
        <v>423</v>
      </c>
      <c r="B85" s="67" t="s">
        <v>424</v>
      </c>
      <c r="C85" s="68"/>
      <c r="D85" s="68" t="s">
        <v>223</v>
      </c>
      <c r="E85" s="69">
        <v>0.1</v>
      </c>
      <c r="F85" s="68" t="s">
        <v>223</v>
      </c>
      <c r="G85" s="69">
        <v>0.44</v>
      </c>
      <c r="H85" s="68" t="s">
        <v>223</v>
      </c>
      <c r="I85" s="69">
        <v>0.44</v>
      </c>
      <c r="J85" s="68" t="s">
        <v>223</v>
      </c>
      <c r="K85" s="72">
        <v>79</v>
      </c>
    </row>
    <row r="86" spans="1:11" ht="27" customHeight="1">
      <c r="A86" s="66" t="s">
        <v>425</v>
      </c>
      <c r="B86" s="67" t="s">
        <v>426</v>
      </c>
      <c r="C86" s="68"/>
      <c r="D86" s="68" t="s">
        <v>223</v>
      </c>
      <c r="E86" s="69">
        <v>0.3</v>
      </c>
      <c r="F86" s="68" t="s">
        <v>223</v>
      </c>
      <c r="G86" s="70">
        <v>1.3</v>
      </c>
      <c r="H86" s="68" t="s">
        <v>223</v>
      </c>
      <c r="I86" s="70">
        <v>1.3</v>
      </c>
      <c r="J86" s="68" t="s">
        <v>223</v>
      </c>
      <c r="K86" s="72">
        <v>80</v>
      </c>
    </row>
    <row r="87" spans="1:11" ht="16.05" customHeight="1">
      <c r="A87" s="66" t="s">
        <v>435</v>
      </c>
      <c r="B87" s="67" t="s">
        <v>436</v>
      </c>
      <c r="C87" s="68"/>
      <c r="D87" s="68" t="s">
        <v>223</v>
      </c>
      <c r="E87" s="74">
        <v>40000</v>
      </c>
      <c r="F87" s="68" t="s">
        <v>223</v>
      </c>
      <c r="G87" s="74">
        <v>180000</v>
      </c>
      <c r="H87" s="68" t="s">
        <v>223</v>
      </c>
      <c r="I87" s="74">
        <v>180000</v>
      </c>
      <c r="J87" s="68" t="s">
        <v>223</v>
      </c>
      <c r="K87" s="72">
        <v>81</v>
      </c>
    </row>
    <row r="88" spans="1:11" ht="27" customHeight="1">
      <c r="A88" s="75" t="s">
        <v>443</v>
      </c>
      <c r="B88" s="87" t="s">
        <v>444</v>
      </c>
      <c r="C88" s="68"/>
      <c r="D88" s="78">
        <v>7.6999999999999996E-4</v>
      </c>
      <c r="E88" s="68" t="s">
        <v>223</v>
      </c>
      <c r="F88" s="73">
        <v>0.02</v>
      </c>
      <c r="G88" s="68" t="s">
        <v>223</v>
      </c>
      <c r="H88" s="76">
        <v>9.1999999999999998E-3</v>
      </c>
      <c r="I88" s="68" t="s">
        <v>223</v>
      </c>
      <c r="J88" s="68" t="s">
        <v>223</v>
      </c>
      <c r="K88" s="72">
        <v>82</v>
      </c>
    </row>
    <row r="89" spans="1:11" ht="16.05" customHeight="1">
      <c r="A89" s="75" t="s">
        <v>451</v>
      </c>
      <c r="B89" s="67" t="s">
        <v>452</v>
      </c>
      <c r="C89" s="68"/>
      <c r="D89" s="68" t="s">
        <v>223</v>
      </c>
      <c r="E89" s="71">
        <v>80</v>
      </c>
      <c r="F89" s="68" t="s">
        <v>223</v>
      </c>
      <c r="G89" s="71">
        <v>350</v>
      </c>
      <c r="H89" s="68" t="s">
        <v>223</v>
      </c>
      <c r="I89" s="71">
        <v>350</v>
      </c>
      <c r="J89" s="68" t="s">
        <v>223</v>
      </c>
      <c r="K89" s="72">
        <v>83</v>
      </c>
    </row>
    <row r="90" spans="1:11" ht="16.05" customHeight="1">
      <c r="A90" s="66" t="s">
        <v>453</v>
      </c>
      <c r="B90" s="67" t="s">
        <v>454</v>
      </c>
      <c r="C90" s="68"/>
      <c r="D90" s="68" t="s">
        <v>223</v>
      </c>
      <c r="E90" s="68" t="s">
        <v>223</v>
      </c>
      <c r="F90" s="68" t="s">
        <v>223</v>
      </c>
      <c r="G90" s="68" t="s">
        <v>223</v>
      </c>
      <c r="H90" s="68" t="s">
        <v>223</v>
      </c>
      <c r="I90" s="68" t="s">
        <v>223</v>
      </c>
      <c r="J90" s="69">
        <v>0.49</v>
      </c>
      <c r="K90" s="72">
        <v>84</v>
      </c>
    </row>
    <row r="91" spans="1:11" ht="16.05" customHeight="1">
      <c r="A91" s="66" t="s">
        <v>465</v>
      </c>
      <c r="B91" s="67" t="s">
        <v>466</v>
      </c>
      <c r="C91" s="68"/>
      <c r="D91" s="73">
        <v>1.0999999999999999E-2</v>
      </c>
      <c r="E91" s="68" t="s">
        <v>223</v>
      </c>
      <c r="F91" s="69">
        <v>0.28999999999999998</v>
      </c>
      <c r="G91" s="68" t="s">
        <v>223</v>
      </c>
      <c r="H91" s="69">
        <v>0.13</v>
      </c>
      <c r="I91" s="68" t="s">
        <v>223</v>
      </c>
      <c r="J91" s="68" t="s">
        <v>223</v>
      </c>
      <c r="K91" s="72">
        <v>85</v>
      </c>
    </row>
    <row r="92" spans="1:11" ht="16.05" customHeight="1">
      <c r="A92" s="66" t="s">
        <v>469</v>
      </c>
      <c r="B92" s="67" t="s">
        <v>470</v>
      </c>
      <c r="C92" s="68"/>
      <c r="D92" s="69">
        <v>0.2</v>
      </c>
      <c r="E92" s="88">
        <v>30</v>
      </c>
      <c r="F92" s="70">
        <v>5.2</v>
      </c>
      <c r="G92" s="88">
        <v>130</v>
      </c>
      <c r="H92" s="70">
        <v>2.4</v>
      </c>
      <c r="I92" s="88">
        <v>130</v>
      </c>
      <c r="J92" s="74">
        <v>7200</v>
      </c>
      <c r="K92" s="72">
        <v>86</v>
      </c>
    </row>
    <row r="93" spans="1:11" ht="27" customHeight="1">
      <c r="A93" s="66" t="s">
        <v>473</v>
      </c>
      <c r="B93" s="67" t="s">
        <v>474</v>
      </c>
      <c r="C93" s="68"/>
      <c r="D93" s="76">
        <v>4.4999999999999997E-3</v>
      </c>
      <c r="E93" s="68" t="s">
        <v>223</v>
      </c>
      <c r="F93" s="69">
        <v>0.12</v>
      </c>
      <c r="G93" s="68" t="s">
        <v>223</v>
      </c>
      <c r="H93" s="73">
        <v>5.5E-2</v>
      </c>
      <c r="I93" s="68" t="s">
        <v>223</v>
      </c>
      <c r="J93" s="68" t="s">
        <v>223</v>
      </c>
      <c r="K93" s="72">
        <v>87</v>
      </c>
    </row>
    <row r="94" spans="1:11" ht="16.05" customHeight="1">
      <c r="A94" s="66" t="s">
        <v>479</v>
      </c>
      <c r="B94" s="67" t="s">
        <v>480</v>
      </c>
      <c r="C94" s="68"/>
      <c r="D94" s="85">
        <v>7.1428571428571419E-6</v>
      </c>
      <c r="E94" s="68" t="s">
        <v>223</v>
      </c>
      <c r="F94" s="78">
        <v>1.9000000000000001E-4</v>
      </c>
      <c r="G94" s="68" t="s">
        <v>223</v>
      </c>
      <c r="H94" s="85">
        <v>8.5714285714285699E-5</v>
      </c>
      <c r="I94" s="68" t="s">
        <v>223</v>
      </c>
      <c r="J94" s="68" t="s">
        <v>223</v>
      </c>
      <c r="K94" s="72">
        <v>88</v>
      </c>
    </row>
    <row r="95" spans="1:11" ht="16.05" customHeight="1">
      <c r="A95" s="66" t="s">
        <v>481</v>
      </c>
      <c r="B95" s="67" t="s">
        <v>482</v>
      </c>
      <c r="C95" s="68"/>
      <c r="D95" s="85">
        <v>7.1428571428571419E-6</v>
      </c>
      <c r="E95" s="68" t="s">
        <v>223</v>
      </c>
      <c r="F95" s="78">
        <v>1.9000000000000001E-4</v>
      </c>
      <c r="G95" s="68" t="s">
        <v>223</v>
      </c>
      <c r="H95" s="85">
        <v>8.5714285714285699E-5</v>
      </c>
      <c r="I95" s="68" t="s">
        <v>223</v>
      </c>
      <c r="J95" s="68" t="s">
        <v>223</v>
      </c>
      <c r="K95" s="72">
        <v>89</v>
      </c>
    </row>
    <row r="96" spans="1:11" ht="27" customHeight="1">
      <c r="A96" s="66" t="s">
        <v>483</v>
      </c>
      <c r="B96" s="67" t="s">
        <v>484</v>
      </c>
      <c r="C96" s="68"/>
      <c r="D96" s="85">
        <v>7.1428571428571419E-6</v>
      </c>
      <c r="E96" s="68" t="s">
        <v>223</v>
      </c>
      <c r="F96" s="78">
        <v>1.9000000000000001E-4</v>
      </c>
      <c r="G96" s="68" t="s">
        <v>223</v>
      </c>
      <c r="H96" s="85">
        <v>8.5714285714285699E-5</v>
      </c>
      <c r="I96" s="68" t="s">
        <v>223</v>
      </c>
      <c r="J96" s="68" t="s">
        <v>223</v>
      </c>
      <c r="K96" s="72">
        <v>90</v>
      </c>
    </row>
    <row r="97" spans="1:11" ht="16.05" customHeight="1">
      <c r="A97" s="66" t="s">
        <v>487</v>
      </c>
      <c r="B97" s="67" t="s">
        <v>488</v>
      </c>
      <c r="C97" s="68"/>
      <c r="D97" s="68" t="s">
        <v>223</v>
      </c>
      <c r="E97" s="68" t="s">
        <v>223</v>
      </c>
      <c r="F97" s="68" t="s">
        <v>223</v>
      </c>
      <c r="G97" s="68" t="s">
        <v>223</v>
      </c>
      <c r="H97" s="68" t="s">
        <v>223</v>
      </c>
      <c r="I97" s="68" t="s">
        <v>223</v>
      </c>
      <c r="J97" s="70">
        <v>6</v>
      </c>
      <c r="K97" s="72">
        <v>91</v>
      </c>
    </row>
    <row r="98" spans="1:11" ht="16.05" customHeight="1">
      <c r="A98" s="66" t="s">
        <v>489</v>
      </c>
      <c r="B98" s="67" t="s">
        <v>490</v>
      </c>
      <c r="C98" s="68"/>
      <c r="D98" s="73">
        <v>4.2999999999999997E-2</v>
      </c>
      <c r="E98" s="70">
        <v>3</v>
      </c>
      <c r="F98" s="70">
        <v>1.1000000000000001</v>
      </c>
      <c r="G98" s="70">
        <v>13</v>
      </c>
      <c r="H98" s="69">
        <v>0.52</v>
      </c>
      <c r="I98" s="70">
        <v>13</v>
      </c>
      <c r="J98" s="74">
        <v>1300</v>
      </c>
      <c r="K98" s="72">
        <v>92</v>
      </c>
    </row>
    <row r="99" spans="1:11" ht="16.05" customHeight="1">
      <c r="A99" s="66" t="s">
        <v>491</v>
      </c>
      <c r="B99" s="67" t="s">
        <v>492</v>
      </c>
      <c r="C99" s="68"/>
      <c r="D99" s="68" t="s">
        <v>223</v>
      </c>
      <c r="E99" s="71">
        <v>20</v>
      </c>
      <c r="F99" s="68" t="s">
        <v>223</v>
      </c>
      <c r="G99" s="71">
        <v>88</v>
      </c>
      <c r="H99" s="68" t="s">
        <v>223</v>
      </c>
      <c r="I99" s="71">
        <v>88</v>
      </c>
      <c r="J99" s="68" t="s">
        <v>223</v>
      </c>
      <c r="K99" s="72">
        <v>93</v>
      </c>
    </row>
    <row r="100" spans="1:11" ht="16.05" customHeight="1">
      <c r="A100" s="66" t="s">
        <v>496</v>
      </c>
      <c r="B100" s="67" t="s">
        <v>497</v>
      </c>
      <c r="C100" s="68"/>
      <c r="D100" s="68" t="s">
        <v>223</v>
      </c>
      <c r="E100" s="70">
        <v>8</v>
      </c>
      <c r="F100" s="68" t="s">
        <v>223</v>
      </c>
      <c r="G100" s="71">
        <v>35</v>
      </c>
      <c r="H100" s="68" t="s">
        <v>223</v>
      </c>
      <c r="I100" s="71">
        <v>35</v>
      </c>
      <c r="J100" s="68" t="s">
        <v>223</v>
      </c>
      <c r="K100" s="72">
        <v>94</v>
      </c>
    </row>
    <row r="101" spans="1:11" ht="16.05" customHeight="1">
      <c r="A101" s="66" t="s">
        <v>498</v>
      </c>
      <c r="B101" s="67" t="s">
        <v>499</v>
      </c>
      <c r="C101" s="68"/>
      <c r="D101" s="69">
        <v>0.4</v>
      </c>
      <c r="E101" s="74">
        <v>260</v>
      </c>
      <c r="F101" s="71">
        <v>10</v>
      </c>
      <c r="G101" s="74">
        <v>1100</v>
      </c>
      <c r="H101" s="70">
        <v>4.8</v>
      </c>
      <c r="I101" s="74">
        <v>1100</v>
      </c>
      <c r="J101" s="74">
        <v>22000</v>
      </c>
      <c r="K101" s="72">
        <v>95</v>
      </c>
    </row>
    <row r="102" spans="1:11" ht="24">
      <c r="A102" s="66" t="s">
        <v>502</v>
      </c>
      <c r="B102" s="67" t="s">
        <v>503</v>
      </c>
      <c r="C102" s="68"/>
      <c r="D102" s="76">
        <v>1.6999999999999999E-3</v>
      </c>
      <c r="E102" s="70">
        <v>9</v>
      </c>
      <c r="F102" s="73">
        <v>4.2999999999999997E-2</v>
      </c>
      <c r="G102" s="71">
        <v>40</v>
      </c>
      <c r="H102" s="73">
        <v>0.02</v>
      </c>
      <c r="I102" s="71">
        <v>40</v>
      </c>
      <c r="J102" s="68" t="s">
        <v>223</v>
      </c>
      <c r="K102" s="72">
        <v>96</v>
      </c>
    </row>
    <row r="103" spans="1:11" ht="27" customHeight="1">
      <c r="A103" s="66" t="s">
        <v>504</v>
      </c>
      <c r="B103" s="67" t="s">
        <v>505</v>
      </c>
      <c r="C103" s="68"/>
      <c r="D103" s="73">
        <v>3.7999999999999999E-2</v>
      </c>
      <c r="E103" s="70">
        <v>7</v>
      </c>
      <c r="F103" s="70">
        <v>1</v>
      </c>
      <c r="G103" s="71">
        <v>31</v>
      </c>
      <c r="H103" s="69">
        <v>0.46</v>
      </c>
      <c r="I103" s="71">
        <v>31</v>
      </c>
      <c r="J103" s="68" t="s">
        <v>223</v>
      </c>
      <c r="K103" s="72">
        <v>97</v>
      </c>
    </row>
    <row r="104" spans="1:11" ht="16.05" customHeight="1">
      <c r="A104" s="66" t="s">
        <v>506</v>
      </c>
      <c r="B104" s="67" t="s">
        <v>507</v>
      </c>
      <c r="C104" s="68"/>
      <c r="D104" s="68" t="s">
        <v>223</v>
      </c>
      <c r="E104" s="71">
        <v>400</v>
      </c>
      <c r="F104" s="68" t="s">
        <v>223</v>
      </c>
      <c r="G104" s="74">
        <v>1800</v>
      </c>
      <c r="H104" s="68" t="s">
        <v>223</v>
      </c>
      <c r="I104" s="74">
        <v>1800</v>
      </c>
      <c r="J104" s="74">
        <v>2000</v>
      </c>
      <c r="K104" s="72">
        <v>98</v>
      </c>
    </row>
    <row r="105" spans="1:11" ht="27" customHeight="1">
      <c r="A105" s="66" t="s">
        <v>512</v>
      </c>
      <c r="B105" s="67" t="s">
        <v>513</v>
      </c>
      <c r="C105" s="68"/>
      <c r="D105" s="68" t="s">
        <v>223</v>
      </c>
      <c r="E105" s="89">
        <v>82</v>
      </c>
      <c r="F105" s="68" t="s">
        <v>223</v>
      </c>
      <c r="G105" s="89">
        <v>360</v>
      </c>
      <c r="H105" s="68" t="s">
        <v>223</v>
      </c>
      <c r="I105" s="89">
        <v>360</v>
      </c>
      <c r="J105" s="74">
        <v>29000</v>
      </c>
      <c r="K105" s="72">
        <v>99</v>
      </c>
    </row>
    <row r="106" spans="1:11" ht="27" customHeight="1">
      <c r="A106" s="66" t="s">
        <v>514</v>
      </c>
      <c r="B106" s="67" t="s">
        <v>515</v>
      </c>
      <c r="C106" s="68"/>
      <c r="D106" s="68" t="s">
        <v>223</v>
      </c>
      <c r="E106" s="71">
        <v>70</v>
      </c>
      <c r="F106" s="68" t="s">
        <v>223</v>
      </c>
      <c r="G106" s="71">
        <v>310</v>
      </c>
      <c r="H106" s="68" t="s">
        <v>223</v>
      </c>
      <c r="I106" s="71">
        <v>310</v>
      </c>
      <c r="J106" s="71">
        <v>370</v>
      </c>
      <c r="K106" s="72">
        <v>100</v>
      </c>
    </row>
    <row r="107" spans="1:11" ht="27" customHeight="1">
      <c r="A107" s="66" t="s">
        <v>516</v>
      </c>
      <c r="B107" s="67" t="s">
        <v>517</v>
      </c>
      <c r="C107" s="68"/>
      <c r="D107" s="68" t="s">
        <v>223</v>
      </c>
      <c r="E107" s="71">
        <v>60</v>
      </c>
      <c r="F107" s="68" t="s">
        <v>223</v>
      </c>
      <c r="G107" s="71">
        <v>260</v>
      </c>
      <c r="H107" s="68" t="s">
        <v>223</v>
      </c>
      <c r="I107" s="71">
        <v>260</v>
      </c>
      <c r="J107" s="71">
        <v>140</v>
      </c>
      <c r="K107" s="72">
        <v>101</v>
      </c>
    </row>
    <row r="108" spans="1:11" ht="27" customHeight="1">
      <c r="A108" s="66" t="s">
        <v>518</v>
      </c>
      <c r="B108" s="67" t="s">
        <v>519</v>
      </c>
      <c r="C108" s="68"/>
      <c r="D108" s="68" t="s">
        <v>223</v>
      </c>
      <c r="E108" s="71">
        <v>60</v>
      </c>
      <c r="F108" s="68" t="s">
        <v>223</v>
      </c>
      <c r="G108" s="71">
        <v>260</v>
      </c>
      <c r="H108" s="68" t="s">
        <v>223</v>
      </c>
      <c r="I108" s="71">
        <v>260</v>
      </c>
      <c r="J108" s="71">
        <v>93</v>
      </c>
      <c r="K108" s="72">
        <v>102</v>
      </c>
    </row>
    <row r="109" spans="1:11" ht="27" customHeight="1">
      <c r="A109" s="66" t="s">
        <v>520</v>
      </c>
      <c r="B109" s="67" t="s">
        <v>521</v>
      </c>
      <c r="C109" s="68"/>
      <c r="D109" s="68" t="s">
        <v>223</v>
      </c>
      <c r="E109" s="70">
        <v>1</v>
      </c>
      <c r="F109" s="68" t="s">
        <v>223</v>
      </c>
      <c r="G109" s="70">
        <v>4.4000000000000004</v>
      </c>
      <c r="H109" s="68" t="s">
        <v>223</v>
      </c>
      <c r="I109" s="70">
        <v>4.4000000000000004</v>
      </c>
      <c r="J109" s="68" t="s">
        <v>223</v>
      </c>
      <c r="K109" s="72">
        <v>103</v>
      </c>
    </row>
    <row r="110" spans="1:11" ht="16.05" customHeight="1">
      <c r="A110" s="66" t="s">
        <v>526</v>
      </c>
      <c r="B110" s="67" t="s">
        <v>527</v>
      </c>
      <c r="C110" s="68" t="s">
        <v>1371</v>
      </c>
      <c r="D110" s="78">
        <v>2.0000000000000001E-4</v>
      </c>
      <c r="E110" s="71">
        <v>30</v>
      </c>
      <c r="F110" s="76">
        <v>2.0999999999999999E-3</v>
      </c>
      <c r="G110" s="71">
        <v>130</v>
      </c>
      <c r="H110" s="76">
        <v>4.0000000000000001E-3</v>
      </c>
      <c r="I110" s="71">
        <v>130</v>
      </c>
      <c r="J110" s="71">
        <v>160</v>
      </c>
      <c r="K110" s="72">
        <v>104</v>
      </c>
    </row>
    <row r="111" spans="1:11" ht="16.05" customHeight="1">
      <c r="A111" s="66" t="s">
        <v>528</v>
      </c>
      <c r="B111" s="67" t="s">
        <v>529</v>
      </c>
      <c r="C111" s="68"/>
      <c r="D111" s="73">
        <v>7.6999999999999999E-2</v>
      </c>
      <c r="E111" s="68" t="s">
        <v>223</v>
      </c>
      <c r="F111" s="70">
        <v>2</v>
      </c>
      <c r="G111" s="68" t="s">
        <v>223</v>
      </c>
      <c r="H111" s="69">
        <v>0.92</v>
      </c>
      <c r="I111" s="68" t="s">
        <v>223</v>
      </c>
      <c r="J111" s="68" t="s">
        <v>223</v>
      </c>
      <c r="K111" s="72">
        <v>105</v>
      </c>
    </row>
    <row r="112" spans="1:11" ht="16.05" customHeight="1">
      <c r="A112" s="66" t="s">
        <v>532</v>
      </c>
      <c r="B112" s="67" t="s">
        <v>532</v>
      </c>
      <c r="C112" s="66" t="s">
        <v>1374</v>
      </c>
      <c r="D112" s="68" t="s">
        <v>223</v>
      </c>
      <c r="E112" s="70">
        <v>2.2999999999999998</v>
      </c>
      <c r="F112" s="68" t="s">
        <v>223</v>
      </c>
      <c r="G112" s="71">
        <v>20</v>
      </c>
      <c r="H112" s="68" t="s">
        <v>223</v>
      </c>
      <c r="I112" s="71">
        <v>20</v>
      </c>
      <c r="J112" s="71">
        <v>240</v>
      </c>
      <c r="K112" s="72">
        <v>106</v>
      </c>
    </row>
    <row r="113" spans="1:11" ht="16.05" customHeight="1">
      <c r="A113" s="66" t="s">
        <v>533</v>
      </c>
      <c r="B113" s="67" t="s">
        <v>534</v>
      </c>
      <c r="C113" s="68"/>
      <c r="D113" s="68" t="s">
        <v>223</v>
      </c>
      <c r="E113" s="68" t="s">
        <v>223</v>
      </c>
      <c r="F113" s="68" t="s">
        <v>223</v>
      </c>
      <c r="G113" s="68" t="s">
        <v>223</v>
      </c>
      <c r="H113" s="68" t="s">
        <v>223</v>
      </c>
      <c r="I113" s="68" t="s">
        <v>223</v>
      </c>
      <c r="J113" s="71">
        <v>16</v>
      </c>
      <c r="K113" s="72">
        <v>107</v>
      </c>
    </row>
    <row r="114" spans="1:11" ht="16.05" customHeight="1">
      <c r="A114" s="66" t="s">
        <v>535</v>
      </c>
      <c r="B114" s="67" t="s">
        <v>536</v>
      </c>
      <c r="C114" s="68"/>
      <c r="D114" s="73">
        <v>0.17</v>
      </c>
      <c r="E114" s="69">
        <v>9</v>
      </c>
      <c r="F114" s="70">
        <v>4.3</v>
      </c>
      <c r="G114" s="69">
        <v>40</v>
      </c>
      <c r="H114" s="69">
        <v>2</v>
      </c>
      <c r="I114" s="69">
        <v>40</v>
      </c>
      <c r="J114" s="71">
        <v>49</v>
      </c>
      <c r="K114" s="72">
        <v>108</v>
      </c>
    </row>
    <row r="115" spans="1:11" ht="16.05" customHeight="1">
      <c r="A115" s="66" t="s">
        <v>544</v>
      </c>
      <c r="B115" s="67" t="s">
        <v>545</v>
      </c>
      <c r="C115" s="68"/>
      <c r="D115" s="68" t="s">
        <v>223</v>
      </c>
      <c r="E115" s="73">
        <v>0.08</v>
      </c>
      <c r="F115" s="68" t="s">
        <v>223</v>
      </c>
      <c r="G115" s="69">
        <v>0.35</v>
      </c>
      <c r="H115" s="68" t="s">
        <v>223</v>
      </c>
      <c r="I115" s="69">
        <v>0.35</v>
      </c>
      <c r="J115" s="70">
        <v>4.0999999999999996</v>
      </c>
      <c r="K115" s="72">
        <v>109</v>
      </c>
    </row>
    <row r="116" spans="1:11" ht="16.05" customHeight="1">
      <c r="A116" s="66" t="s">
        <v>554</v>
      </c>
      <c r="B116" s="67" t="s">
        <v>555</v>
      </c>
      <c r="C116" s="68"/>
      <c r="D116" s="78">
        <v>7.6999999999999996E-4</v>
      </c>
      <c r="E116" s="68" t="s">
        <v>223</v>
      </c>
      <c r="F116" s="73">
        <v>0.02</v>
      </c>
      <c r="G116" s="68" t="s">
        <v>223</v>
      </c>
      <c r="H116" s="76">
        <v>9.1999999999999998E-3</v>
      </c>
      <c r="I116" s="68" t="s">
        <v>223</v>
      </c>
      <c r="J116" s="68" t="s">
        <v>223</v>
      </c>
      <c r="K116" s="72">
        <v>110</v>
      </c>
    </row>
    <row r="117" spans="1:11" ht="16.05" customHeight="1">
      <c r="A117" s="66" t="s">
        <v>556</v>
      </c>
      <c r="B117" s="67" t="s">
        <v>557</v>
      </c>
      <c r="C117" s="68"/>
      <c r="D117" s="78">
        <v>3.8000000000000002E-4</v>
      </c>
      <c r="E117" s="68" t="s">
        <v>223</v>
      </c>
      <c r="F117" s="76">
        <v>0.01</v>
      </c>
      <c r="G117" s="68" t="s">
        <v>223</v>
      </c>
      <c r="H117" s="76">
        <v>4.5999999999999999E-3</v>
      </c>
      <c r="I117" s="68" t="s">
        <v>223</v>
      </c>
      <c r="J117" s="68" t="s">
        <v>223</v>
      </c>
      <c r="K117" s="72">
        <v>111</v>
      </c>
    </row>
    <row r="118" spans="1:11" ht="16.05" customHeight="1">
      <c r="A118" s="66" t="s">
        <v>558</v>
      </c>
      <c r="B118" s="67" t="s">
        <v>559</v>
      </c>
      <c r="C118" s="68"/>
      <c r="D118" s="76">
        <v>2E-3</v>
      </c>
      <c r="E118" s="68" t="s">
        <v>223</v>
      </c>
      <c r="F118" s="73">
        <v>5.0999999999999997E-2</v>
      </c>
      <c r="G118" s="68" t="s">
        <v>223</v>
      </c>
      <c r="H118" s="73">
        <v>2.4E-2</v>
      </c>
      <c r="I118" s="68" t="s">
        <v>223</v>
      </c>
      <c r="J118" s="68" t="s">
        <v>223</v>
      </c>
      <c r="K118" s="72">
        <v>112</v>
      </c>
    </row>
    <row r="119" spans="1:11" ht="16.05" customHeight="1">
      <c r="A119" s="66" t="s">
        <v>560</v>
      </c>
      <c r="B119" s="67" t="s">
        <v>561</v>
      </c>
      <c r="C119" s="68"/>
      <c r="D119" s="73">
        <v>4.4999999999999998E-2</v>
      </c>
      <c r="E119" s="68" t="s">
        <v>223</v>
      </c>
      <c r="F119" s="70">
        <v>1.2</v>
      </c>
      <c r="G119" s="68" t="s">
        <v>223</v>
      </c>
      <c r="H119" s="69">
        <v>0.55000000000000004</v>
      </c>
      <c r="I119" s="68" t="s">
        <v>223</v>
      </c>
      <c r="J119" s="68" t="s">
        <v>223</v>
      </c>
      <c r="K119" s="72">
        <v>113</v>
      </c>
    </row>
    <row r="120" spans="1:11" ht="37.049999999999997" customHeight="1">
      <c r="A120" s="66" t="s">
        <v>562</v>
      </c>
      <c r="B120" s="67" t="s">
        <v>563</v>
      </c>
      <c r="C120" s="66" t="s">
        <v>1374</v>
      </c>
      <c r="D120" s="78">
        <v>1.7000000000000001E-4</v>
      </c>
      <c r="E120" s="68" t="s">
        <v>223</v>
      </c>
      <c r="F120" s="73">
        <v>1.7999999999999999E-2</v>
      </c>
      <c r="G120" s="68" t="s">
        <v>223</v>
      </c>
      <c r="H120" s="76">
        <v>8.3999999999999995E-3</v>
      </c>
      <c r="I120" s="68" t="s">
        <v>223</v>
      </c>
      <c r="J120" s="68" t="s">
        <v>223</v>
      </c>
      <c r="K120" s="72">
        <v>114</v>
      </c>
    </row>
    <row r="121" spans="1:11" ht="27" customHeight="1">
      <c r="A121" s="66" t="s">
        <v>564</v>
      </c>
      <c r="B121" s="87" t="s">
        <v>565</v>
      </c>
      <c r="C121" s="66" t="s">
        <v>1374</v>
      </c>
      <c r="D121" s="78">
        <v>1.7000000000000001E-4</v>
      </c>
      <c r="E121" s="68" t="s">
        <v>223</v>
      </c>
      <c r="F121" s="73">
        <v>1.7999999999999999E-2</v>
      </c>
      <c r="G121" s="68" t="s">
        <v>223</v>
      </c>
      <c r="H121" s="76">
        <v>8.3999999999999995E-3</v>
      </c>
      <c r="I121" s="68" t="s">
        <v>223</v>
      </c>
      <c r="J121" s="68" t="s">
        <v>223</v>
      </c>
      <c r="K121" s="72">
        <v>115</v>
      </c>
    </row>
    <row r="122" spans="1:11" ht="27" customHeight="1">
      <c r="A122" s="66" t="s">
        <v>566</v>
      </c>
      <c r="B122" s="87" t="s">
        <v>567</v>
      </c>
      <c r="C122" s="66" t="s">
        <v>1374</v>
      </c>
      <c r="D122" s="78">
        <v>1.7000000000000001E-4</v>
      </c>
      <c r="E122" s="68" t="s">
        <v>223</v>
      </c>
      <c r="F122" s="73">
        <v>1.7999999999999999E-2</v>
      </c>
      <c r="G122" s="68" t="s">
        <v>223</v>
      </c>
      <c r="H122" s="76">
        <v>8.3999999999999995E-3</v>
      </c>
      <c r="I122" s="68" t="s">
        <v>223</v>
      </c>
      <c r="J122" s="68" t="s">
        <v>223</v>
      </c>
      <c r="K122" s="72">
        <v>116</v>
      </c>
    </row>
    <row r="123" spans="1:11" ht="37.049999999999997" customHeight="1">
      <c r="A123" s="66" t="s">
        <v>568</v>
      </c>
      <c r="B123" s="87" t="s">
        <v>569</v>
      </c>
      <c r="C123" s="66" t="s">
        <v>1374</v>
      </c>
      <c r="D123" s="78">
        <v>5.9999999999999995E-4</v>
      </c>
      <c r="E123" s="68" t="s">
        <v>223</v>
      </c>
      <c r="F123" s="73">
        <v>6.5000000000000002E-2</v>
      </c>
      <c r="G123" s="68" t="s">
        <v>223</v>
      </c>
      <c r="H123" s="73">
        <v>0.03</v>
      </c>
      <c r="I123" s="68" t="s">
        <v>223</v>
      </c>
      <c r="J123" s="68" t="s">
        <v>223</v>
      </c>
      <c r="K123" s="72">
        <v>117</v>
      </c>
    </row>
    <row r="124" spans="1:11" ht="16.05" customHeight="1">
      <c r="A124" s="66" t="s">
        <v>570</v>
      </c>
      <c r="B124" s="67" t="s">
        <v>571</v>
      </c>
      <c r="C124" s="68"/>
      <c r="D124" s="68" t="s">
        <v>223</v>
      </c>
      <c r="E124" s="69">
        <v>0.2</v>
      </c>
      <c r="F124" s="68" t="s">
        <v>223</v>
      </c>
      <c r="G124" s="69">
        <v>0.88</v>
      </c>
      <c r="H124" s="68" t="s">
        <v>223</v>
      </c>
      <c r="I124" s="69">
        <v>0.88</v>
      </c>
      <c r="J124" s="71">
        <v>110</v>
      </c>
      <c r="K124" s="72">
        <v>118</v>
      </c>
    </row>
    <row r="125" spans="1:11" ht="16.05" customHeight="1">
      <c r="A125" s="66" t="s">
        <v>572</v>
      </c>
      <c r="B125" s="67" t="s">
        <v>573</v>
      </c>
      <c r="C125" s="68"/>
      <c r="D125" s="68" t="s">
        <v>223</v>
      </c>
      <c r="E125" s="71">
        <v>30</v>
      </c>
      <c r="F125" s="68" t="s">
        <v>223</v>
      </c>
      <c r="G125" s="71">
        <v>130</v>
      </c>
      <c r="H125" s="68" t="s">
        <v>223</v>
      </c>
      <c r="I125" s="71">
        <v>130</v>
      </c>
      <c r="J125" s="74">
        <v>58000</v>
      </c>
      <c r="K125" s="72">
        <v>119</v>
      </c>
    </row>
    <row r="126" spans="1:11" ht="27" customHeight="1">
      <c r="A126" s="66" t="s">
        <v>576</v>
      </c>
      <c r="B126" s="67" t="s">
        <v>577</v>
      </c>
      <c r="C126" s="68"/>
      <c r="D126" s="68" t="s">
        <v>223</v>
      </c>
      <c r="E126" s="73">
        <v>6.9000000000000006E-2</v>
      </c>
      <c r="F126" s="68" t="s">
        <v>223</v>
      </c>
      <c r="G126" s="73">
        <v>0.3</v>
      </c>
      <c r="H126" s="68" t="s">
        <v>223</v>
      </c>
      <c r="I126" s="73">
        <v>0.3</v>
      </c>
      <c r="J126" s="69">
        <v>0.21</v>
      </c>
      <c r="K126" s="72">
        <v>120</v>
      </c>
    </row>
    <row r="127" spans="1:11" ht="16.05" customHeight="1">
      <c r="A127" s="66" t="s">
        <v>578</v>
      </c>
      <c r="B127" s="67" t="s">
        <v>579</v>
      </c>
      <c r="C127" s="68"/>
      <c r="D127" s="68" t="s">
        <v>223</v>
      </c>
      <c r="E127" s="71">
        <v>700</v>
      </c>
      <c r="F127" s="68" t="s">
        <v>223</v>
      </c>
      <c r="G127" s="74">
        <v>3100</v>
      </c>
      <c r="H127" s="68" t="s">
        <v>223</v>
      </c>
      <c r="I127" s="74">
        <v>3100</v>
      </c>
      <c r="J127" s="68" t="s">
        <v>223</v>
      </c>
      <c r="K127" s="72">
        <v>121</v>
      </c>
    </row>
    <row r="128" spans="1:11" ht="16.05" customHeight="1">
      <c r="A128" s="66" t="s">
        <v>580</v>
      </c>
      <c r="B128" s="67" t="s">
        <v>581</v>
      </c>
      <c r="C128" s="68"/>
      <c r="D128" s="78">
        <v>2.0000000000000001E-4</v>
      </c>
      <c r="E128" s="73">
        <v>0.03</v>
      </c>
      <c r="F128" s="76">
        <v>5.3E-3</v>
      </c>
      <c r="G128" s="69">
        <v>0.13</v>
      </c>
      <c r="H128" s="76">
        <v>2.3999999999999998E-3</v>
      </c>
      <c r="I128" s="69">
        <v>0.13</v>
      </c>
      <c r="J128" s="70">
        <v>5.2</v>
      </c>
      <c r="K128" s="72">
        <v>122</v>
      </c>
    </row>
    <row r="129" spans="1:11" ht="16.05" customHeight="1">
      <c r="A129" s="66" t="s">
        <v>584</v>
      </c>
      <c r="B129" s="67" t="s">
        <v>585</v>
      </c>
      <c r="C129" s="68"/>
      <c r="D129" s="68" t="s">
        <v>223</v>
      </c>
      <c r="E129" s="71">
        <v>20</v>
      </c>
      <c r="F129" s="68" t="s">
        <v>223</v>
      </c>
      <c r="G129" s="71">
        <v>88</v>
      </c>
      <c r="H129" s="68" t="s">
        <v>223</v>
      </c>
      <c r="I129" s="71">
        <v>88</v>
      </c>
      <c r="J129" s="74">
        <v>2100</v>
      </c>
      <c r="K129" s="72">
        <v>123</v>
      </c>
    </row>
    <row r="130" spans="1:11" ht="16.05" customHeight="1">
      <c r="A130" s="66" t="s">
        <v>588</v>
      </c>
      <c r="B130" s="67" t="s">
        <v>589</v>
      </c>
      <c r="C130" s="66" t="s">
        <v>1374</v>
      </c>
      <c r="D130" s="68" t="s">
        <v>223</v>
      </c>
      <c r="E130" s="70">
        <v>2.1</v>
      </c>
      <c r="F130" s="68" t="s">
        <v>223</v>
      </c>
      <c r="G130" s="71">
        <v>19</v>
      </c>
      <c r="H130" s="68" t="s">
        <v>223</v>
      </c>
      <c r="I130" s="71">
        <v>19</v>
      </c>
      <c r="J130" s="71">
        <v>16</v>
      </c>
      <c r="K130" s="72">
        <v>124</v>
      </c>
    </row>
    <row r="131" spans="1:11" ht="16.05" customHeight="1">
      <c r="A131" s="92" t="s">
        <v>590</v>
      </c>
      <c r="B131" s="67" t="s">
        <v>591</v>
      </c>
      <c r="C131" s="68"/>
      <c r="D131" s="68" t="s">
        <v>223</v>
      </c>
      <c r="E131" s="70">
        <v>2</v>
      </c>
      <c r="F131" s="68" t="s">
        <v>223</v>
      </c>
      <c r="G131" s="70">
        <v>8.8000000000000007</v>
      </c>
      <c r="H131" s="68" t="s">
        <v>223</v>
      </c>
      <c r="I131" s="70">
        <v>8.8000000000000007</v>
      </c>
      <c r="J131" s="71">
        <v>98</v>
      </c>
      <c r="K131" s="72">
        <v>125</v>
      </c>
    </row>
    <row r="132" spans="1:11" ht="16.05" customHeight="1">
      <c r="A132" s="66" t="s">
        <v>598</v>
      </c>
      <c r="B132" s="67" t="s">
        <v>599</v>
      </c>
      <c r="C132" s="68"/>
      <c r="D132" s="68" t="s">
        <v>223</v>
      </c>
      <c r="E132" s="74">
        <v>2000</v>
      </c>
      <c r="F132" s="68" t="s">
        <v>223</v>
      </c>
      <c r="G132" s="74">
        <v>8800</v>
      </c>
      <c r="H132" s="68" t="s">
        <v>223</v>
      </c>
      <c r="I132" s="74">
        <v>8800</v>
      </c>
      <c r="J132" s="68" t="s">
        <v>223</v>
      </c>
      <c r="K132" s="72">
        <v>126</v>
      </c>
    </row>
    <row r="133" spans="1:11" ht="16.05" customHeight="1">
      <c r="A133" s="66" t="s">
        <v>602</v>
      </c>
      <c r="B133" s="67" t="s">
        <v>603</v>
      </c>
      <c r="C133" s="68"/>
      <c r="D133" s="68" t="s">
        <v>223</v>
      </c>
      <c r="E133" s="71">
        <v>200</v>
      </c>
      <c r="F133" s="68" t="s">
        <v>223</v>
      </c>
      <c r="G133" s="71">
        <v>880</v>
      </c>
      <c r="H133" s="68" t="s">
        <v>223</v>
      </c>
      <c r="I133" s="71">
        <v>880</v>
      </c>
      <c r="J133" s="74">
        <v>3200</v>
      </c>
      <c r="K133" s="72">
        <v>127</v>
      </c>
    </row>
    <row r="134" spans="1:11" ht="27" customHeight="1">
      <c r="A134" s="66" t="s">
        <v>604</v>
      </c>
      <c r="B134" s="67" t="s">
        <v>605</v>
      </c>
      <c r="C134" s="68"/>
      <c r="D134" s="68" t="s">
        <v>223</v>
      </c>
      <c r="E134" s="71">
        <v>400</v>
      </c>
      <c r="F134" s="68" t="s">
        <v>223</v>
      </c>
      <c r="G134" s="74">
        <v>1800</v>
      </c>
      <c r="H134" s="68" t="s">
        <v>223</v>
      </c>
      <c r="I134" s="74">
        <v>1800</v>
      </c>
      <c r="J134" s="68" t="s">
        <v>223</v>
      </c>
      <c r="K134" s="72">
        <v>128</v>
      </c>
    </row>
    <row r="135" spans="1:11" ht="16.05" customHeight="1">
      <c r="A135" s="66" t="s">
        <v>610</v>
      </c>
      <c r="B135" s="67" t="s">
        <v>611</v>
      </c>
      <c r="C135" s="66" t="s">
        <v>1375</v>
      </c>
      <c r="D135" s="76" t="s">
        <v>223</v>
      </c>
      <c r="E135" s="69">
        <v>0.15</v>
      </c>
      <c r="F135" s="69" t="s">
        <v>223</v>
      </c>
      <c r="G135" s="69">
        <v>0.66</v>
      </c>
      <c r="H135" s="69" t="s">
        <v>223</v>
      </c>
      <c r="I135" s="69">
        <v>0.66</v>
      </c>
      <c r="J135" s="69">
        <v>0.15</v>
      </c>
      <c r="K135" s="72">
        <v>129</v>
      </c>
    </row>
    <row r="136" spans="1:11" ht="16.05" customHeight="1">
      <c r="A136" s="66" t="s">
        <v>614</v>
      </c>
      <c r="B136" s="67" t="s">
        <v>615</v>
      </c>
      <c r="C136" s="68"/>
      <c r="D136" s="68" t="s">
        <v>223</v>
      </c>
      <c r="E136" s="69">
        <v>0.7</v>
      </c>
      <c r="F136" s="68" t="s">
        <v>223</v>
      </c>
      <c r="G136" s="70">
        <v>3.1</v>
      </c>
      <c r="H136" s="68" t="s">
        <v>223</v>
      </c>
      <c r="I136" s="70">
        <v>3.1</v>
      </c>
      <c r="J136" s="68" t="s">
        <v>223</v>
      </c>
      <c r="K136" s="72">
        <v>130</v>
      </c>
    </row>
    <row r="137" spans="1:11" ht="16.05" customHeight="1">
      <c r="A137" s="66" t="s">
        <v>616</v>
      </c>
      <c r="B137" s="67" t="s">
        <v>617</v>
      </c>
      <c r="C137" s="68" t="s">
        <v>1372</v>
      </c>
      <c r="D137" s="68" t="s">
        <v>223</v>
      </c>
      <c r="E137" s="73">
        <v>0.09</v>
      </c>
      <c r="F137" s="68" t="s">
        <v>223</v>
      </c>
      <c r="G137" s="69">
        <v>0.4</v>
      </c>
      <c r="H137" s="68" t="s">
        <v>223</v>
      </c>
      <c r="I137" s="69">
        <v>0.4</v>
      </c>
      <c r="J137" s="69">
        <v>0.3</v>
      </c>
      <c r="K137" s="72">
        <v>131</v>
      </c>
    </row>
    <row r="138" spans="1:11" ht="16.05" customHeight="1">
      <c r="A138" s="66" t="s">
        <v>622</v>
      </c>
      <c r="B138" s="67" t="s">
        <v>623</v>
      </c>
      <c r="C138" s="66" t="s">
        <v>1375</v>
      </c>
      <c r="D138" s="68" t="s">
        <v>223</v>
      </c>
      <c r="E138" s="73">
        <v>7.6999999999999999E-2</v>
      </c>
      <c r="F138" s="68" t="s">
        <v>223</v>
      </c>
      <c r="G138" s="69">
        <v>0.63</v>
      </c>
      <c r="H138" s="68" t="s">
        <v>223</v>
      </c>
      <c r="I138" s="69">
        <v>0.63</v>
      </c>
      <c r="J138" s="69">
        <v>0.6</v>
      </c>
      <c r="K138" s="72">
        <v>132</v>
      </c>
    </row>
    <row r="139" spans="1:11" ht="16.05" customHeight="1">
      <c r="A139" s="66" t="s">
        <v>630</v>
      </c>
      <c r="B139" s="67" t="s">
        <v>631</v>
      </c>
      <c r="C139" s="68"/>
      <c r="D139" s="68" t="s">
        <v>223</v>
      </c>
      <c r="E139" s="74">
        <v>4000</v>
      </c>
      <c r="F139" s="68" t="s">
        <v>223</v>
      </c>
      <c r="G139" s="74">
        <v>18000</v>
      </c>
      <c r="H139" s="68" t="s">
        <v>223</v>
      </c>
      <c r="I139" s="74">
        <v>18000</v>
      </c>
      <c r="J139" s="74">
        <v>28000</v>
      </c>
      <c r="K139" s="72">
        <v>133</v>
      </c>
    </row>
    <row r="140" spans="1:11" ht="27" customHeight="1">
      <c r="A140" s="66" t="s">
        <v>636</v>
      </c>
      <c r="B140" s="87" t="s">
        <v>637</v>
      </c>
      <c r="C140" s="68"/>
      <c r="D140" s="76">
        <v>2.3E-3</v>
      </c>
      <c r="E140" s="68" t="s">
        <v>223</v>
      </c>
      <c r="F140" s="73">
        <v>0.06</v>
      </c>
      <c r="G140" s="68" t="s">
        <v>223</v>
      </c>
      <c r="H140" s="73">
        <v>2.8000000000000001E-2</v>
      </c>
      <c r="I140" s="68" t="s">
        <v>223</v>
      </c>
      <c r="J140" s="68" t="s">
        <v>223</v>
      </c>
      <c r="K140" s="72">
        <v>134</v>
      </c>
    </row>
    <row r="141" spans="1:11" ht="27" customHeight="1">
      <c r="A141" s="66" t="s">
        <v>638</v>
      </c>
      <c r="B141" s="67" t="s">
        <v>639</v>
      </c>
      <c r="C141" s="68"/>
      <c r="D141" s="78">
        <v>2.9999999999999997E-4</v>
      </c>
      <c r="E141" s="71">
        <v>20</v>
      </c>
      <c r="F141" s="73">
        <v>2.3E-2</v>
      </c>
      <c r="G141" s="71">
        <v>88</v>
      </c>
      <c r="H141" s="73">
        <v>0.01</v>
      </c>
      <c r="I141" s="71">
        <v>88</v>
      </c>
      <c r="J141" s="68" t="s">
        <v>223</v>
      </c>
      <c r="K141" s="72">
        <v>135</v>
      </c>
    </row>
    <row r="142" spans="1:11" ht="27" customHeight="1">
      <c r="A142" s="66" t="s">
        <v>646</v>
      </c>
      <c r="B142" s="67" t="s">
        <v>647</v>
      </c>
      <c r="C142" s="68"/>
      <c r="D142" s="68" t="s">
        <v>223</v>
      </c>
      <c r="E142" s="69">
        <v>0.08</v>
      </c>
      <c r="F142" s="68" t="s">
        <v>223</v>
      </c>
      <c r="G142" s="69">
        <v>0.35</v>
      </c>
      <c r="H142" s="93" t="s">
        <v>223</v>
      </c>
      <c r="I142" s="69">
        <v>0.35</v>
      </c>
      <c r="J142" s="71">
        <v>12</v>
      </c>
      <c r="K142" s="72">
        <v>136</v>
      </c>
    </row>
    <row r="143" spans="1:11" ht="27" customHeight="1">
      <c r="A143" s="66" t="s">
        <v>654</v>
      </c>
      <c r="B143" s="67" t="s">
        <v>655</v>
      </c>
      <c r="C143" s="68"/>
      <c r="D143" s="68" t="s">
        <v>223</v>
      </c>
      <c r="E143" s="74">
        <v>3000</v>
      </c>
      <c r="F143" s="68" t="s">
        <v>223</v>
      </c>
      <c r="G143" s="74">
        <v>13000</v>
      </c>
      <c r="H143" s="68" t="s">
        <v>223</v>
      </c>
      <c r="I143" s="74">
        <v>13000</v>
      </c>
      <c r="J143" s="68" t="s">
        <v>223</v>
      </c>
      <c r="K143" s="72">
        <v>137</v>
      </c>
    </row>
    <row r="144" spans="1:11" ht="16.05" customHeight="1">
      <c r="A144" s="66" t="s">
        <v>656</v>
      </c>
      <c r="B144" s="67" t="s">
        <v>657</v>
      </c>
      <c r="C144" s="68"/>
      <c r="D144" s="68" t="s">
        <v>223</v>
      </c>
      <c r="E144" s="70">
        <v>1</v>
      </c>
      <c r="F144" s="68" t="s">
        <v>223</v>
      </c>
      <c r="G144" s="70">
        <v>4.4000000000000004</v>
      </c>
      <c r="H144" s="68" t="s">
        <v>223</v>
      </c>
      <c r="I144" s="70">
        <v>4.4000000000000004</v>
      </c>
      <c r="J144" s="68" t="s">
        <v>223</v>
      </c>
      <c r="K144" s="72">
        <v>138</v>
      </c>
    </row>
    <row r="145" spans="1:11" ht="16.05" customHeight="1">
      <c r="A145" s="66" t="s">
        <v>660</v>
      </c>
      <c r="B145" s="67" t="s">
        <v>661</v>
      </c>
      <c r="C145" s="68"/>
      <c r="D145" s="68" t="s">
        <v>223</v>
      </c>
      <c r="E145" s="71">
        <v>700</v>
      </c>
      <c r="F145" s="68" t="s">
        <v>223</v>
      </c>
      <c r="G145" s="74">
        <v>3100</v>
      </c>
      <c r="H145" s="68" t="s">
        <v>223</v>
      </c>
      <c r="I145" s="74">
        <v>3100</v>
      </c>
      <c r="J145" s="68" t="s">
        <v>223</v>
      </c>
      <c r="K145" s="72">
        <v>139</v>
      </c>
    </row>
    <row r="146" spans="1:11" ht="16.05" customHeight="1">
      <c r="A146" s="66" t="s">
        <v>674</v>
      </c>
      <c r="B146" s="87" t="s">
        <v>675</v>
      </c>
      <c r="C146" s="68"/>
      <c r="D146" s="70">
        <v>3.8</v>
      </c>
      <c r="E146" s="74">
        <v>8000</v>
      </c>
      <c r="F146" s="71">
        <v>100</v>
      </c>
      <c r="G146" s="74">
        <v>35000</v>
      </c>
      <c r="H146" s="71">
        <v>46</v>
      </c>
      <c r="I146" s="74">
        <v>35000</v>
      </c>
      <c r="J146" s="74">
        <v>8000</v>
      </c>
      <c r="K146" s="72">
        <v>140</v>
      </c>
    </row>
    <row r="147" spans="1:11" ht="16.05" customHeight="1">
      <c r="A147" s="66" t="s">
        <v>678</v>
      </c>
      <c r="B147" s="67" t="s">
        <v>679</v>
      </c>
      <c r="C147" s="68"/>
      <c r="D147" s="76">
        <v>4.0000000000000001E-3</v>
      </c>
      <c r="E147" s="68" t="s">
        <v>223</v>
      </c>
      <c r="F147" s="69">
        <v>0.1</v>
      </c>
      <c r="G147" s="68" t="s">
        <v>223</v>
      </c>
      <c r="H147" s="73">
        <v>4.8000000000000001E-2</v>
      </c>
      <c r="I147" s="68" t="s">
        <v>223</v>
      </c>
      <c r="J147" s="68" t="s">
        <v>223</v>
      </c>
      <c r="K147" s="72">
        <v>141</v>
      </c>
    </row>
    <row r="148" spans="1:11" ht="16.05" customHeight="1">
      <c r="A148" s="66" t="s">
        <v>692</v>
      </c>
      <c r="B148" s="67" t="s">
        <v>693</v>
      </c>
      <c r="C148" s="66" t="s">
        <v>1374</v>
      </c>
      <c r="D148" s="73">
        <v>2.9000000000000001E-2</v>
      </c>
      <c r="E148" s="70">
        <v>3.7</v>
      </c>
      <c r="F148" s="69">
        <v>0.76</v>
      </c>
      <c r="G148" s="71">
        <v>16</v>
      </c>
      <c r="H148" s="69">
        <v>0.35</v>
      </c>
      <c r="I148" s="71">
        <v>16</v>
      </c>
      <c r="J148" s="71">
        <v>200</v>
      </c>
      <c r="K148" s="72">
        <v>142</v>
      </c>
    </row>
    <row r="149" spans="1:11">
      <c r="A149" s="119" t="s">
        <v>694</v>
      </c>
      <c r="B149" s="67" t="s">
        <v>696</v>
      </c>
      <c r="C149" s="66" t="s">
        <v>1384</v>
      </c>
      <c r="D149" s="76">
        <v>3.8E-3</v>
      </c>
      <c r="E149" s="73">
        <v>1.4E-2</v>
      </c>
      <c r="F149" s="69">
        <v>0.1</v>
      </c>
      <c r="G149" s="73">
        <v>6.2E-2</v>
      </c>
      <c r="H149" s="73">
        <v>4.5999999999999999E-2</v>
      </c>
      <c r="I149" s="73">
        <v>6.2E-2</v>
      </c>
      <c r="J149" s="69">
        <v>0.2</v>
      </c>
      <c r="K149" s="72">
        <v>143</v>
      </c>
    </row>
    <row r="150" spans="1:11" ht="15.75" customHeight="1">
      <c r="A150" s="68" t="s">
        <v>1385</v>
      </c>
      <c r="B150" s="67" t="s">
        <v>703</v>
      </c>
      <c r="C150" s="66" t="s">
        <v>1384</v>
      </c>
      <c r="D150" s="76" t="s">
        <v>223</v>
      </c>
      <c r="E150" s="73">
        <v>1.4E-2</v>
      </c>
      <c r="F150" s="73" t="s">
        <v>223</v>
      </c>
      <c r="G150" s="73">
        <v>6.2E-2</v>
      </c>
      <c r="H150" s="73" t="s">
        <v>223</v>
      </c>
      <c r="I150" s="73">
        <v>6.2E-2</v>
      </c>
      <c r="J150" s="69">
        <v>0.2</v>
      </c>
      <c r="K150" s="72">
        <v>144</v>
      </c>
    </row>
    <row r="151" spans="1:11" ht="16.05" customHeight="1">
      <c r="A151" s="66" t="s">
        <v>726</v>
      </c>
      <c r="B151" s="67" t="s">
        <v>727</v>
      </c>
      <c r="C151" s="68"/>
      <c r="D151" s="68" t="s">
        <v>223</v>
      </c>
      <c r="E151" s="68" t="s">
        <v>223</v>
      </c>
      <c r="F151" s="68" t="s">
        <v>223</v>
      </c>
      <c r="G151" s="68" t="s">
        <v>223</v>
      </c>
      <c r="H151" s="68" t="s">
        <v>223</v>
      </c>
      <c r="I151" s="68" t="s">
        <v>223</v>
      </c>
      <c r="J151" s="71">
        <v>86</v>
      </c>
      <c r="K151" s="72">
        <v>145</v>
      </c>
    </row>
    <row r="152" spans="1:11" ht="16.05" customHeight="1">
      <c r="A152" s="66" t="s">
        <v>734</v>
      </c>
      <c r="B152" s="67" t="s">
        <v>735</v>
      </c>
      <c r="C152" s="68"/>
      <c r="D152" s="73">
        <v>2.5000000000000001E-2</v>
      </c>
      <c r="E152" s="70">
        <v>9</v>
      </c>
      <c r="F152" s="69">
        <v>0.65</v>
      </c>
      <c r="G152" s="71">
        <v>40</v>
      </c>
      <c r="H152" s="69">
        <v>0.3</v>
      </c>
      <c r="I152" s="71">
        <v>40</v>
      </c>
      <c r="J152" s="68" t="s">
        <v>223</v>
      </c>
      <c r="K152" s="72">
        <v>146</v>
      </c>
    </row>
    <row r="153" spans="1:11" ht="16.05" customHeight="1">
      <c r="A153" s="66" t="s">
        <v>750</v>
      </c>
      <c r="B153" s="67" t="s">
        <v>751</v>
      </c>
      <c r="C153" s="68"/>
      <c r="D153" s="68" t="s">
        <v>223</v>
      </c>
      <c r="E153" s="71">
        <v>20</v>
      </c>
      <c r="F153" s="68" t="s">
        <v>223</v>
      </c>
      <c r="G153" s="71">
        <v>88</v>
      </c>
      <c r="H153" s="68" t="s">
        <v>223</v>
      </c>
      <c r="I153" s="71">
        <v>88</v>
      </c>
      <c r="J153" s="68" t="s">
        <v>223</v>
      </c>
      <c r="K153" s="72">
        <v>147</v>
      </c>
    </row>
    <row r="154" spans="1:11" ht="16.05" customHeight="1">
      <c r="A154" s="66" t="s">
        <v>752</v>
      </c>
      <c r="B154" s="87" t="s">
        <v>753</v>
      </c>
      <c r="C154" s="68"/>
      <c r="D154" s="78">
        <v>3.2000000000000003E-4</v>
      </c>
      <c r="E154" s="68" t="s">
        <v>223</v>
      </c>
      <c r="F154" s="76">
        <v>8.3999999999999995E-3</v>
      </c>
      <c r="G154" s="68" t="s">
        <v>223</v>
      </c>
      <c r="H154" s="76">
        <v>3.8999999999999998E-3</v>
      </c>
      <c r="I154" s="68" t="s">
        <v>223</v>
      </c>
      <c r="J154" s="68" t="s">
        <v>223</v>
      </c>
      <c r="K154" s="72">
        <v>148</v>
      </c>
    </row>
    <row r="155" spans="1:11" ht="16.05" customHeight="1">
      <c r="A155" s="66" t="s">
        <v>756</v>
      </c>
      <c r="B155" s="87" t="s">
        <v>757</v>
      </c>
      <c r="C155" s="68" t="s">
        <v>1371</v>
      </c>
      <c r="D155" s="83">
        <v>5.8823529411764701E-5</v>
      </c>
      <c r="E155" s="68" t="s">
        <v>223</v>
      </c>
      <c r="F155" s="78">
        <v>6.2E-4</v>
      </c>
      <c r="G155" s="68" t="s">
        <v>223</v>
      </c>
      <c r="H155" s="78">
        <v>1.1999999999999999E-3</v>
      </c>
      <c r="I155" s="68" t="s">
        <v>223</v>
      </c>
      <c r="J155" s="68" t="s">
        <v>223</v>
      </c>
      <c r="K155" s="72">
        <v>149</v>
      </c>
    </row>
    <row r="156" spans="1:11" ht="16.05" customHeight="1">
      <c r="A156" s="66" t="s">
        <v>758</v>
      </c>
      <c r="B156" s="87" t="s">
        <v>759</v>
      </c>
      <c r="C156" s="68" t="s">
        <v>1371</v>
      </c>
      <c r="D156" s="83">
        <v>1.2999999999999999E-4</v>
      </c>
      <c r="E156" s="68" t="s">
        <v>223</v>
      </c>
      <c r="F156" s="76">
        <v>1.2999999999999999E-3</v>
      </c>
      <c r="G156" s="68" t="s">
        <v>223</v>
      </c>
      <c r="H156" s="78">
        <v>2.5999999999999999E-3</v>
      </c>
      <c r="I156" s="68" t="s">
        <v>223</v>
      </c>
      <c r="J156" s="68" t="s">
        <v>223</v>
      </c>
      <c r="K156" s="72">
        <v>150</v>
      </c>
    </row>
    <row r="157" spans="1:11" ht="16.05" customHeight="1">
      <c r="A157" s="66" t="s">
        <v>760</v>
      </c>
      <c r="B157" s="87" t="s">
        <v>761</v>
      </c>
      <c r="C157" s="68"/>
      <c r="D157" s="69">
        <v>0.38</v>
      </c>
      <c r="E157" s="68" t="s">
        <v>223</v>
      </c>
      <c r="F157" s="70">
        <v>10</v>
      </c>
      <c r="G157" s="68" t="s">
        <v>223</v>
      </c>
      <c r="H157" s="70">
        <v>4.5999999999999996</v>
      </c>
      <c r="I157" s="68" t="s">
        <v>223</v>
      </c>
      <c r="J157" s="68" t="s">
        <v>223</v>
      </c>
      <c r="K157" s="72">
        <v>151</v>
      </c>
    </row>
    <row r="158" spans="1:11" ht="16.05" customHeight="1">
      <c r="A158" s="66" t="s">
        <v>762</v>
      </c>
      <c r="B158" s="87" t="s">
        <v>763</v>
      </c>
      <c r="C158" s="68"/>
      <c r="D158" s="69">
        <v>0.16</v>
      </c>
      <c r="E158" s="68" t="s">
        <v>223</v>
      </c>
      <c r="F158" s="70">
        <v>4.0999999999999996</v>
      </c>
      <c r="G158" s="68" t="s">
        <v>223</v>
      </c>
      <c r="H158" s="70">
        <v>1.9</v>
      </c>
      <c r="I158" s="68" t="s">
        <v>223</v>
      </c>
      <c r="J158" s="68" t="s">
        <v>223</v>
      </c>
      <c r="K158" s="72">
        <v>152</v>
      </c>
    </row>
    <row r="159" spans="1:11" ht="16.05" customHeight="1">
      <c r="A159" s="66" t="s">
        <v>764</v>
      </c>
      <c r="B159" s="87" t="s">
        <v>765</v>
      </c>
      <c r="C159" s="68"/>
      <c r="D159" s="78">
        <v>5.0000000000000001E-4</v>
      </c>
      <c r="E159" s="68" t="s">
        <v>223</v>
      </c>
      <c r="F159" s="73">
        <v>1.2999999999999999E-2</v>
      </c>
      <c r="G159" s="68" t="s">
        <v>223</v>
      </c>
      <c r="H159" s="76">
        <v>6.0000000000000001E-3</v>
      </c>
      <c r="I159" s="68" t="s">
        <v>223</v>
      </c>
      <c r="J159" s="68" t="s">
        <v>223</v>
      </c>
      <c r="K159" s="72">
        <v>153</v>
      </c>
    </row>
    <row r="160" spans="1:11" ht="16.05" customHeight="1">
      <c r="A160" s="66" t="s">
        <v>766</v>
      </c>
      <c r="B160" s="87" t="s">
        <v>767</v>
      </c>
      <c r="C160" s="68"/>
      <c r="D160" s="78">
        <v>1.6000000000000001E-4</v>
      </c>
      <c r="E160" s="68" t="s">
        <v>223</v>
      </c>
      <c r="F160" s="76">
        <v>4.1000000000000003E-3</v>
      </c>
      <c r="G160" s="68" t="s">
        <v>223</v>
      </c>
      <c r="H160" s="76">
        <v>1.9E-3</v>
      </c>
      <c r="I160" s="68" t="s">
        <v>223</v>
      </c>
      <c r="J160" s="68" t="s">
        <v>223</v>
      </c>
      <c r="K160" s="72">
        <v>154</v>
      </c>
    </row>
    <row r="161" spans="1:11" ht="16.05" customHeight="1">
      <c r="A161" s="66" t="s">
        <v>774</v>
      </c>
      <c r="B161" s="87" t="s">
        <v>775</v>
      </c>
      <c r="C161" s="68"/>
      <c r="D161" s="78">
        <v>5.2999999999999998E-4</v>
      </c>
      <c r="E161" s="68" t="s">
        <v>223</v>
      </c>
      <c r="F161" s="73">
        <v>1.4E-2</v>
      </c>
      <c r="G161" s="68" t="s">
        <v>223</v>
      </c>
      <c r="H161" s="76">
        <v>6.3E-3</v>
      </c>
      <c r="I161" s="68" t="s">
        <v>223</v>
      </c>
      <c r="J161" s="68" t="s">
        <v>223</v>
      </c>
      <c r="K161" s="72">
        <v>155</v>
      </c>
    </row>
    <row r="162" spans="1:11" ht="16.05" customHeight="1">
      <c r="A162" s="66" t="s">
        <v>778</v>
      </c>
      <c r="B162" s="87" t="s">
        <v>779</v>
      </c>
      <c r="C162" s="68"/>
      <c r="D162" s="78">
        <v>3.6999999999999999E-4</v>
      </c>
      <c r="E162" s="68" t="s">
        <v>223</v>
      </c>
      <c r="F162" s="76">
        <v>9.5999999999999992E-3</v>
      </c>
      <c r="G162" s="68" t="s">
        <v>223</v>
      </c>
      <c r="H162" s="76">
        <v>4.4000000000000003E-3</v>
      </c>
      <c r="I162" s="68" t="s">
        <v>223</v>
      </c>
      <c r="J162" s="68" t="s">
        <v>223</v>
      </c>
      <c r="K162" s="72">
        <v>156</v>
      </c>
    </row>
    <row r="163" spans="1:11" ht="16.05" customHeight="1">
      <c r="A163" s="66" t="s">
        <v>780</v>
      </c>
      <c r="B163" s="87" t="s">
        <v>781</v>
      </c>
      <c r="C163" s="68"/>
      <c r="D163" s="76">
        <v>1.6999999999999999E-3</v>
      </c>
      <c r="E163" s="68" t="s">
        <v>223</v>
      </c>
      <c r="F163" s="73">
        <v>4.2999999999999997E-2</v>
      </c>
      <c r="G163" s="68" t="s">
        <v>223</v>
      </c>
      <c r="H163" s="73">
        <v>0.02</v>
      </c>
      <c r="I163" s="68" t="s">
        <v>223</v>
      </c>
      <c r="J163" s="68" t="s">
        <v>223</v>
      </c>
      <c r="K163" s="72">
        <v>157</v>
      </c>
    </row>
    <row r="164" spans="1:11" ht="16.05" customHeight="1">
      <c r="A164" s="66" t="s">
        <v>786</v>
      </c>
      <c r="B164" s="67" t="s">
        <v>1386</v>
      </c>
      <c r="C164" s="68"/>
      <c r="D164" s="68" t="s">
        <v>223</v>
      </c>
      <c r="E164" s="68" t="s">
        <v>223</v>
      </c>
      <c r="F164" s="68" t="s">
        <v>223</v>
      </c>
      <c r="G164" s="68" t="s">
        <v>223</v>
      </c>
      <c r="H164" s="68" t="s">
        <v>223</v>
      </c>
      <c r="I164" s="68" t="s">
        <v>223</v>
      </c>
      <c r="J164" s="71">
        <v>120</v>
      </c>
      <c r="K164" s="72">
        <v>158</v>
      </c>
    </row>
    <row r="165" spans="1:11" ht="16.05" customHeight="1">
      <c r="A165" s="66" t="s">
        <v>788</v>
      </c>
      <c r="B165" s="67" t="s">
        <v>789</v>
      </c>
      <c r="C165" s="68"/>
      <c r="D165" s="68" t="s">
        <v>223</v>
      </c>
      <c r="E165" s="68" t="s">
        <v>223</v>
      </c>
      <c r="F165" s="68" t="s">
        <v>223</v>
      </c>
      <c r="G165" s="68" t="s">
        <v>223</v>
      </c>
      <c r="H165" s="68" t="s">
        <v>223</v>
      </c>
      <c r="I165" s="68" t="s">
        <v>223</v>
      </c>
      <c r="J165" s="73">
        <v>0.02</v>
      </c>
      <c r="K165" s="72">
        <v>159</v>
      </c>
    </row>
    <row r="166" spans="1:11" ht="16.05" customHeight="1">
      <c r="A166" s="66" t="s">
        <v>790</v>
      </c>
      <c r="B166" s="67" t="s">
        <v>791</v>
      </c>
      <c r="C166" s="68"/>
      <c r="D166" s="69">
        <v>0.2</v>
      </c>
      <c r="E166" s="68" t="s">
        <v>223</v>
      </c>
      <c r="F166" s="70">
        <v>5.0999999999999996</v>
      </c>
      <c r="G166" s="68" t="s">
        <v>223</v>
      </c>
      <c r="H166" s="70">
        <v>2.4</v>
      </c>
      <c r="I166" s="68" t="s">
        <v>223</v>
      </c>
      <c r="J166" s="68" t="s">
        <v>223</v>
      </c>
      <c r="K166" s="72">
        <v>160</v>
      </c>
    </row>
    <row r="167" spans="1:11" ht="16.05" customHeight="1">
      <c r="A167" s="66" t="s">
        <v>813</v>
      </c>
      <c r="B167" s="67" t="s">
        <v>814</v>
      </c>
      <c r="C167" s="68"/>
      <c r="D167" s="68" t="s">
        <v>223</v>
      </c>
      <c r="E167" s="71">
        <v>200</v>
      </c>
      <c r="F167" s="68" t="s">
        <v>223</v>
      </c>
      <c r="G167" s="71">
        <v>880</v>
      </c>
      <c r="H167" s="68" t="s">
        <v>223</v>
      </c>
      <c r="I167" s="71">
        <v>880</v>
      </c>
      <c r="J167" s="74">
        <v>5800</v>
      </c>
      <c r="K167" s="72">
        <v>161</v>
      </c>
    </row>
    <row r="168" spans="1:11" ht="16.05" customHeight="1">
      <c r="A168" s="66" t="s">
        <v>825</v>
      </c>
      <c r="B168" s="67" t="s">
        <v>826</v>
      </c>
      <c r="C168" s="68"/>
      <c r="D168" s="68" t="s">
        <v>223</v>
      </c>
      <c r="E168" s="69">
        <v>0.3</v>
      </c>
      <c r="F168" s="68" t="s">
        <v>223</v>
      </c>
      <c r="G168" s="70">
        <v>1.3</v>
      </c>
      <c r="H168" s="68" t="s">
        <v>223</v>
      </c>
      <c r="I168" s="70">
        <v>1.3</v>
      </c>
      <c r="J168" s="70">
        <v>4</v>
      </c>
      <c r="K168" s="72">
        <v>162</v>
      </c>
    </row>
    <row r="169" spans="1:11" ht="16.05" customHeight="1">
      <c r="A169" s="66" t="s">
        <v>827</v>
      </c>
      <c r="B169" s="67" t="s">
        <v>828</v>
      </c>
      <c r="C169" s="68"/>
      <c r="D169" s="68" t="s">
        <v>223</v>
      </c>
      <c r="E169" s="69">
        <v>0.8</v>
      </c>
      <c r="F169" s="68" t="s">
        <v>223</v>
      </c>
      <c r="G169" s="70">
        <v>3.5</v>
      </c>
      <c r="H169" s="68" t="s">
        <v>223</v>
      </c>
      <c r="I169" s="70">
        <v>3.5</v>
      </c>
      <c r="J169" s="68" t="s">
        <v>223</v>
      </c>
      <c r="K169" s="72">
        <v>163</v>
      </c>
    </row>
    <row r="170" spans="1:11" ht="16.05" customHeight="1">
      <c r="A170" s="66" t="s">
        <v>829</v>
      </c>
      <c r="B170" s="67" t="s">
        <v>830</v>
      </c>
      <c r="C170" s="68"/>
      <c r="D170" s="68" t="s">
        <v>223</v>
      </c>
      <c r="E170" s="71">
        <v>10</v>
      </c>
      <c r="F170" s="68" t="s">
        <v>223</v>
      </c>
      <c r="G170" s="71">
        <v>44</v>
      </c>
      <c r="H170" s="68" t="s">
        <v>223</v>
      </c>
      <c r="I170" s="71">
        <v>44</v>
      </c>
      <c r="J170" s="68" t="s">
        <v>223</v>
      </c>
      <c r="K170" s="72">
        <v>164</v>
      </c>
    </row>
    <row r="171" spans="1:11" ht="16.05" customHeight="1">
      <c r="A171" s="66" t="s">
        <v>841</v>
      </c>
      <c r="B171" s="67" t="s">
        <v>842</v>
      </c>
      <c r="C171" s="68"/>
      <c r="D171" s="68" t="s">
        <v>223</v>
      </c>
      <c r="E171" s="70">
        <v>9</v>
      </c>
      <c r="F171" s="68" t="s">
        <v>223</v>
      </c>
      <c r="G171" s="71">
        <v>40</v>
      </c>
      <c r="H171" s="68" t="s">
        <v>223</v>
      </c>
      <c r="I171" s="71">
        <v>40</v>
      </c>
      <c r="J171" s="71">
        <v>20</v>
      </c>
      <c r="K171" s="72">
        <v>165</v>
      </c>
    </row>
    <row r="172" spans="1:11" ht="16.05" customHeight="1">
      <c r="A172" s="66" t="s">
        <v>844</v>
      </c>
      <c r="B172" s="67" t="s">
        <v>845</v>
      </c>
      <c r="C172" s="68"/>
      <c r="D172" s="68" t="s">
        <v>223</v>
      </c>
      <c r="E172" s="71">
        <v>20</v>
      </c>
      <c r="F172" s="68" t="s">
        <v>223</v>
      </c>
      <c r="G172" s="71">
        <v>88</v>
      </c>
      <c r="H172" s="68" t="s">
        <v>223</v>
      </c>
      <c r="I172" s="71">
        <v>88</v>
      </c>
      <c r="J172" s="68" t="s">
        <v>223</v>
      </c>
      <c r="K172" s="72">
        <v>166</v>
      </c>
    </row>
    <row r="173" spans="1:11" ht="27" customHeight="1">
      <c r="A173" s="68" t="s">
        <v>1387</v>
      </c>
      <c r="B173" s="67" t="s">
        <v>846</v>
      </c>
      <c r="C173" s="66" t="s">
        <v>1388</v>
      </c>
      <c r="D173" s="68" t="s">
        <v>223</v>
      </c>
      <c r="E173" s="68" t="s">
        <v>223</v>
      </c>
      <c r="F173" s="68" t="s">
        <v>223</v>
      </c>
      <c r="G173" s="68" t="s">
        <v>223</v>
      </c>
      <c r="H173" s="68" t="s">
        <v>223</v>
      </c>
      <c r="I173" s="68" t="s">
        <v>223</v>
      </c>
      <c r="J173" s="70">
        <v>6</v>
      </c>
      <c r="K173" s="72">
        <v>167</v>
      </c>
    </row>
    <row r="174" spans="1:11" ht="27" customHeight="1">
      <c r="A174" s="66" t="s">
        <v>863</v>
      </c>
      <c r="B174" s="67" t="s">
        <v>864</v>
      </c>
      <c r="C174" s="66" t="s">
        <v>1374</v>
      </c>
      <c r="D174" s="78">
        <v>5.2999999999999998E-4</v>
      </c>
      <c r="E174" s="68" t="s">
        <v>223</v>
      </c>
      <c r="F174" s="73">
        <v>0.02</v>
      </c>
      <c r="G174" s="68" t="s">
        <v>223</v>
      </c>
      <c r="H174" s="76">
        <v>9.1999999999999998E-3</v>
      </c>
      <c r="I174" s="68" t="s">
        <v>223</v>
      </c>
      <c r="J174" s="68" t="s">
        <v>223</v>
      </c>
      <c r="K174" s="72">
        <v>168</v>
      </c>
    </row>
    <row r="175" spans="1:11" ht="27" customHeight="1">
      <c r="A175" s="68" t="s">
        <v>1389</v>
      </c>
      <c r="B175" s="67" t="s">
        <v>865</v>
      </c>
      <c r="C175" s="66" t="s">
        <v>1374</v>
      </c>
      <c r="D175" s="85">
        <v>1.0121457489878541E-9</v>
      </c>
      <c r="E175" s="85">
        <v>1.2903225806451614E-7</v>
      </c>
      <c r="F175" s="85">
        <v>9.0027700831024925E-8</v>
      </c>
      <c r="G175" s="85">
        <v>2.6268656716417917E-5</v>
      </c>
      <c r="H175" s="85">
        <v>4.1551246537396121E-8</v>
      </c>
      <c r="I175" s="85">
        <v>2.6268656716417917E-5</v>
      </c>
      <c r="J175" s="68" t="s">
        <v>223</v>
      </c>
      <c r="K175" s="72">
        <v>169</v>
      </c>
    </row>
    <row r="176" spans="1:11" ht="27" customHeight="1">
      <c r="A176" s="66" t="s">
        <v>878</v>
      </c>
      <c r="B176" s="87" t="s">
        <v>879</v>
      </c>
      <c r="C176" s="66" t="s">
        <v>1374</v>
      </c>
      <c r="D176" s="83">
        <v>1.0121457489878541E-5</v>
      </c>
      <c r="E176" s="76">
        <v>1.2999999999999999E-3</v>
      </c>
      <c r="F176" s="78">
        <v>8.9999999999999998E-4</v>
      </c>
      <c r="G176" s="69">
        <v>0.26</v>
      </c>
      <c r="H176" s="78">
        <v>4.2000000000000002E-4</v>
      </c>
      <c r="I176" s="69">
        <v>0.26</v>
      </c>
      <c r="J176" s="68" t="s">
        <v>223</v>
      </c>
      <c r="K176" s="72">
        <v>170</v>
      </c>
    </row>
    <row r="177" spans="1:11" ht="27" customHeight="1">
      <c r="A177" s="66" t="s">
        <v>880</v>
      </c>
      <c r="B177" s="87" t="s">
        <v>881</v>
      </c>
      <c r="C177" s="66" t="s">
        <v>1374</v>
      </c>
      <c r="D177" s="85">
        <v>3.3738191632928472E-6</v>
      </c>
      <c r="E177" s="78">
        <v>4.2000000000000002E-4</v>
      </c>
      <c r="F177" s="78">
        <v>2.9999999999999997E-4</v>
      </c>
      <c r="G177" s="73">
        <v>8.5000000000000006E-2</v>
      </c>
      <c r="H177" s="78">
        <v>1.3999999999999999E-4</v>
      </c>
      <c r="I177" s="73">
        <v>8.5000000000000006E-2</v>
      </c>
      <c r="J177" s="68" t="s">
        <v>223</v>
      </c>
      <c r="K177" s="72">
        <v>171</v>
      </c>
    </row>
    <row r="178" spans="1:11" ht="27" customHeight="1">
      <c r="A178" s="66" t="s">
        <v>884</v>
      </c>
      <c r="B178" s="87" t="s">
        <v>885</v>
      </c>
      <c r="C178" s="66" t="s">
        <v>1374</v>
      </c>
      <c r="D178" s="83">
        <v>3.3738191632928474E-5</v>
      </c>
      <c r="E178" s="76">
        <v>4.1999999999999997E-3</v>
      </c>
      <c r="F178" s="76">
        <v>3.0000000000000001E-3</v>
      </c>
      <c r="G178" s="69">
        <v>0.85</v>
      </c>
      <c r="H178" s="76">
        <v>1.4E-3</v>
      </c>
      <c r="I178" s="69">
        <v>0.85</v>
      </c>
      <c r="J178" s="68" t="s">
        <v>223</v>
      </c>
      <c r="K178" s="72">
        <v>172</v>
      </c>
    </row>
    <row r="179" spans="1:11" ht="27" customHeight="1">
      <c r="A179" s="66" t="s">
        <v>886</v>
      </c>
      <c r="B179" s="87" t="s">
        <v>887</v>
      </c>
      <c r="C179" s="66" t="s">
        <v>1374</v>
      </c>
      <c r="D179" s="83">
        <v>3.3738191632928474E-5</v>
      </c>
      <c r="E179" s="76">
        <v>4.1999999999999997E-3</v>
      </c>
      <c r="F179" s="76">
        <v>3.0000000000000001E-3</v>
      </c>
      <c r="G179" s="69">
        <v>0.85</v>
      </c>
      <c r="H179" s="76">
        <v>1.4E-3</v>
      </c>
      <c r="I179" s="69">
        <v>0.85</v>
      </c>
      <c r="J179" s="68" t="s">
        <v>223</v>
      </c>
      <c r="K179" s="72">
        <v>173</v>
      </c>
    </row>
    <row r="180" spans="1:11" ht="27" customHeight="1">
      <c r="A180" s="66" t="s">
        <v>888</v>
      </c>
      <c r="B180" s="87" t="s">
        <v>889</v>
      </c>
      <c r="C180" s="66" t="s">
        <v>1374</v>
      </c>
      <c r="D180" s="83">
        <v>3.3738191632928474E-5</v>
      </c>
      <c r="E180" s="76">
        <v>4.1999999999999997E-3</v>
      </c>
      <c r="F180" s="76">
        <v>3.0000000000000001E-3</v>
      </c>
      <c r="G180" s="69">
        <v>0.85</v>
      </c>
      <c r="H180" s="76">
        <v>1.4E-3</v>
      </c>
      <c r="I180" s="69">
        <v>0.85</v>
      </c>
      <c r="J180" s="68" t="s">
        <v>223</v>
      </c>
      <c r="K180" s="72">
        <v>174</v>
      </c>
    </row>
    <row r="181" spans="1:11" ht="27" customHeight="1">
      <c r="A181" s="66" t="s">
        <v>890</v>
      </c>
      <c r="B181" s="87" t="s">
        <v>891</v>
      </c>
      <c r="C181" s="66" t="s">
        <v>1374</v>
      </c>
      <c r="D181" s="83">
        <v>3.3738191632928474E-5</v>
      </c>
      <c r="E181" s="76">
        <v>4.1999999999999997E-3</v>
      </c>
      <c r="F181" s="76">
        <v>3.0000000000000001E-3</v>
      </c>
      <c r="G181" s="69">
        <v>0.85</v>
      </c>
      <c r="H181" s="76">
        <v>1.4E-3</v>
      </c>
      <c r="I181" s="69">
        <v>0.85</v>
      </c>
      <c r="J181" s="68" t="s">
        <v>223</v>
      </c>
      <c r="K181" s="72">
        <v>175</v>
      </c>
    </row>
    <row r="182" spans="1:11" ht="27" customHeight="1">
      <c r="A182" s="66" t="s">
        <v>892</v>
      </c>
      <c r="B182" s="87" t="s">
        <v>893</v>
      </c>
      <c r="C182" s="66" t="s">
        <v>1374</v>
      </c>
      <c r="D182" s="85">
        <v>1.0121457489878542E-8</v>
      </c>
      <c r="E182" s="85">
        <v>1.2903225806451614E-6</v>
      </c>
      <c r="F182" s="85">
        <v>9.0027700831024923E-7</v>
      </c>
      <c r="G182" s="78">
        <v>2.5999999999999998E-4</v>
      </c>
      <c r="H182" s="85">
        <v>4.1551246537396117E-7</v>
      </c>
      <c r="I182" s="78">
        <v>2.5999999999999998E-4</v>
      </c>
      <c r="J182" s="68" t="s">
        <v>223</v>
      </c>
      <c r="K182" s="72">
        <v>176</v>
      </c>
    </row>
    <row r="183" spans="1:11" ht="27" customHeight="1">
      <c r="A183" s="66" t="s">
        <v>900</v>
      </c>
      <c r="B183" s="87" t="s">
        <v>901</v>
      </c>
      <c r="C183" s="66" t="s">
        <v>1374</v>
      </c>
      <c r="D183" s="83">
        <v>3.3738191632928474E-5</v>
      </c>
      <c r="E183" s="76">
        <v>4.1999999999999997E-3</v>
      </c>
      <c r="F183" s="76">
        <v>3.0000000000000001E-3</v>
      </c>
      <c r="G183" s="69">
        <v>0.85</v>
      </c>
      <c r="H183" s="76">
        <v>1.4E-3</v>
      </c>
      <c r="I183" s="69">
        <v>0.85</v>
      </c>
      <c r="J183" s="68" t="s">
        <v>223</v>
      </c>
      <c r="K183" s="72">
        <v>177</v>
      </c>
    </row>
    <row r="184" spans="1:11" ht="27" customHeight="1">
      <c r="A184" s="66" t="s">
        <v>902</v>
      </c>
      <c r="B184" s="87" t="s">
        <v>903</v>
      </c>
      <c r="C184" s="66" t="s">
        <v>1374</v>
      </c>
      <c r="D184" s="83">
        <v>3.3738191632928474E-5</v>
      </c>
      <c r="E184" s="76">
        <v>4.1999999999999997E-3</v>
      </c>
      <c r="F184" s="76">
        <v>3.0000000000000001E-3</v>
      </c>
      <c r="G184" s="69">
        <v>0.85</v>
      </c>
      <c r="H184" s="76">
        <v>1.4E-3</v>
      </c>
      <c r="I184" s="69">
        <v>0.85</v>
      </c>
      <c r="J184" s="68" t="s">
        <v>223</v>
      </c>
      <c r="K184" s="72">
        <v>178</v>
      </c>
    </row>
    <row r="185" spans="1:11" ht="27" customHeight="1">
      <c r="A185" s="66" t="s">
        <v>904</v>
      </c>
      <c r="B185" s="87" t="s">
        <v>905</v>
      </c>
      <c r="C185" s="66" t="s">
        <v>1374</v>
      </c>
      <c r="D185" s="83">
        <v>3.3738191632928474E-5</v>
      </c>
      <c r="E185" s="76">
        <v>4.1999999999999997E-3</v>
      </c>
      <c r="F185" s="76">
        <v>3.0000000000000001E-3</v>
      </c>
      <c r="G185" s="69">
        <v>0.85</v>
      </c>
      <c r="H185" s="76">
        <v>1.4E-3</v>
      </c>
      <c r="I185" s="69">
        <v>0.85</v>
      </c>
      <c r="J185" s="68" t="s">
        <v>223</v>
      </c>
      <c r="K185" s="72">
        <v>179</v>
      </c>
    </row>
    <row r="186" spans="1:11" ht="27" customHeight="1">
      <c r="A186" s="66" t="s">
        <v>906</v>
      </c>
      <c r="B186" s="87" t="s">
        <v>907</v>
      </c>
      <c r="C186" s="66" t="s">
        <v>1374</v>
      </c>
      <c r="D186" s="85">
        <v>3.3738191632928474E-8</v>
      </c>
      <c r="E186" s="85">
        <v>4.1935483870967744E-6</v>
      </c>
      <c r="F186" s="85">
        <v>3.0009233610341641E-6</v>
      </c>
      <c r="G186" s="78">
        <v>8.4999999999999995E-4</v>
      </c>
      <c r="H186" s="85">
        <v>1.3850415512465373E-6</v>
      </c>
      <c r="I186" s="78">
        <v>8.4999999999999995E-4</v>
      </c>
      <c r="J186" s="68" t="s">
        <v>223</v>
      </c>
      <c r="K186" s="72">
        <v>180</v>
      </c>
    </row>
    <row r="187" spans="1:11" ht="37.049999999999997" customHeight="1">
      <c r="A187" s="66" t="s">
        <v>914</v>
      </c>
      <c r="B187" s="87" t="s">
        <v>915</v>
      </c>
      <c r="C187" s="66" t="s">
        <v>1374</v>
      </c>
      <c r="D187" s="78">
        <v>8.8000000000000003E-4</v>
      </c>
      <c r="E187" s="70">
        <v>1.3</v>
      </c>
      <c r="F187" s="73">
        <v>2.3E-2</v>
      </c>
      <c r="G187" s="70">
        <v>5.7</v>
      </c>
      <c r="H187" s="73">
        <v>1.0999999999999999E-2</v>
      </c>
      <c r="I187" s="70">
        <v>5.7</v>
      </c>
      <c r="J187" s="68" t="s">
        <v>223</v>
      </c>
      <c r="K187" s="72">
        <v>181</v>
      </c>
    </row>
    <row r="188" spans="1:11" ht="46.95" customHeight="1">
      <c r="A188" s="68" t="s">
        <v>1390</v>
      </c>
      <c r="B188" s="87" t="s">
        <v>922</v>
      </c>
      <c r="C188" s="66" t="s">
        <v>1374</v>
      </c>
      <c r="D188" s="85">
        <v>1.0121457489878541E-9</v>
      </c>
      <c r="E188" s="85">
        <v>1.2903225806451614E-7</v>
      </c>
      <c r="F188" s="85">
        <v>9.0027700831024925E-8</v>
      </c>
      <c r="G188" s="85">
        <v>2.6268656716417917E-5</v>
      </c>
      <c r="H188" s="85">
        <v>4.1551246537396121E-8</v>
      </c>
      <c r="I188" s="85">
        <v>2.6268656716417917E-5</v>
      </c>
      <c r="J188" s="68" t="s">
        <v>223</v>
      </c>
      <c r="K188" s="72">
        <v>182</v>
      </c>
    </row>
    <row r="189" spans="1:11" ht="37.049999999999997" customHeight="1">
      <c r="A189" s="66" t="s">
        <v>923</v>
      </c>
      <c r="B189" s="87" t="s">
        <v>924</v>
      </c>
      <c r="C189" s="66" t="s">
        <v>1374</v>
      </c>
      <c r="D189" s="85">
        <v>1.0121457489878541E-9</v>
      </c>
      <c r="E189" s="85">
        <v>1.2903225806451614E-7</v>
      </c>
      <c r="F189" s="85">
        <v>9.0027700831024925E-8</v>
      </c>
      <c r="G189" s="85">
        <v>2.6268656716417917E-5</v>
      </c>
      <c r="H189" s="85">
        <v>4.1551246537396121E-8</v>
      </c>
      <c r="I189" s="85">
        <v>2.6268656716417917E-5</v>
      </c>
      <c r="J189" s="68" t="s">
        <v>223</v>
      </c>
      <c r="K189" s="72">
        <v>183</v>
      </c>
    </row>
    <row r="190" spans="1:11" ht="37.049999999999997" customHeight="1">
      <c r="A190" s="66" t="s">
        <v>925</v>
      </c>
      <c r="B190" s="87" t="s">
        <v>926</v>
      </c>
      <c r="C190" s="66" t="s">
        <v>1374</v>
      </c>
      <c r="D190" s="85">
        <v>1.0121457489878541E-9</v>
      </c>
      <c r="E190" s="85">
        <v>1.2903225806451614E-7</v>
      </c>
      <c r="F190" s="85">
        <v>9.0027700831024925E-8</v>
      </c>
      <c r="G190" s="85">
        <v>2.6268656716417917E-5</v>
      </c>
      <c r="H190" s="85">
        <v>4.1551246537396121E-8</v>
      </c>
      <c r="I190" s="85">
        <v>2.6268656716417917E-5</v>
      </c>
      <c r="J190" s="68" t="s">
        <v>223</v>
      </c>
      <c r="K190" s="72">
        <v>184</v>
      </c>
    </row>
    <row r="191" spans="1:11" ht="24" customHeight="1">
      <c r="A191" s="66" t="s">
        <v>927</v>
      </c>
      <c r="B191" s="67" t="s">
        <v>928</v>
      </c>
      <c r="C191" s="66" t="s">
        <v>1374</v>
      </c>
      <c r="D191" s="85">
        <v>1.0121457489878542E-8</v>
      </c>
      <c r="E191" s="85">
        <v>1.2903225806451614E-6</v>
      </c>
      <c r="F191" s="85">
        <v>9.0027700831024923E-7</v>
      </c>
      <c r="G191" s="78">
        <v>2.5999999999999998E-4</v>
      </c>
      <c r="H191" s="85">
        <v>4.1551246537396117E-7</v>
      </c>
      <c r="I191" s="78">
        <v>2.5999999999999998E-4</v>
      </c>
      <c r="J191" s="68" t="s">
        <v>223</v>
      </c>
      <c r="K191" s="72">
        <v>185</v>
      </c>
    </row>
    <row r="192" spans="1:11" ht="37.049999999999997" customHeight="1">
      <c r="A192" s="66" t="s">
        <v>929</v>
      </c>
      <c r="B192" s="87" t="s">
        <v>930</v>
      </c>
      <c r="C192" s="66" t="s">
        <v>1374</v>
      </c>
      <c r="D192" s="85">
        <v>1.0121457489878542E-8</v>
      </c>
      <c r="E192" s="85">
        <v>1.2903225806451614E-6</v>
      </c>
      <c r="F192" s="85">
        <v>9.0027700831024923E-7</v>
      </c>
      <c r="G192" s="78">
        <v>2.5999999999999998E-4</v>
      </c>
      <c r="H192" s="85">
        <v>4.1551246537396117E-7</v>
      </c>
      <c r="I192" s="78">
        <v>2.5999999999999998E-4</v>
      </c>
      <c r="J192" s="68" t="s">
        <v>223</v>
      </c>
      <c r="K192" s="72">
        <v>186</v>
      </c>
    </row>
    <row r="193" spans="1:11" ht="37.049999999999997" customHeight="1">
      <c r="A193" s="66" t="s">
        <v>931</v>
      </c>
      <c r="B193" s="87" t="s">
        <v>932</v>
      </c>
      <c r="C193" s="66" t="s">
        <v>1374</v>
      </c>
      <c r="D193" s="85">
        <v>1.0121457489878542E-8</v>
      </c>
      <c r="E193" s="85">
        <v>1.2903225806451614E-6</v>
      </c>
      <c r="F193" s="85">
        <v>9.0027700831024923E-7</v>
      </c>
      <c r="G193" s="78">
        <v>2.5999999999999998E-4</v>
      </c>
      <c r="H193" s="85">
        <v>4.1551246537396117E-7</v>
      </c>
      <c r="I193" s="78">
        <v>2.5999999999999998E-4</v>
      </c>
      <c r="J193" s="68" t="s">
        <v>223</v>
      </c>
      <c r="K193" s="72">
        <v>187</v>
      </c>
    </row>
    <row r="194" spans="1:11" ht="37.049999999999997" customHeight="1">
      <c r="A194" s="66" t="s">
        <v>933</v>
      </c>
      <c r="B194" s="87" t="s">
        <v>934</v>
      </c>
      <c r="C194" s="66" t="s">
        <v>1374</v>
      </c>
      <c r="D194" s="85">
        <v>1.0121457489878542E-7</v>
      </c>
      <c r="E194" s="83">
        <v>1.2903225806451613E-5</v>
      </c>
      <c r="F194" s="85">
        <v>9.0027700831024931E-6</v>
      </c>
      <c r="G194" s="76">
        <v>2.5999999999999999E-3</v>
      </c>
      <c r="H194" s="85">
        <v>4.155124653739612E-6</v>
      </c>
      <c r="I194" s="76">
        <v>2.5999999999999999E-3</v>
      </c>
      <c r="J194" s="68" t="s">
        <v>223</v>
      </c>
      <c r="K194" s="72">
        <v>188</v>
      </c>
    </row>
    <row r="195" spans="1:11" ht="27" customHeight="1">
      <c r="A195" s="66" t="s">
        <v>935</v>
      </c>
      <c r="B195" s="87" t="s">
        <v>936</v>
      </c>
      <c r="C195" s="66" t="s">
        <v>1374</v>
      </c>
      <c r="D195" s="85">
        <v>3.3738191632928472E-6</v>
      </c>
      <c r="E195" s="78">
        <v>4.2000000000000002E-4</v>
      </c>
      <c r="F195" s="78">
        <v>2.9999999999999997E-4</v>
      </c>
      <c r="G195" s="73">
        <v>8.5000000000000006E-2</v>
      </c>
      <c r="H195" s="78">
        <v>1.3999999999999999E-4</v>
      </c>
      <c r="I195" s="73">
        <v>8.5000000000000006E-2</v>
      </c>
      <c r="J195" s="68" t="s">
        <v>223</v>
      </c>
      <c r="K195" s="72">
        <v>189</v>
      </c>
    </row>
    <row r="196" spans="1:11" ht="37.049999999999997" customHeight="1">
      <c r="A196" s="66" t="s">
        <v>937</v>
      </c>
      <c r="B196" s="87" t="s">
        <v>938</v>
      </c>
      <c r="C196" s="66" t="s">
        <v>1374</v>
      </c>
      <c r="D196" s="85">
        <v>1.0121457489878542E-8</v>
      </c>
      <c r="E196" s="85">
        <v>1.2903225806451614E-6</v>
      </c>
      <c r="F196" s="85">
        <v>9.0027700831024923E-7</v>
      </c>
      <c r="G196" s="78">
        <v>2.5999999999999998E-4</v>
      </c>
      <c r="H196" s="85">
        <v>4.1551246537396117E-7</v>
      </c>
      <c r="I196" s="78">
        <v>2.5999999999999998E-4</v>
      </c>
      <c r="J196" s="68" t="s">
        <v>223</v>
      </c>
      <c r="K196" s="72">
        <v>190</v>
      </c>
    </row>
    <row r="197" spans="1:11" ht="37.049999999999997" customHeight="1">
      <c r="A197" s="66" t="s">
        <v>939</v>
      </c>
      <c r="B197" s="87" t="s">
        <v>940</v>
      </c>
      <c r="C197" s="66" t="s">
        <v>1374</v>
      </c>
      <c r="D197" s="85">
        <v>3.3738191632928474E-8</v>
      </c>
      <c r="E197" s="85">
        <v>4.1935483870967744E-6</v>
      </c>
      <c r="F197" s="85">
        <v>3.0009233610341641E-6</v>
      </c>
      <c r="G197" s="78">
        <v>8.4999999999999995E-4</v>
      </c>
      <c r="H197" s="85">
        <v>1.3850415512465373E-6</v>
      </c>
      <c r="I197" s="78">
        <v>8.4999999999999995E-4</v>
      </c>
      <c r="J197" s="68" t="s">
        <v>223</v>
      </c>
      <c r="K197" s="72">
        <v>191</v>
      </c>
    </row>
    <row r="198" spans="1:11" ht="37.049999999999997" customHeight="1">
      <c r="A198" s="66" t="s">
        <v>941</v>
      </c>
      <c r="B198" s="87" t="s">
        <v>942</v>
      </c>
      <c r="C198" s="66" t="s">
        <v>1374</v>
      </c>
      <c r="D198" s="85">
        <v>3.373819163292847E-9</v>
      </c>
      <c r="E198" s="85">
        <v>4.1935483870967738E-7</v>
      </c>
      <c r="F198" s="85">
        <v>3.0009233610341641E-7</v>
      </c>
      <c r="G198" s="85">
        <v>8.5373134328358208E-5</v>
      </c>
      <c r="H198" s="85">
        <v>1.3850415512465372E-7</v>
      </c>
      <c r="I198" s="85">
        <v>8.5373134328358208E-5</v>
      </c>
      <c r="J198" s="68" t="s">
        <v>223</v>
      </c>
      <c r="K198" s="72">
        <v>192</v>
      </c>
    </row>
    <row r="199" spans="1:11" ht="37.049999999999997" customHeight="1">
      <c r="A199" s="66" t="s">
        <v>943</v>
      </c>
      <c r="B199" s="87" t="s">
        <v>944</v>
      </c>
      <c r="C199" s="66" t="s">
        <v>1374</v>
      </c>
      <c r="D199" s="85">
        <v>1.0121457489878542E-8</v>
      </c>
      <c r="E199" s="85">
        <v>1.2903225806451614E-6</v>
      </c>
      <c r="F199" s="85">
        <v>9.0027700831024923E-7</v>
      </c>
      <c r="G199" s="78">
        <v>2.5999999999999998E-4</v>
      </c>
      <c r="H199" s="85">
        <v>4.1551246537396117E-7</v>
      </c>
      <c r="I199" s="78">
        <v>2.5999999999999998E-4</v>
      </c>
      <c r="J199" s="68" t="s">
        <v>223</v>
      </c>
      <c r="K199" s="72">
        <v>193</v>
      </c>
    </row>
    <row r="200" spans="1:11" ht="37.049999999999997" customHeight="1">
      <c r="A200" s="66" t="s">
        <v>945</v>
      </c>
      <c r="B200" s="87" t="s">
        <v>946</v>
      </c>
      <c r="C200" s="66" t="s">
        <v>1374</v>
      </c>
      <c r="D200" s="85">
        <v>1.0121457489878542E-8</v>
      </c>
      <c r="E200" s="85">
        <v>1.2903225806451614E-6</v>
      </c>
      <c r="F200" s="85">
        <v>9.0027700831024923E-7</v>
      </c>
      <c r="G200" s="78">
        <v>2.5999999999999998E-4</v>
      </c>
      <c r="H200" s="85">
        <v>4.1551246537396117E-7</v>
      </c>
      <c r="I200" s="78">
        <v>2.5999999999999998E-4</v>
      </c>
      <c r="J200" s="68" t="s">
        <v>223</v>
      </c>
      <c r="K200" s="72">
        <v>194</v>
      </c>
    </row>
    <row r="201" spans="1:11" ht="37.049999999999997" customHeight="1">
      <c r="A201" s="66" t="s">
        <v>947</v>
      </c>
      <c r="B201" s="87" t="s">
        <v>948</v>
      </c>
      <c r="C201" s="66" t="s">
        <v>1374</v>
      </c>
      <c r="D201" s="85">
        <v>1.0121457489878542E-8</v>
      </c>
      <c r="E201" s="85">
        <v>1.2903225806451614E-6</v>
      </c>
      <c r="F201" s="85">
        <v>9.0027700831024923E-7</v>
      </c>
      <c r="G201" s="78">
        <v>2.5999999999999998E-4</v>
      </c>
      <c r="H201" s="85">
        <v>4.1551246537396117E-7</v>
      </c>
      <c r="I201" s="78">
        <v>2.5999999999999998E-4</v>
      </c>
      <c r="J201" s="68" t="s">
        <v>223</v>
      </c>
      <c r="K201" s="72">
        <v>195</v>
      </c>
    </row>
    <row r="202" spans="1:11" ht="37.049999999999997" customHeight="1">
      <c r="A202" s="66" t="s">
        <v>949</v>
      </c>
      <c r="B202" s="87" t="s">
        <v>1391</v>
      </c>
      <c r="C202" s="66" t="s">
        <v>1374</v>
      </c>
      <c r="D202" s="85">
        <v>1.0121457489878542E-8</v>
      </c>
      <c r="E202" s="85">
        <v>1.2903225806451614E-6</v>
      </c>
      <c r="F202" s="85">
        <v>9.0027700831024923E-7</v>
      </c>
      <c r="G202" s="78">
        <v>2.5999999999999998E-4</v>
      </c>
      <c r="H202" s="85">
        <v>4.1551246537396117E-7</v>
      </c>
      <c r="I202" s="78">
        <v>2.5999999999999998E-4</v>
      </c>
      <c r="J202" s="68" t="s">
        <v>223</v>
      </c>
      <c r="K202" s="72">
        <v>196</v>
      </c>
    </row>
    <row r="203" spans="1:11" ht="37.049999999999997" customHeight="1">
      <c r="A203" s="66" t="s">
        <v>951</v>
      </c>
      <c r="B203" s="87" t="s">
        <v>952</v>
      </c>
      <c r="C203" s="66" t="s">
        <v>1374</v>
      </c>
      <c r="D203" s="85">
        <v>1.0121457489878542E-7</v>
      </c>
      <c r="E203" s="83">
        <v>1.2903225806451613E-5</v>
      </c>
      <c r="F203" s="85">
        <v>9.0027700831024931E-6</v>
      </c>
      <c r="G203" s="76">
        <v>2.5999999999999999E-3</v>
      </c>
      <c r="H203" s="85">
        <v>4.155124653739612E-6</v>
      </c>
      <c r="I203" s="76">
        <v>2.5999999999999999E-3</v>
      </c>
      <c r="J203" s="68" t="s">
        <v>223</v>
      </c>
      <c r="K203" s="72">
        <v>197</v>
      </c>
    </row>
    <row r="204" spans="1:11" ht="37.049999999999997" customHeight="1">
      <c r="A204" s="66" t="s">
        <v>953</v>
      </c>
      <c r="B204" s="87" t="s">
        <v>954</v>
      </c>
      <c r="C204" s="66" t="s">
        <v>1374</v>
      </c>
      <c r="D204" s="85">
        <v>1.0121457489878542E-7</v>
      </c>
      <c r="E204" s="83">
        <v>1.2903225806451613E-5</v>
      </c>
      <c r="F204" s="85">
        <v>9.0027700831024931E-6</v>
      </c>
      <c r="G204" s="76">
        <v>2.5999999999999999E-3</v>
      </c>
      <c r="H204" s="85">
        <v>4.155124653739612E-6</v>
      </c>
      <c r="I204" s="76">
        <v>2.5999999999999999E-3</v>
      </c>
      <c r="J204" s="68" t="s">
        <v>223</v>
      </c>
      <c r="K204" s="72">
        <v>198</v>
      </c>
    </row>
    <row r="205" spans="1:11" ht="27" customHeight="1">
      <c r="A205" s="66" t="s">
        <v>955</v>
      </c>
      <c r="B205" s="67" t="s">
        <v>956</v>
      </c>
      <c r="C205" s="66" t="s">
        <v>1374</v>
      </c>
      <c r="D205" s="85">
        <v>3.3738191632928472E-6</v>
      </c>
      <c r="E205" s="78">
        <v>4.2000000000000002E-4</v>
      </c>
      <c r="F205" s="78">
        <v>2.9999999999999997E-4</v>
      </c>
      <c r="G205" s="73">
        <v>8.5000000000000006E-2</v>
      </c>
      <c r="H205" s="78">
        <v>1.3999999999999999E-4</v>
      </c>
      <c r="I205" s="73">
        <v>8.5000000000000006E-2</v>
      </c>
      <c r="J205" s="68" t="s">
        <v>223</v>
      </c>
      <c r="K205" s="72">
        <v>199</v>
      </c>
    </row>
    <row r="206" spans="1:11" ht="27" customHeight="1">
      <c r="A206" s="68" t="s">
        <v>1392</v>
      </c>
      <c r="B206" s="67" t="s">
        <v>957</v>
      </c>
      <c r="C206" s="66" t="s">
        <v>1393</v>
      </c>
      <c r="D206" s="83">
        <v>4.2625745950554133E-5</v>
      </c>
      <c r="E206" s="68" t="s">
        <v>223</v>
      </c>
      <c r="F206" s="76">
        <v>1.6000000000000001E-3</v>
      </c>
      <c r="G206" s="68" t="s">
        <v>223</v>
      </c>
      <c r="H206" s="76">
        <v>3.0000000000000001E-3</v>
      </c>
      <c r="I206" s="68" t="s">
        <v>223</v>
      </c>
      <c r="J206" s="68" t="s">
        <v>223</v>
      </c>
      <c r="K206" s="72">
        <v>200</v>
      </c>
    </row>
    <row r="207" spans="1:11" ht="16.05" customHeight="1">
      <c r="A207" s="66" t="s">
        <v>961</v>
      </c>
      <c r="B207" s="67" t="s">
        <v>962</v>
      </c>
      <c r="C207" s="66" t="s">
        <v>1393</v>
      </c>
      <c r="D207" s="78">
        <v>1.1E-4</v>
      </c>
      <c r="E207" s="68" t="s">
        <v>223</v>
      </c>
      <c r="F207" s="76">
        <v>3.8999999999999998E-3</v>
      </c>
      <c r="G207" s="68" t="s">
        <v>223</v>
      </c>
      <c r="H207" s="73">
        <v>7.6E-3</v>
      </c>
      <c r="I207" s="68" t="s">
        <v>223</v>
      </c>
      <c r="J207" s="68" t="s">
        <v>223</v>
      </c>
      <c r="K207" s="72">
        <v>201</v>
      </c>
    </row>
    <row r="208" spans="1:11" ht="16.05" customHeight="1">
      <c r="A208" s="66" t="s">
        <v>963</v>
      </c>
      <c r="B208" s="67" t="s">
        <v>51</v>
      </c>
      <c r="C208" s="66" t="s">
        <v>1393</v>
      </c>
      <c r="D208" s="83">
        <v>2.1000000000000001E-4</v>
      </c>
      <c r="E208" s="76" t="s">
        <v>223</v>
      </c>
      <c r="F208" s="76">
        <v>7.7999999999999996E-3</v>
      </c>
      <c r="G208" s="76" t="s">
        <v>223</v>
      </c>
      <c r="H208" s="76">
        <v>1.4999999999999999E-2</v>
      </c>
      <c r="I208" s="76" t="s">
        <v>223</v>
      </c>
      <c r="J208" s="76" t="s">
        <v>223</v>
      </c>
      <c r="K208" s="72">
        <v>202</v>
      </c>
    </row>
    <row r="209" spans="1:11" ht="16.05" customHeight="1">
      <c r="A209" s="66" t="s">
        <v>964</v>
      </c>
      <c r="B209" s="67" t="s">
        <v>54</v>
      </c>
      <c r="C209" s="66" t="s">
        <v>1393</v>
      </c>
      <c r="D209" s="85">
        <v>4.2625745950554133E-5</v>
      </c>
      <c r="E209" s="68">
        <v>2E-3</v>
      </c>
      <c r="F209" s="76">
        <v>1.6000000000000001E-3</v>
      </c>
      <c r="G209" s="68">
        <v>8.8000000000000005E-3</v>
      </c>
      <c r="H209" s="76">
        <v>3.0000000000000001E-3</v>
      </c>
      <c r="I209" s="68">
        <v>8.8000000000000005E-3</v>
      </c>
      <c r="J209" s="68">
        <v>2E-3</v>
      </c>
      <c r="K209" s="72">
        <v>203</v>
      </c>
    </row>
    <row r="210" spans="1:11" ht="16.05" customHeight="1">
      <c r="A210" s="66" t="s">
        <v>965</v>
      </c>
      <c r="B210" s="67" t="s">
        <v>57</v>
      </c>
      <c r="C210" s="66" t="s">
        <v>1393</v>
      </c>
      <c r="D210" s="85">
        <v>5.3282182438192668E-5</v>
      </c>
      <c r="E210" s="68" t="s">
        <v>223</v>
      </c>
      <c r="F210" s="76">
        <v>2E-3</v>
      </c>
      <c r="G210" s="68" t="s">
        <v>223</v>
      </c>
      <c r="H210" s="73">
        <v>3.8E-3</v>
      </c>
      <c r="I210" s="68" t="s">
        <v>223</v>
      </c>
      <c r="J210" s="68" t="s">
        <v>223</v>
      </c>
      <c r="K210" s="72">
        <v>204</v>
      </c>
    </row>
    <row r="211" spans="1:11" ht="16.05" customHeight="1">
      <c r="A211" s="66" t="s">
        <v>966</v>
      </c>
      <c r="B211" s="67" t="s">
        <v>967</v>
      </c>
      <c r="C211" s="66" t="s">
        <v>1393</v>
      </c>
      <c r="D211" s="85">
        <v>2.1312872975277068E-6</v>
      </c>
      <c r="E211" s="68" t="s">
        <v>223</v>
      </c>
      <c r="F211" s="86">
        <v>7.8162578162578185E-5</v>
      </c>
      <c r="G211" s="94" t="s">
        <v>223</v>
      </c>
      <c r="H211" s="86">
        <v>1.4999999999999999E-4</v>
      </c>
      <c r="I211" s="68" t="s">
        <v>223</v>
      </c>
      <c r="J211" s="68" t="s">
        <v>223</v>
      </c>
      <c r="K211" s="72">
        <v>205</v>
      </c>
    </row>
    <row r="212" spans="1:11" ht="16.05" customHeight="1">
      <c r="A212" s="66" t="s">
        <v>969</v>
      </c>
      <c r="B212" s="67" t="s">
        <v>63</v>
      </c>
      <c r="C212" s="66" t="s">
        <v>1393</v>
      </c>
      <c r="D212" s="78">
        <v>4.7000000000000002E-3</v>
      </c>
      <c r="E212" s="68" t="s">
        <v>223</v>
      </c>
      <c r="F212" s="73">
        <v>0.17</v>
      </c>
      <c r="G212" s="68" t="s">
        <v>223</v>
      </c>
      <c r="H212" s="73">
        <v>0.34</v>
      </c>
      <c r="I212" s="68" t="s">
        <v>223</v>
      </c>
      <c r="J212" s="68" t="s">
        <v>223</v>
      </c>
      <c r="K212" s="72">
        <v>206</v>
      </c>
    </row>
    <row r="213" spans="1:11" ht="16.05" customHeight="1">
      <c r="A213" s="66" t="s">
        <v>970</v>
      </c>
      <c r="B213" s="67" t="s">
        <v>971</v>
      </c>
      <c r="C213" s="66" t="s">
        <v>1393</v>
      </c>
      <c r="D213" s="76">
        <v>1.3999999999999999E-4</v>
      </c>
      <c r="E213" s="68" t="s">
        <v>223</v>
      </c>
      <c r="F213" s="76">
        <v>5.1999999999999998E-3</v>
      </c>
      <c r="G213" s="95" t="s">
        <v>223</v>
      </c>
      <c r="H213" s="76">
        <v>0.01</v>
      </c>
      <c r="I213" s="68" t="s">
        <v>223</v>
      </c>
      <c r="J213" s="68" t="s">
        <v>223</v>
      </c>
      <c r="K213" s="72">
        <v>207</v>
      </c>
    </row>
    <row r="214" spans="1:11" ht="16.05" customHeight="1">
      <c r="A214" s="66" t="s">
        <v>972</v>
      </c>
      <c r="B214" s="67" t="s">
        <v>66</v>
      </c>
      <c r="C214" s="66" t="s">
        <v>1393</v>
      </c>
      <c r="D214" s="76">
        <v>1.4E-3</v>
      </c>
      <c r="E214" s="68" t="s">
        <v>223</v>
      </c>
      <c r="F214" s="76">
        <v>5.1999999999999998E-2</v>
      </c>
      <c r="G214" s="95" t="s">
        <v>223</v>
      </c>
      <c r="H214" s="76">
        <v>0.1</v>
      </c>
      <c r="I214" s="68" t="s">
        <v>223</v>
      </c>
      <c r="J214" s="68" t="s">
        <v>223</v>
      </c>
      <c r="K214" s="72">
        <v>208</v>
      </c>
    </row>
    <row r="215" spans="1:11" ht="27" customHeight="1">
      <c r="A215" s="66" t="s">
        <v>975</v>
      </c>
      <c r="B215" s="87" t="s">
        <v>73</v>
      </c>
      <c r="C215" s="66" t="s">
        <v>1393</v>
      </c>
      <c r="D215" s="78">
        <v>4.2999999999999999E-4</v>
      </c>
      <c r="E215" s="68" t="s">
        <v>223</v>
      </c>
      <c r="F215" s="73">
        <v>1.6E-2</v>
      </c>
      <c r="G215" s="68" t="s">
        <v>223</v>
      </c>
      <c r="H215" s="73">
        <v>0.03</v>
      </c>
      <c r="I215" s="68" t="s">
        <v>223</v>
      </c>
      <c r="J215" s="68" t="s">
        <v>223</v>
      </c>
      <c r="K215" s="72">
        <v>209</v>
      </c>
    </row>
    <row r="216" spans="1:11" ht="16.05" customHeight="1">
      <c r="A216" s="66" t="s">
        <v>976</v>
      </c>
      <c r="B216" s="67" t="s">
        <v>977</v>
      </c>
      <c r="C216" s="66" t="s">
        <v>1393</v>
      </c>
      <c r="D216" s="85">
        <v>1.1E-4</v>
      </c>
      <c r="E216" s="68" t="s">
        <v>223</v>
      </c>
      <c r="F216" s="78">
        <v>3.8999999999999998E-3</v>
      </c>
      <c r="G216" s="68" t="s">
        <v>223</v>
      </c>
      <c r="H216" s="78">
        <v>7.6E-3</v>
      </c>
      <c r="I216" s="68" t="s">
        <v>223</v>
      </c>
      <c r="J216" s="68" t="s">
        <v>223</v>
      </c>
      <c r="K216" s="72">
        <v>210</v>
      </c>
    </row>
    <row r="217" spans="1:11" ht="16.05" customHeight="1">
      <c r="A217" s="66" t="s">
        <v>984</v>
      </c>
      <c r="B217" s="67" t="s">
        <v>76</v>
      </c>
      <c r="C217" s="66" t="s">
        <v>1393</v>
      </c>
      <c r="D217" s="78">
        <v>4.2625745950554137E-6</v>
      </c>
      <c r="E217" s="68" t="s">
        <v>223</v>
      </c>
      <c r="F217" s="78">
        <v>1.6000000000000001E-4</v>
      </c>
      <c r="G217" s="68" t="s">
        <v>223</v>
      </c>
      <c r="H217" s="76">
        <v>2.9999999999999997E-4</v>
      </c>
      <c r="I217" s="68" t="s">
        <v>223</v>
      </c>
      <c r="J217" s="68" t="s">
        <v>223</v>
      </c>
      <c r="K217" s="72">
        <v>211</v>
      </c>
    </row>
    <row r="218" spans="1:11" ht="16.05" customHeight="1">
      <c r="A218" s="66" t="s">
        <v>987</v>
      </c>
      <c r="B218" s="67" t="s">
        <v>988</v>
      </c>
      <c r="C218" s="66" t="s">
        <v>1393</v>
      </c>
      <c r="D218" s="83">
        <v>1.1E-4</v>
      </c>
      <c r="E218" s="68" t="s">
        <v>223</v>
      </c>
      <c r="F218" s="76">
        <v>3.8999999999999998E-3</v>
      </c>
      <c r="G218" s="68" t="s">
        <v>223</v>
      </c>
      <c r="H218" s="76">
        <v>7.6E-3</v>
      </c>
      <c r="I218" s="68" t="s">
        <v>223</v>
      </c>
      <c r="J218" s="68" t="s">
        <v>223</v>
      </c>
      <c r="K218" s="72">
        <v>212</v>
      </c>
    </row>
    <row r="219" spans="1:11" ht="16.05" customHeight="1">
      <c r="A219" s="66" t="s">
        <v>989</v>
      </c>
      <c r="B219" s="67" t="s">
        <v>990</v>
      </c>
      <c r="C219" s="66" t="s">
        <v>1393</v>
      </c>
      <c r="D219" s="83">
        <v>4.7361939945060156E-5</v>
      </c>
      <c r="E219" s="68" t="s">
        <v>223</v>
      </c>
      <c r="F219" s="78">
        <v>1.6999999999999999E-3</v>
      </c>
      <c r="G219" s="68" t="s">
        <v>223</v>
      </c>
      <c r="H219" s="76">
        <v>3.3999999999999998E-3</v>
      </c>
      <c r="I219" s="68" t="s">
        <v>223</v>
      </c>
      <c r="J219" s="68" t="s">
        <v>223</v>
      </c>
      <c r="K219" s="72">
        <v>213</v>
      </c>
    </row>
    <row r="220" spans="1:11" ht="16.05" customHeight="1">
      <c r="A220" s="66" t="s">
        <v>991</v>
      </c>
      <c r="B220" s="67" t="s">
        <v>992</v>
      </c>
      <c r="C220" s="66" t="s">
        <v>1393</v>
      </c>
      <c r="D220" s="85">
        <v>7.1042909917590224E-5</v>
      </c>
      <c r="E220" s="68" t="s">
        <v>223</v>
      </c>
      <c r="F220" s="83">
        <v>2.5999999999999999E-3</v>
      </c>
      <c r="G220" s="68" t="s">
        <v>223</v>
      </c>
      <c r="H220" s="78">
        <v>5.1000000000000004E-3</v>
      </c>
      <c r="I220" s="68" t="s">
        <v>223</v>
      </c>
      <c r="J220" s="68" t="s">
        <v>223</v>
      </c>
      <c r="K220" s="72">
        <v>214</v>
      </c>
    </row>
    <row r="221" spans="1:11" ht="16.05" customHeight="1">
      <c r="A221" s="66" t="s">
        <v>993</v>
      </c>
      <c r="B221" s="67" t="s">
        <v>994</v>
      </c>
      <c r="C221" s="66" t="s">
        <v>1393</v>
      </c>
      <c r="D221" s="86">
        <v>1.4208581983518046E-6</v>
      </c>
      <c r="E221" s="68" t="s">
        <v>223</v>
      </c>
      <c r="F221" s="86">
        <v>5.2108385441718781E-5</v>
      </c>
      <c r="G221" s="68" t="s">
        <v>223</v>
      </c>
      <c r="H221" s="73">
        <v>1E-4</v>
      </c>
      <c r="I221" s="68" t="s">
        <v>223</v>
      </c>
      <c r="J221" s="68" t="s">
        <v>223</v>
      </c>
      <c r="K221" s="72">
        <v>215</v>
      </c>
    </row>
    <row r="222" spans="1:11" ht="16.05" customHeight="1">
      <c r="A222" s="66" t="s">
        <v>995</v>
      </c>
      <c r="B222" s="67" t="s">
        <v>79</v>
      </c>
      <c r="C222" s="66" t="s">
        <v>1393</v>
      </c>
      <c r="D222" s="83">
        <v>5.2999999999999998E-4</v>
      </c>
      <c r="E222" s="68" t="s">
        <v>223</v>
      </c>
      <c r="F222" s="76">
        <v>0.02</v>
      </c>
      <c r="G222" s="68" t="s">
        <v>223</v>
      </c>
      <c r="H222" s="76">
        <v>3.7999999999999999E-2</v>
      </c>
      <c r="I222" s="68" t="s">
        <v>223</v>
      </c>
      <c r="J222" s="68" t="s">
        <v>223</v>
      </c>
      <c r="K222" s="72">
        <v>216</v>
      </c>
    </row>
    <row r="223" spans="1:11" ht="16.05" customHeight="1">
      <c r="A223" s="96" t="s">
        <v>997</v>
      </c>
      <c r="B223" s="67" t="s">
        <v>85</v>
      </c>
      <c r="C223" s="68" t="s">
        <v>1393</v>
      </c>
      <c r="D223" s="85">
        <v>6.0999999999999997E-4</v>
      </c>
      <c r="E223" s="68" t="s">
        <v>223</v>
      </c>
      <c r="F223" s="78">
        <v>2.1999999999999999E-2</v>
      </c>
      <c r="G223" s="68" t="s">
        <v>223</v>
      </c>
      <c r="H223" s="78">
        <v>4.2999999999999997E-2</v>
      </c>
      <c r="I223" s="68" t="s">
        <v>223</v>
      </c>
      <c r="J223" s="68" t="s">
        <v>223</v>
      </c>
      <c r="K223" s="72">
        <v>217</v>
      </c>
    </row>
    <row r="224" spans="1:11" ht="16.05" customHeight="1">
      <c r="A224" s="96" t="s">
        <v>1016</v>
      </c>
      <c r="B224" s="67" t="s">
        <v>1017</v>
      </c>
      <c r="C224" s="68" t="s">
        <v>1393</v>
      </c>
      <c r="D224" s="86">
        <v>4.2625745950554133E-5</v>
      </c>
      <c r="E224" s="68" t="s">
        <v>223</v>
      </c>
      <c r="F224" s="69">
        <v>1.6000000000000001E-3</v>
      </c>
      <c r="G224" s="68" t="s">
        <v>223</v>
      </c>
      <c r="H224" s="73">
        <v>3.0000000000000001E-3</v>
      </c>
      <c r="I224" s="68" t="s">
        <v>223</v>
      </c>
      <c r="J224" s="68" t="s">
        <v>223</v>
      </c>
      <c r="K224" s="72">
        <v>218</v>
      </c>
    </row>
    <row r="225" spans="1:11" ht="16.05" customHeight="1">
      <c r="A225" s="66" t="s">
        <v>1020</v>
      </c>
      <c r="B225" s="67" t="s">
        <v>1021</v>
      </c>
      <c r="C225" s="68" t="s">
        <v>1393</v>
      </c>
      <c r="D225" s="86">
        <v>4.2625745950554137E-6</v>
      </c>
      <c r="E225" s="68" t="s">
        <v>223</v>
      </c>
      <c r="F225" s="73">
        <v>1.6000000000000001E-4</v>
      </c>
      <c r="G225" s="68" t="s">
        <v>223</v>
      </c>
      <c r="H225" s="73">
        <v>2.9999999999999997E-4</v>
      </c>
      <c r="I225" s="68" t="s">
        <v>223</v>
      </c>
      <c r="J225" s="68" t="s">
        <v>223</v>
      </c>
      <c r="K225" s="72">
        <v>219</v>
      </c>
    </row>
    <row r="226" spans="1:11" ht="16.05" customHeight="1">
      <c r="A226" s="66" t="s">
        <v>1032</v>
      </c>
      <c r="B226" s="67" t="s">
        <v>1033</v>
      </c>
      <c r="C226" s="68"/>
      <c r="D226" s="68">
        <v>7.1000000000000004E-3</v>
      </c>
      <c r="E226" s="70" t="s">
        <v>223</v>
      </c>
      <c r="F226" s="68">
        <v>0.19</v>
      </c>
      <c r="G226" s="71" t="s">
        <v>223</v>
      </c>
      <c r="H226" s="68">
        <v>8.5999999999999993E-2</v>
      </c>
      <c r="I226" s="71" t="s">
        <v>223</v>
      </c>
      <c r="J226" s="68" t="s">
        <v>223</v>
      </c>
      <c r="K226" s="72">
        <v>220</v>
      </c>
    </row>
    <row r="227" spans="1:11" ht="16.05" customHeight="1">
      <c r="A227" s="66" t="s">
        <v>1038</v>
      </c>
      <c r="B227" s="67" t="s">
        <v>1039</v>
      </c>
      <c r="C227" s="68"/>
      <c r="D227" s="68">
        <v>1.4E-3</v>
      </c>
      <c r="E227" s="74" t="s">
        <v>223</v>
      </c>
      <c r="F227" s="68">
        <v>3.7999999999999999E-2</v>
      </c>
      <c r="G227" s="74" t="s">
        <v>223</v>
      </c>
      <c r="H227" s="68">
        <v>1.7000000000000001E-2</v>
      </c>
      <c r="I227" s="74" t="s">
        <v>223</v>
      </c>
      <c r="J227" s="68" t="s">
        <v>223</v>
      </c>
      <c r="K227" s="72">
        <v>221</v>
      </c>
    </row>
    <row r="228" spans="1:11" ht="16.05" customHeight="1">
      <c r="A228" s="66" t="s">
        <v>1042</v>
      </c>
      <c r="B228" s="67" t="s">
        <v>1043</v>
      </c>
      <c r="C228" s="68"/>
      <c r="D228" s="68" t="s">
        <v>223</v>
      </c>
      <c r="E228" s="69">
        <v>8</v>
      </c>
      <c r="F228" s="68" t="s">
        <v>223</v>
      </c>
      <c r="G228" s="70">
        <v>35</v>
      </c>
      <c r="H228" s="68" t="s">
        <v>223</v>
      </c>
      <c r="I228" s="70">
        <v>35</v>
      </c>
      <c r="J228" s="71" t="s">
        <v>223</v>
      </c>
      <c r="K228" s="72">
        <v>222</v>
      </c>
    </row>
    <row r="229" spans="1:11" ht="27" customHeight="1">
      <c r="A229" s="66" t="s">
        <v>1046</v>
      </c>
      <c r="B229" s="67" t="s">
        <v>1047</v>
      </c>
      <c r="C229" s="68"/>
      <c r="D229" s="68" t="s">
        <v>223</v>
      </c>
      <c r="E229" s="74">
        <v>3000</v>
      </c>
      <c r="F229" s="68" t="s">
        <v>223</v>
      </c>
      <c r="G229" s="74">
        <v>13000</v>
      </c>
      <c r="H229" s="68" t="s">
        <v>223</v>
      </c>
      <c r="I229" s="74">
        <v>13000</v>
      </c>
      <c r="J229" s="68" t="s">
        <v>223</v>
      </c>
      <c r="K229" s="72">
        <v>223</v>
      </c>
    </row>
    <row r="230" spans="1:11" ht="16.05" customHeight="1">
      <c r="A230" s="66" t="s">
        <v>1048</v>
      </c>
      <c r="B230" s="67" t="s">
        <v>1049</v>
      </c>
      <c r="C230" s="68"/>
      <c r="D230" s="69" t="s">
        <v>223</v>
      </c>
      <c r="E230" s="69">
        <v>0.27</v>
      </c>
      <c r="F230" s="70" t="s">
        <v>223</v>
      </c>
      <c r="G230" s="70">
        <v>1.2</v>
      </c>
      <c r="H230" s="70" t="s">
        <v>223</v>
      </c>
      <c r="I230" s="70">
        <v>1.2</v>
      </c>
      <c r="J230" s="74">
        <v>20</v>
      </c>
      <c r="K230" s="72">
        <v>224</v>
      </c>
    </row>
    <row r="231" spans="1:11" ht="16.05" customHeight="1">
      <c r="A231" s="68" t="s">
        <v>1050</v>
      </c>
      <c r="B231" s="67" t="s">
        <v>1051</v>
      </c>
      <c r="C231" s="66"/>
      <c r="D231" s="68" t="s">
        <v>223</v>
      </c>
      <c r="E231" s="71">
        <v>7000</v>
      </c>
      <c r="F231" s="97" t="s">
        <v>223</v>
      </c>
      <c r="G231" s="71">
        <v>31000</v>
      </c>
      <c r="H231" s="97" t="s">
        <v>223</v>
      </c>
      <c r="I231" s="71">
        <v>31000</v>
      </c>
      <c r="J231" s="68" t="s">
        <v>223</v>
      </c>
      <c r="K231" s="72">
        <v>225</v>
      </c>
    </row>
    <row r="232" spans="1:11" ht="16.05" customHeight="1">
      <c r="A232" s="98" t="s">
        <v>1054</v>
      </c>
      <c r="B232" s="67" t="s">
        <v>1055</v>
      </c>
      <c r="C232" s="68"/>
      <c r="D232" s="68">
        <v>0.27</v>
      </c>
      <c r="E232" s="68">
        <v>30</v>
      </c>
      <c r="F232" s="68">
        <v>7</v>
      </c>
      <c r="G232" s="68">
        <v>130</v>
      </c>
      <c r="H232" s="68">
        <v>3.2</v>
      </c>
      <c r="I232" s="68">
        <v>130</v>
      </c>
      <c r="J232" s="70">
        <v>3100</v>
      </c>
      <c r="K232" s="72">
        <v>226</v>
      </c>
    </row>
    <row r="233" spans="1:11" ht="16.05" customHeight="1">
      <c r="A233" s="66" t="s">
        <v>1394</v>
      </c>
      <c r="B233" s="67" t="s">
        <v>1068</v>
      </c>
      <c r="C233" s="66" t="s">
        <v>1373</v>
      </c>
      <c r="D233" s="68" t="s">
        <v>223</v>
      </c>
      <c r="E233" s="69">
        <v>0.03</v>
      </c>
      <c r="F233" s="68" t="s">
        <v>223</v>
      </c>
      <c r="G233" s="69">
        <v>0.13</v>
      </c>
      <c r="H233" s="93" t="s">
        <v>223</v>
      </c>
      <c r="I233" s="69">
        <v>0.13</v>
      </c>
      <c r="J233" s="71" t="s">
        <v>223</v>
      </c>
      <c r="K233" s="72">
        <v>227</v>
      </c>
    </row>
    <row r="234" spans="1:11" ht="16.05" customHeight="1">
      <c r="A234" s="66" t="s">
        <v>1074</v>
      </c>
      <c r="B234" s="67" t="s">
        <v>1075</v>
      </c>
      <c r="C234" s="66"/>
      <c r="D234" s="68" t="s">
        <v>223</v>
      </c>
      <c r="E234" s="69" t="s">
        <v>223</v>
      </c>
      <c r="F234" s="68" t="s">
        <v>223</v>
      </c>
      <c r="G234" s="70" t="s">
        <v>223</v>
      </c>
      <c r="H234" s="68" t="s">
        <v>223</v>
      </c>
      <c r="I234" s="70" t="s">
        <v>223</v>
      </c>
      <c r="J234" s="68">
        <v>5</v>
      </c>
      <c r="K234" s="72">
        <v>228</v>
      </c>
    </row>
    <row r="235" spans="1:11" ht="27" customHeight="1">
      <c r="A235" s="66" t="s">
        <v>1076</v>
      </c>
      <c r="B235" s="67" t="s">
        <v>1077</v>
      </c>
      <c r="C235" s="68" t="s">
        <v>1372</v>
      </c>
      <c r="D235" s="68" t="s">
        <v>223</v>
      </c>
      <c r="E235" s="70" t="s">
        <v>223</v>
      </c>
      <c r="F235" s="68" t="s">
        <v>223</v>
      </c>
      <c r="G235" s="71" t="s">
        <v>223</v>
      </c>
      <c r="H235" s="68" t="s">
        <v>223</v>
      </c>
      <c r="I235" s="71" t="s">
        <v>223</v>
      </c>
      <c r="J235" s="68">
        <v>2</v>
      </c>
      <c r="K235" s="72">
        <v>229</v>
      </c>
    </row>
    <row r="236" spans="1:11" ht="16.05" customHeight="1">
      <c r="A236" s="66" t="s">
        <v>1080</v>
      </c>
      <c r="B236" s="67" t="s">
        <v>1081</v>
      </c>
      <c r="C236" s="68"/>
      <c r="D236" s="68" t="s">
        <v>223</v>
      </c>
      <c r="E236" s="68">
        <v>3</v>
      </c>
      <c r="F236" s="68" t="s">
        <v>223</v>
      </c>
      <c r="G236" s="68">
        <v>13</v>
      </c>
      <c r="H236" s="68" t="s">
        <v>223</v>
      </c>
      <c r="I236" s="68">
        <v>13</v>
      </c>
      <c r="J236" s="70" t="s">
        <v>223</v>
      </c>
      <c r="K236" s="72">
        <v>230</v>
      </c>
    </row>
    <row r="237" spans="1:11" ht="16.05" customHeight="1">
      <c r="A237" s="66" t="s">
        <v>1085</v>
      </c>
      <c r="B237" s="67" t="s">
        <v>1086</v>
      </c>
      <c r="C237" s="68"/>
      <c r="D237" s="68" t="s">
        <v>223</v>
      </c>
      <c r="E237" s="74" t="s">
        <v>223</v>
      </c>
      <c r="F237" s="68" t="s">
        <v>223</v>
      </c>
      <c r="G237" s="74" t="s">
        <v>223</v>
      </c>
      <c r="H237" s="68" t="s">
        <v>223</v>
      </c>
      <c r="I237" s="74" t="s">
        <v>223</v>
      </c>
      <c r="J237" s="74">
        <v>8</v>
      </c>
      <c r="K237" s="72">
        <v>231</v>
      </c>
    </row>
    <row r="238" spans="1:11" ht="16.05" customHeight="1">
      <c r="A238" s="66" t="s">
        <v>1091</v>
      </c>
      <c r="B238" s="67" t="s">
        <v>1092</v>
      </c>
      <c r="C238" s="68"/>
      <c r="D238" s="68" t="s">
        <v>223</v>
      </c>
      <c r="E238" s="70">
        <v>1000</v>
      </c>
      <c r="F238" s="68" t="s">
        <v>223</v>
      </c>
      <c r="G238" s="70">
        <v>4400</v>
      </c>
      <c r="H238" s="68" t="s">
        <v>223</v>
      </c>
      <c r="I238" s="70">
        <v>4400</v>
      </c>
      <c r="J238" s="71">
        <v>21000</v>
      </c>
      <c r="K238" s="72">
        <v>232</v>
      </c>
    </row>
    <row r="239" spans="1:11" ht="16.05" customHeight="1">
      <c r="A239" s="66" t="s">
        <v>1097</v>
      </c>
      <c r="B239" s="67" t="s">
        <v>1098</v>
      </c>
      <c r="C239" s="68"/>
      <c r="D239" s="68" t="s">
        <v>223</v>
      </c>
      <c r="E239" s="68">
        <v>1</v>
      </c>
      <c r="F239" s="68" t="s">
        <v>223</v>
      </c>
      <c r="G239" s="68">
        <v>4.4000000000000004</v>
      </c>
      <c r="H239" s="68" t="s">
        <v>223</v>
      </c>
      <c r="I239" s="68">
        <v>4.4000000000000004</v>
      </c>
      <c r="J239" s="69">
        <v>120</v>
      </c>
      <c r="K239" s="72">
        <v>233</v>
      </c>
    </row>
    <row r="240" spans="1:11" ht="16.05" customHeight="1">
      <c r="A240" s="66" t="s">
        <v>1099</v>
      </c>
      <c r="B240" s="67" t="s">
        <v>1395</v>
      </c>
      <c r="C240" s="68"/>
      <c r="D240" s="68" t="s">
        <v>223</v>
      </c>
      <c r="E240" s="70" t="s">
        <v>223</v>
      </c>
      <c r="F240" s="68" t="s">
        <v>223</v>
      </c>
      <c r="G240" s="70" t="s">
        <v>223</v>
      </c>
      <c r="H240" s="68" t="s">
        <v>223</v>
      </c>
      <c r="I240" s="70" t="s">
        <v>223</v>
      </c>
      <c r="J240" s="70">
        <v>0.7</v>
      </c>
      <c r="K240" s="72">
        <v>234</v>
      </c>
    </row>
    <row r="241" spans="1:11" ht="16.05" customHeight="1">
      <c r="A241" s="66" t="s">
        <v>1101</v>
      </c>
      <c r="B241" s="67" t="s">
        <v>1102</v>
      </c>
      <c r="C241" s="68"/>
      <c r="D241" s="69" t="s">
        <v>223</v>
      </c>
      <c r="E241" s="68">
        <v>1</v>
      </c>
      <c r="F241" s="70" t="s">
        <v>223</v>
      </c>
      <c r="G241" s="68">
        <v>4.4000000000000004</v>
      </c>
      <c r="H241" s="70" t="s">
        <v>223</v>
      </c>
      <c r="I241" s="68">
        <v>4.4000000000000004</v>
      </c>
      <c r="J241" s="68">
        <v>120</v>
      </c>
      <c r="K241" s="72">
        <v>235</v>
      </c>
    </row>
    <row r="242" spans="1:11" ht="16.05" customHeight="1">
      <c r="A242" s="66" t="s">
        <v>1108</v>
      </c>
      <c r="B242" s="67" t="s">
        <v>1109</v>
      </c>
      <c r="C242" s="68"/>
      <c r="D242" s="73">
        <v>0.14000000000000001</v>
      </c>
      <c r="E242" s="68" t="s">
        <v>223</v>
      </c>
      <c r="F242" s="69">
        <v>3.5</v>
      </c>
      <c r="G242" s="68" t="s">
        <v>223</v>
      </c>
      <c r="H242" s="69">
        <v>1.6</v>
      </c>
      <c r="I242" s="68" t="s">
        <v>223</v>
      </c>
      <c r="J242" s="68" t="s">
        <v>223</v>
      </c>
      <c r="K242" s="72">
        <v>236</v>
      </c>
    </row>
    <row r="243" spans="1:11" ht="27" customHeight="1">
      <c r="A243" s="66" t="s">
        <v>1110</v>
      </c>
      <c r="B243" s="67" t="s">
        <v>1111</v>
      </c>
      <c r="C243" s="68"/>
      <c r="D243" s="73">
        <v>1.7000000000000001E-2</v>
      </c>
      <c r="E243" s="73" t="s">
        <v>223</v>
      </c>
      <c r="F243" s="73">
        <v>0.45</v>
      </c>
      <c r="G243" s="73" t="s">
        <v>223</v>
      </c>
      <c r="H243" s="73">
        <v>0.21</v>
      </c>
      <c r="I243" s="71" t="s">
        <v>223</v>
      </c>
      <c r="J243" s="71" t="s">
        <v>223</v>
      </c>
      <c r="K243" s="72">
        <v>237</v>
      </c>
    </row>
    <row r="244" spans="1:11" ht="16.05" customHeight="1">
      <c r="A244" s="66" t="s">
        <v>1112</v>
      </c>
      <c r="B244" s="67" t="s">
        <v>1113</v>
      </c>
      <c r="C244" s="68"/>
      <c r="D244" s="68">
        <v>3.8</v>
      </c>
      <c r="E244" s="74">
        <v>41</v>
      </c>
      <c r="F244" s="68">
        <v>100</v>
      </c>
      <c r="G244" s="74">
        <v>180</v>
      </c>
      <c r="H244" s="68">
        <v>46</v>
      </c>
      <c r="I244" s="74">
        <v>180</v>
      </c>
      <c r="J244" s="68">
        <v>41</v>
      </c>
      <c r="K244" s="72">
        <v>238</v>
      </c>
    </row>
    <row r="245" spans="1:11" ht="16.05" customHeight="1">
      <c r="A245" s="66" t="s">
        <v>1116</v>
      </c>
      <c r="B245" s="67" t="s">
        <v>1117</v>
      </c>
      <c r="C245" s="68"/>
      <c r="D245" s="78" t="s">
        <v>223</v>
      </c>
      <c r="E245" s="68">
        <v>80000</v>
      </c>
      <c r="F245" s="73" t="s">
        <v>223</v>
      </c>
      <c r="G245" s="68">
        <v>350000</v>
      </c>
      <c r="H245" s="76" t="s">
        <v>223</v>
      </c>
      <c r="I245" s="68">
        <v>350000</v>
      </c>
      <c r="J245" s="68" t="s">
        <v>223</v>
      </c>
      <c r="K245" s="72">
        <v>239</v>
      </c>
    </row>
    <row r="246" spans="1:11" ht="16.05" customHeight="1">
      <c r="A246" s="66" t="s">
        <v>1120</v>
      </c>
      <c r="B246" s="67" t="s">
        <v>1121</v>
      </c>
      <c r="C246" s="68"/>
      <c r="D246" s="68">
        <v>5.9000000000000003E-4</v>
      </c>
      <c r="E246" s="69" t="s">
        <v>223</v>
      </c>
      <c r="F246" s="68">
        <v>1.4999999999999999E-2</v>
      </c>
      <c r="G246" s="69" t="s">
        <v>223</v>
      </c>
      <c r="H246" s="68">
        <v>7.1000000000000004E-3</v>
      </c>
      <c r="I246" s="69" t="s">
        <v>223</v>
      </c>
      <c r="J246" s="71" t="s">
        <v>223</v>
      </c>
      <c r="K246" s="72">
        <v>240</v>
      </c>
    </row>
    <row r="247" spans="1:11" ht="16.05" customHeight="1">
      <c r="A247" s="66" t="s">
        <v>1126</v>
      </c>
      <c r="B247" s="67" t="s">
        <v>1127</v>
      </c>
      <c r="C247" s="68"/>
      <c r="D247" s="68" t="s">
        <v>223</v>
      </c>
      <c r="E247" s="99">
        <v>0.1</v>
      </c>
      <c r="F247" s="100" t="s">
        <v>223</v>
      </c>
      <c r="G247" s="99">
        <v>0.44</v>
      </c>
      <c r="H247" s="100" t="s">
        <v>223</v>
      </c>
      <c r="I247" s="99">
        <v>0.44</v>
      </c>
      <c r="J247" s="74">
        <v>10</v>
      </c>
      <c r="K247" s="72">
        <v>241</v>
      </c>
    </row>
    <row r="248" spans="1:11" ht="27" customHeight="1">
      <c r="A248" s="66" t="s">
        <v>1128</v>
      </c>
      <c r="B248" s="87" t="s">
        <v>1129</v>
      </c>
      <c r="C248" s="68"/>
      <c r="D248" s="73" t="s">
        <v>223</v>
      </c>
      <c r="E248" s="71">
        <v>5000</v>
      </c>
      <c r="F248" s="71" t="s">
        <v>223</v>
      </c>
      <c r="G248" s="71">
        <v>22000</v>
      </c>
      <c r="H248" s="71" t="s">
        <v>223</v>
      </c>
      <c r="I248" s="71">
        <v>22000</v>
      </c>
      <c r="J248" s="71">
        <v>7500</v>
      </c>
      <c r="K248" s="72">
        <v>242</v>
      </c>
    </row>
    <row r="249" spans="1:11" ht="37.049999999999997" customHeight="1">
      <c r="A249" s="66" t="s">
        <v>1130</v>
      </c>
      <c r="B249" s="67" t="s">
        <v>1131</v>
      </c>
      <c r="C249" s="68"/>
      <c r="D249" s="76">
        <v>9.0999999999999998E-2</v>
      </c>
      <c r="E249" s="68">
        <v>2.1000000000000001E-2</v>
      </c>
      <c r="F249" s="73">
        <v>2.4</v>
      </c>
      <c r="G249" s="68">
        <v>9.1999999999999998E-2</v>
      </c>
      <c r="H249" s="73">
        <v>1.1000000000000001</v>
      </c>
      <c r="I249" s="68">
        <v>9.1999999999999998E-2</v>
      </c>
      <c r="J249" s="68">
        <v>7.0999999999999994E-2</v>
      </c>
      <c r="K249" s="72">
        <v>243</v>
      </c>
    </row>
    <row r="250" spans="1:11" ht="27" customHeight="1">
      <c r="A250" s="66" t="s">
        <v>1156</v>
      </c>
      <c r="B250" s="67" t="s">
        <v>1157</v>
      </c>
      <c r="C250" s="68"/>
      <c r="D250" s="68">
        <v>3.0999999999999999E-3</v>
      </c>
      <c r="E250" s="74" t="s">
        <v>223</v>
      </c>
      <c r="F250" s="68">
        <v>8.1000000000000003E-2</v>
      </c>
      <c r="G250" s="74" t="s">
        <v>223</v>
      </c>
      <c r="H250" s="68">
        <v>3.7999999999999999E-2</v>
      </c>
      <c r="I250" s="74" t="s">
        <v>223</v>
      </c>
      <c r="J250" s="74" t="s">
        <v>223</v>
      </c>
      <c r="K250" s="72">
        <v>244</v>
      </c>
    </row>
    <row r="251" spans="1:11" ht="27" customHeight="1">
      <c r="A251" s="66" t="s">
        <v>1162</v>
      </c>
      <c r="B251" s="67" t="s">
        <v>1163</v>
      </c>
      <c r="C251" s="68"/>
      <c r="D251" s="73" t="s">
        <v>223</v>
      </c>
      <c r="E251" s="68">
        <v>5000</v>
      </c>
      <c r="F251" s="70" t="s">
        <v>223</v>
      </c>
      <c r="G251" s="68">
        <v>22000</v>
      </c>
      <c r="H251" s="69" t="s">
        <v>223</v>
      </c>
      <c r="I251" s="68">
        <v>22000</v>
      </c>
      <c r="J251" s="68">
        <v>11000</v>
      </c>
      <c r="K251" s="72">
        <v>245</v>
      </c>
    </row>
    <row r="252" spans="1:11" ht="27" customHeight="1">
      <c r="A252" s="101" t="s">
        <v>1164</v>
      </c>
      <c r="B252" s="67" t="s">
        <v>1165</v>
      </c>
      <c r="C252" s="66"/>
      <c r="D252" s="73">
        <v>6.3E-2</v>
      </c>
      <c r="E252" s="70" t="s">
        <v>223</v>
      </c>
      <c r="F252" s="70">
        <v>1.6</v>
      </c>
      <c r="G252" s="70" t="s">
        <v>223</v>
      </c>
      <c r="H252" s="69">
        <v>0.75</v>
      </c>
      <c r="I252" s="70" t="s">
        <v>223</v>
      </c>
      <c r="J252" s="70" t="s">
        <v>223</v>
      </c>
      <c r="K252" s="72">
        <v>246</v>
      </c>
    </row>
    <row r="253" spans="1:11" ht="16.05" customHeight="1">
      <c r="A253" s="101" t="s">
        <v>1166</v>
      </c>
      <c r="B253" s="67" t="s">
        <v>1167</v>
      </c>
      <c r="C253" s="68" t="s">
        <v>1371</v>
      </c>
      <c r="D253" s="69">
        <v>0.2</v>
      </c>
      <c r="E253" s="68">
        <v>2.1</v>
      </c>
      <c r="F253" s="70">
        <v>3.5</v>
      </c>
      <c r="G253" s="68">
        <v>9.1999999999999993</v>
      </c>
      <c r="H253" s="70">
        <v>2.9</v>
      </c>
      <c r="I253" s="68">
        <v>9.1999999999999993</v>
      </c>
      <c r="J253" s="68">
        <v>2.1</v>
      </c>
      <c r="K253" s="72">
        <v>247</v>
      </c>
    </row>
    <row r="254" spans="1:11" ht="16.05" customHeight="1">
      <c r="A254" s="66" t="s">
        <v>1172</v>
      </c>
      <c r="B254" s="67" t="s">
        <v>1173</v>
      </c>
      <c r="C254" s="68"/>
      <c r="D254" s="68">
        <v>0.05</v>
      </c>
      <c r="E254" s="69" t="s">
        <v>223</v>
      </c>
      <c r="F254" s="68">
        <v>1.3</v>
      </c>
      <c r="G254" s="70" t="s">
        <v>223</v>
      </c>
      <c r="H254" s="68">
        <v>0.6</v>
      </c>
      <c r="I254" s="70" t="s">
        <v>223</v>
      </c>
      <c r="J254" s="70" t="s">
        <v>223</v>
      </c>
      <c r="K254" s="72">
        <v>248</v>
      </c>
    </row>
    <row r="255" spans="1:11" ht="16.05" customHeight="1">
      <c r="A255" s="66" t="s">
        <v>1174</v>
      </c>
      <c r="B255" s="67" t="s">
        <v>1175</v>
      </c>
      <c r="C255" s="68"/>
      <c r="D255" s="68" t="s">
        <v>223</v>
      </c>
      <c r="E255" s="70">
        <v>0.3</v>
      </c>
      <c r="F255" s="68" t="s">
        <v>223</v>
      </c>
      <c r="G255" s="70">
        <v>1.3</v>
      </c>
      <c r="H255" s="68" t="s">
        <v>223</v>
      </c>
      <c r="I255" s="70">
        <v>1.3</v>
      </c>
      <c r="J255" s="102">
        <v>1.8</v>
      </c>
      <c r="K255" s="72">
        <v>249</v>
      </c>
    </row>
    <row r="256" spans="1:11" ht="16.05" customHeight="1">
      <c r="A256" s="66" t="s">
        <v>1178</v>
      </c>
      <c r="B256" s="67" t="s">
        <v>1179</v>
      </c>
      <c r="C256" s="68"/>
      <c r="D256" s="68" t="s">
        <v>223</v>
      </c>
      <c r="E256" s="71">
        <v>200</v>
      </c>
      <c r="F256" s="68" t="s">
        <v>223</v>
      </c>
      <c r="G256" s="71">
        <v>880</v>
      </c>
      <c r="H256" s="68" t="s">
        <v>223</v>
      </c>
      <c r="I256" s="71">
        <v>880</v>
      </c>
      <c r="J256" s="68">
        <v>2800</v>
      </c>
      <c r="K256" s="72">
        <v>250</v>
      </c>
    </row>
    <row r="257" spans="1:11" ht="16.05" customHeight="1">
      <c r="A257" s="66" t="s">
        <v>1192</v>
      </c>
      <c r="B257" s="67" t="s">
        <v>1193</v>
      </c>
      <c r="C257" s="68"/>
      <c r="D257" s="68" t="s">
        <v>223</v>
      </c>
      <c r="E257" s="71">
        <v>60</v>
      </c>
      <c r="F257" s="68" t="s">
        <v>223</v>
      </c>
      <c r="G257" s="71">
        <v>260</v>
      </c>
      <c r="H257" s="68" t="s">
        <v>223</v>
      </c>
      <c r="I257" s="71">
        <v>260</v>
      </c>
      <c r="J257" s="68" t="s">
        <v>223</v>
      </c>
      <c r="K257" s="72">
        <v>251</v>
      </c>
    </row>
    <row r="258" spans="1:11" ht="16.05" customHeight="1">
      <c r="A258" s="66" t="s">
        <v>1194</v>
      </c>
      <c r="B258" s="67" t="s">
        <v>1195</v>
      </c>
      <c r="C258" s="68"/>
      <c r="D258" s="68" t="s">
        <v>223</v>
      </c>
      <c r="E258" s="71">
        <v>60</v>
      </c>
      <c r="F258" s="68" t="s">
        <v>223</v>
      </c>
      <c r="G258" s="71">
        <v>260</v>
      </c>
      <c r="H258" s="68" t="s">
        <v>223</v>
      </c>
      <c r="I258" s="71">
        <v>260</v>
      </c>
      <c r="J258" s="68" t="s">
        <v>223</v>
      </c>
      <c r="K258" s="72">
        <v>252</v>
      </c>
    </row>
    <row r="259" spans="1:11" ht="16.05" customHeight="1">
      <c r="A259" s="66" t="s">
        <v>1196</v>
      </c>
      <c r="B259" s="67" t="s">
        <v>1197</v>
      </c>
      <c r="C259" s="68"/>
      <c r="D259" s="76" t="s">
        <v>223</v>
      </c>
      <c r="E259" s="68">
        <v>60</v>
      </c>
      <c r="F259" s="73" t="s">
        <v>223</v>
      </c>
      <c r="G259" s="68">
        <v>260</v>
      </c>
      <c r="H259" s="73" t="s">
        <v>223</v>
      </c>
      <c r="I259" s="68">
        <v>260</v>
      </c>
      <c r="J259" s="68" t="s">
        <v>223</v>
      </c>
      <c r="K259" s="72">
        <v>253</v>
      </c>
    </row>
    <row r="260" spans="1:11" ht="16.05" customHeight="1">
      <c r="A260" s="66" t="s">
        <v>1204</v>
      </c>
      <c r="B260" s="67" t="s">
        <v>1205</v>
      </c>
      <c r="C260" s="68" t="s">
        <v>1371</v>
      </c>
      <c r="D260" s="68">
        <v>2E-3</v>
      </c>
      <c r="E260" s="69" t="s">
        <v>223</v>
      </c>
      <c r="F260" s="68">
        <v>2.1000000000000001E-2</v>
      </c>
      <c r="G260" s="69" t="s">
        <v>223</v>
      </c>
      <c r="H260" s="68">
        <v>4.1000000000000002E-2</v>
      </c>
      <c r="I260" s="69" t="s">
        <v>223</v>
      </c>
      <c r="J260" s="69" t="s">
        <v>223</v>
      </c>
      <c r="K260" s="72">
        <v>254</v>
      </c>
    </row>
    <row r="261" spans="1:11" ht="16.05" customHeight="1">
      <c r="A261" s="66" t="s">
        <v>1206</v>
      </c>
      <c r="B261" s="67" t="s">
        <v>1207</v>
      </c>
      <c r="C261" s="68"/>
      <c r="D261" s="78" t="s">
        <v>223</v>
      </c>
      <c r="E261" s="76">
        <v>0.1</v>
      </c>
      <c r="F261" s="76" t="s">
        <v>223</v>
      </c>
      <c r="G261" s="73">
        <v>0.44</v>
      </c>
      <c r="H261" s="76" t="s">
        <v>223</v>
      </c>
      <c r="I261" s="73">
        <v>0.44</v>
      </c>
      <c r="J261" s="70">
        <v>0.8</v>
      </c>
      <c r="K261" s="72">
        <v>255</v>
      </c>
    </row>
    <row r="262" spans="1:11" ht="16.05" customHeight="1">
      <c r="A262" s="66" t="s">
        <v>1208</v>
      </c>
      <c r="B262" s="67" t="s">
        <v>1209</v>
      </c>
      <c r="C262" s="68"/>
      <c r="D262" s="68">
        <v>1.2E-4</v>
      </c>
      <c r="E262" s="73">
        <v>7.0000000000000001E-3</v>
      </c>
      <c r="F262" s="68">
        <v>3.0999999999999999E-3</v>
      </c>
      <c r="G262" s="73">
        <v>3.1E-2</v>
      </c>
      <c r="H262" s="68">
        <v>1.4E-3</v>
      </c>
      <c r="I262" s="71">
        <v>3.1E-2</v>
      </c>
      <c r="J262" s="71">
        <v>30</v>
      </c>
      <c r="K262" s="72">
        <v>256</v>
      </c>
    </row>
    <row r="263" spans="1:11" ht="16.05" customHeight="1">
      <c r="A263" s="66" t="s">
        <v>1210</v>
      </c>
      <c r="B263" s="67" t="s">
        <v>1211</v>
      </c>
      <c r="C263" s="68"/>
      <c r="D263" s="68" t="s">
        <v>223</v>
      </c>
      <c r="E263" s="70">
        <v>200</v>
      </c>
      <c r="F263" s="68" t="s">
        <v>223</v>
      </c>
      <c r="G263" s="71">
        <v>880</v>
      </c>
      <c r="H263" s="68" t="s">
        <v>223</v>
      </c>
      <c r="I263" s="71">
        <v>880</v>
      </c>
      <c r="J263" s="68">
        <v>200</v>
      </c>
      <c r="K263" s="72">
        <v>257</v>
      </c>
    </row>
    <row r="264" spans="1:11" ht="16.05" customHeight="1">
      <c r="A264" s="101" t="s">
        <v>1212</v>
      </c>
      <c r="B264" s="67" t="s">
        <v>1213</v>
      </c>
      <c r="C264" s="66"/>
      <c r="D264" s="73" t="s">
        <v>223</v>
      </c>
      <c r="E264" s="71">
        <v>3</v>
      </c>
      <c r="F264" s="73" t="s">
        <v>223</v>
      </c>
      <c r="G264" s="71">
        <v>13</v>
      </c>
      <c r="H264" s="70" t="s">
        <v>223</v>
      </c>
      <c r="I264" s="71">
        <v>13</v>
      </c>
      <c r="J264" s="74" t="s">
        <v>223</v>
      </c>
      <c r="K264" s="72">
        <v>258</v>
      </c>
    </row>
    <row r="265" spans="1:11" ht="16.05" customHeight="1">
      <c r="A265" s="103" t="s">
        <v>1214</v>
      </c>
      <c r="B265" s="104" t="s">
        <v>1215</v>
      </c>
      <c r="C265" s="105" t="s">
        <v>1396</v>
      </c>
      <c r="D265" s="105">
        <v>0.11</v>
      </c>
      <c r="E265" s="106">
        <v>100</v>
      </c>
      <c r="F265" s="105">
        <v>0.22</v>
      </c>
      <c r="G265" s="106">
        <v>440</v>
      </c>
      <c r="H265" s="105">
        <v>2.7</v>
      </c>
      <c r="I265" s="106">
        <v>440</v>
      </c>
      <c r="J265" s="106">
        <v>1300</v>
      </c>
      <c r="K265" s="72">
        <v>259</v>
      </c>
    </row>
    <row r="266" spans="1:11">
      <c r="A266" s="107" t="s">
        <v>1220</v>
      </c>
      <c r="B266" s="108" t="s">
        <v>1221</v>
      </c>
      <c r="C266" s="109"/>
      <c r="D266" s="109" t="s">
        <v>223</v>
      </c>
      <c r="E266" s="110">
        <v>200</v>
      </c>
      <c r="F266" s="109" t="s">
        <v>223</v>
      </c>
      <c r="G266" s="110">
        <v>880</v>
      </c>
      <c r="H266" s="109" t="s">
        <v>223</v>
      </c>
      <c r="I266" s="110">
        <v>880</v>
      </c>
      <c r="J266" s="111">
        <v>200</v>
      </c>
      <c r="K266" s="72">
        <v>260</v>
      </c>
    </row>
    <row r="267" spans="1:11">
      <c r="A267" s="107" t="s">
        <v>1222</v>
      </c>
      <c r="B267" s="112" t="s">
        <v>1223</v>
      </c>
      <c r="C267" s="113"/>
      <c r="D267" s="113" t="s">
        <v>223</v>
      </c>
      <c r="E267" s="113">
        <v>220</v>
      </c>
      <c r="F267" s="113" t="s">
        <v>223</v>
      </c>
      <c r="G267" s="113">
        <v>970</v>
      </c>
      <c r="H267" s="113" t="s">
        <v>223</v>
      </c>
      <c r="I267" s="113">
        <v>970</v>
      </c>
      <c r="J267" s="113">
        <v>8700</v>
      </c>
      <c r="K267" s="114">
        <v>261</v>
      </c>
    </row>
  </sheetData>
  <mergeCells count="3">
    <mergeCell ref="A3:J3"/>
    <mergeCell ref="D4:E4"/>
    <mergeCell ref="F4: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52F2-C15E-4D90-8D1E-6F8A0E3F240D}">
  <sheetPr codeName="Sheet15"/>
  <dimension ref="A1:B5"/>
  <sheetViews>
    <sheetView workbookViewId="0"/>
  </sheetViews>
  <sheetFormatPr defaultColWidth="11" defaultRowHeight="15.6"/>
  <sheetData>
    <row r="1" spans="1:2">
      <c r="A1" t="s">
        <v>1574</v>
      </c>
    </row>
    <row r="3" spans="1:2">
      <c r="A3" s="194">
        <v>44741</v>
      </c>
      <c r="B3" t="s">
        <v>1575</v>
      </c>
    </row>
    <row r="5" spans="1:2">
      <c r="A5" s="194">
        <v>44743</v>
      </c>
      <c r="B5" t="s">
        <v>1577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681C-BD18-FB40-97C4-5ABECF9618CB}">
  <sheetPr codeName="Sheet14"/>
  <dimension ref="A1:B177"/>
  <sheetViews>
    <sheetView workbookViewId="0"/>
  </sheetViews>
  <sheetFormatPr defaultColWidth="11" defaultRowHeight="15.6"/>
  <cols>
    <col min="1" max="1" width="48.796875" customWidth="1"/>
  </cols>
  <sheetData>
    <row r="1" spans="1:1">
      <c r="A1" s="2" t="s">
        <v>1269</v>
      </c>
    </row>
    <row r="2" spans="1:1">
      <c r="A2" t="s">
        <v>124</v>
      </c>
    </row>
    <row r="3" spans="1:1">
      <c r="A3" t="s">
        <v>130</v>
      </c>
    </row>
    <row r="4" spans="1:1">
      <c r="A4" t="s">
        <v>146</v>
      </c>
    </row>
    <row r="5" spans="1:1">
      <c r="A5" t="s">
        <v>164</v>
      </c>
    </row>
    <row r="6" spans="1:1">
      <c r="A6" t="s">
        <v>214</v>
      </c>
    </row>
    <row r="7" spans="1:1">
      <c r="A7" t="s">
        <v>297</v>
      </c>
    </row>
    <row r="8" spans="1:1">
      <c r="A8" t="s">
        <v>305</v>
      </c>
    </row>
    <row r="9" spans="1:1">
      <c r="A9" t="s">
        <v>308</v>
      </c>
    </row>
    <row r="10" spans="1:1">
      <c r="A10" t="s">
        <v>611</v>
      </c>
    </row>
    <row r="11" spans="1:1">
      <c r="A11" t="s">
        <v>617</v>
      </c>
    </row>
    <row r="12" spans="1:1">
      <c r="A12" t="s">
        <v>623</v>
      </c>
    </row>
    <row r="13" spans="1:1">
      <c r="A13" t="s">
        <v>696</v>
      </c>
    </row>
    <row r="14" spans="1:1">
      <c r="A14" t="s">
        <v>832</v>
      </c>
    </row>
    <row r="15" spans="1:1">
      <c r="A15" t="s">
        <v>1077</v>
      </c>
    </row>
    <row r="16" spans="1:1">
      <c r="A16" t="s">
        <v>1083</v>
      </c>
    </row>
    <row r="17" spans="1:1">
      <c r="A17" t="s">
        <v>1119</v>
      </c>
    </row>
    <row r="18" spans="1:1">
      <c r="A18" t="s">
        <v>1231</v>
      </c>
    </row>
    <row r="19" spans="1:1">
      <c r="A19" t="s">
        <v>42</v>
      </c>
    </row>
    <row r="20" spans="1:1">
      <c r="A20" t="s">
        <v>45</v>
      </c>
    </row>
    <row r="21" spans="1:1">
      <c r="A21" t="s">
        <v>41</v>
      </c>
    </row>
    <row r="22" spans="1:1">
      <c r="A22" t="s">
        <v>56</v>
      </c>
    </row>
    <row r="23" spans="1:1">
      <c r="A23" t="s">
        <v>48</v>
      </c>
    </row>
    <row r="24" spans="1:1">
      <c r="A24" t="s">
        <v>148</v>
      </c>
    </row>
    <row r="25" spans="1:1">
      <c r="A25" t="s">
        <v>51</v>
      </c>
    </row>
    <row r="26" spans="1:1">
      <c r="A26" t="s">
        <v>54</v>
      </c>
    </row>
    <row r="27" spans="1:1">
      <c r="A27" t="s">
        <v>57</v>
      </c>
    </row>
    <row r="28" spans="1:1">
      <c r="A28" t="s">
        <v>60</v>
      </c>
    </row>
    <row r="29" spans="1:1">
      <c r="A29" t="s">
        <v>63</v>
      </c>
    </row>
    <row r="30" spans="1:1">
      <c r="A30" t="s">
        <v>66</v>
      </c>
    </row>
    <row r="31" spans="1:1">
      <c r="A31" t="s">
        <v>194</v>
      </c>
    </row>
    <row r="32" spans="1:1">
      <c r="A32" t="s">
        <v>273</v>
      </c>
    </row>
    <row r="33" spans="1:1">
      <c r="A33" t="s">
        <v>69</v>
      </c>
    </row>
    <row r="34" spans="1:1">
      <c r="A34" t="s">
        <v>73</v>
      </c>
    </row>
    <row r="35" spans="1:1">
      <c r="A35" t="s">
        <v>76</v>
      </c>
    </row>
    <row r="36" spans="1:1">
      <c r="A36" t="s">
        <v>924</v>
      </c>
    </row>
    <row r="37" spans="1:1">
      <c r="A37" t="s">
        <v>926</v>
      </c>
    </row>
    <row r="38" spans="1:1">
      <c r="A38" t="s">
        <v>928</v>
      </c>
    </row>
    <row r="39" spans="1:1">
      <c r="A39" t="s">
        <v>930</v>
      </c>
    </row>
    <row r="40" spans="1:1">
      <c r="A40" t="s">
        <v>932</v>
      </c>
    </row>
    <row r="41" spans="1:1">
      <c r="A41" t="s">
        <v>934</v>
      </c>
    </row>
    <row r="42" spans="1:1">
      <c r="A42" t="s">
        <v>936</v>
      </c>
    </row>
    <row r="43" spans="1:1">
      <c r="A43" t="s">
        <v>79</v>
      </c>
    </row>
    <row r="44" spans="1:1">
      <c r="A44" t="s">
        <v>82</v>
      </c>
    </row>
    <row r="45" spans="1:1">
      <c r="A45" t="s">
        <v>536</v>
      </c>
    </row>
    <row r="46" spans="1:1">
      <c r="A46" t="s">
        <v>938</v>
      </c>
    </row>
    <row r="47" spans="1:1">
      <c r="A47" t="s">
        <v>940</v>
      </c>
    </row>
    <row r="48" spans="1:1">
      <c r="A48" t="s">
        <v>942</v>
      </c>
    </row>
    <row r="49" spans="1:1">
      <c r="A49" t="s">
        <v>946</v>
      </c>
    </row>
    <row r="50" spans="1:1">
      <c r="A50" t="s">
        <v>944</v>
      </c>
    </row>
    <row r="51" spans="1:1">
      <c r="A51" t="s">
        <v>946</v>
      </c>
    </row>
    <row r="52" spans="1:1">
      <c r="A52" t="s">
        <v>948</v>
      </c>
    </row>
    <row r="53" spans="1:1">
      <c r="A53" t="s">
        <v>950</v>
      </c>
    </row>
    <row r="54" spans="1:1">
      <c r="A54" t="s">
        <v>952</v>
      </c>
    </row>
    <row r="55" spans="1:1">
      <c r="A55" t="s">
        <v>954</v>
      </c>
    </row>
    <row r="56" spans="1:1">
      <c r="A56" t="s">
        <v>956</v>
      </c>
    </row>
    <row r="57" spans="1:1">
      <c r="A57" t="s">
        <v>85</v>
      </c>
    </row>
    <row r="58" spans="1:1">
      <c r="A58" t="s">
        <v>88</v>
      </c>
    </row>
    <row r="59" spans="1:1">
      <c r="A59" t="s">
        <v>693</v>
      </c>
    </row>
    <row r="60" spans="1:1">
      <c r="A60" t="s">
        <v>91</v>
      </c>
    </row>
    <row r="61" spans="1:1">
      <c r="A61" t="s">
        <v>94</v>
      </c>
    </row>
    <row r="62" spans="1:1">
      <c r="A62" t="s">
        <v>1047</v>
      </c>
    </row>
    <row r="63" spans="1:1">
      <c r="A63" t="s">
        <v>97</v>
      </c>
    </row>
    <row r="64" spans="1:1">
      <c r="A64" t="s">
        <v>1129</v>
      </c>
    </row>
    <row r="65" spans="1:1">
      <c r="A65" t="s">
        <v>1223</v>
      </c>
    </row>
    <row r="66" spans="1:1">
      <c r="A66" t="s">
        <v>585</v>
      </c>
    </row>
    <row r="67" spans="1:1">
      <c r="A67" t="s">
        <v>42</v>
      </c>
    </row>
    <row r="68" spans="1:1">
      <c r="A68" t="s">
        <v>45</v>
      </c>
    </row>
    <row r="69" spans="1:1">
      <c r="A69" t="s">
        <v>41</v>
      </c>
    </row>
    <row r="70" spans="1:1">
      <c r="A70" t="s">
        <v>48</v>
      </c>
    </row>
    <row r="71" spans="1:1">
      <c r="A71" t="s">
        <v>148</v>
      </c>
    </row>
    <row r="72" spans="1:1">
      <c r="A72" t="s">
        <v>51</v>
      </c>
    </row>
    <row r="73" spans="1:1">
      <c r="A73" t="s">
        <v>54</v>
      </c>
    </row>
    <row r="74" spans="1:1">
      <c r="A74" t="s">
        <v>57</v>
      </c>
    </row>
    <row r="75" spans="1:1">
      <c r="A75" t="s">
        <v>63</v>
      </c>
    </row>
    <row r="76" spans="1:1">
      <c r="A76" t="s">
        <v>66</v>
      </c>
    </row>
    <row r="77" spans="1:1">
      <c r="A77" t="s">
        <v>73</v>
      </c>
    </row>
    <row r="78" spans="1:1">
      <c r="A78" t="s">
        <v>76</v>
      </c>
    </row>
    <row r="79" spans="1:1">
      <c r="A79" t="s">
        <v>499</v>
      </c>
    </row>
    <row r="80" spans="1:1">
      <c r="A80" t="s">
        <v>79</v>
      </c>
    </row>
    <row r="81" spans="1:1">
      <c r="A81" t="s">
        <v>82</v>
      </c>
    </row>
    <row r="82" spans="1:1">
      <c r="A82" t="s">
        <v>536</v>
      </c>
    </row>
    <row r="83" spans="1:1">
      <c r="A83" t="s">
        <v>1262</v>
      </c>
    </row>
    <row r="84" spans="1:1">
      <c r="A84" t="s">
        <v>85</v>
      </c>
    </row>
    <row r="85" spans="1:1">
      <c r="A85" t="s">
        <v>94</v>
      </c>
    </row>
    <row r="86" spans="1:1">
      <c r="A86" t="s">
        <v>814</v>
      </c>
    </row>
    <row r="87" spans="1:1">
      <c r="A87" t="s">
        <v>832</v>
      </c>
    </row>
    <row r="88" spans="1:1">
      <c r="A88" t="s">
        <v>1047</v>
      </c>
    </row>
    <row r="89" spans="1:1">
      <c r="A89" t="s">
        <v>97</v>
      </c>
    </row>
    <row r="90" spans="1:1">
      <c r="A90" t="s">
        <v>1129</v>
      </c>
    </row>
    <row r="91" spans="1:1">
      <c r="A91" t="s">
        <v>1223</v>
      </c>
    </row>
    <row r="92" spans="1:1">
      <c r="A92" t="s">
        <v>148</v>
      </c>
    </row>
    <row r="93" spans="1:1">
      <c r="A93" t="s">
        <v>536</v>
      </c>
    </row>
    <row r="94" spans="1:1">
      <c r="A94" t="s">
        <v>1240</v>
      </c>
    </row>
    <row r="95" spans="1:1">
      <c r="A95" t="s">
        <v>693</v>
      </c>
    </row>
    <row r="96" spans="1:1">
      <c r="A96" t="s">
        <v>41</v>
      </c>
    </row>
    <row r="97" spans="1:2">
      <c r="A97" t="s">
        <v>56</v>
      </c>
    </row>
    <row r="98" spans="1:2">
      <c r="A98" t="s">
        <v>110</v>
      </c>
    </row>
    <row r="99" spans="1:2">
      <c r="A99" t="s">
        <v>1238</v>
      </c>
    </row>
    <row r="100" spans="1:2">
      <c r="A100" t="s">
        <v>579</v>
      </c>
    </row>
    <row r="101" spans="1:2">
      <c r="A101" t="s">
        <v>1129</v>
      </c>
    </row>
    <row r="102" spans="1:2">
      <c r="A102" t="s">
        <v>1223</v>
      </c>
    </row>
    <row r="103" spans="1:2">
      <c r="A103" t="s">
        <v>1231</v>
      </c>
    </row>
    <row r="106" spans="1:2">
      <c r="A106" s="2" t="s">
        <v>1269</v>
      </c>
    </row>
    <row r="107" spans="1:2">
      <c r="A107" t="s">
        <v>124</v>
      </c>
      <c r="B107" t="s">
        <v>123</v>
      </c>
    </row>
    <row r="108" spans="1:2">
      <c r="A108" t="s">
        <v>130</v>
      </c>
      <c r="B108" t="s">
        <v>129</v>
      </c>
    </row>
    <row r="109" spans="1:2">
      <c r="A109" t="s">
        <v>146</v>
      </c>
      <c r="B109" t="s">
        <v>145</v>
      </c>
    </row>
    <row r="110" spans="1:2">
      <c r="A110" t="s">
        <v>164</v>
      </c>
      <c r="B110" t="s">
        <v>163</v>
      </c>
    </row>
    <row r="111" spans="1:2">
      <c r="A111" t="s">
        <v>214</v>
      </c>
      <c r="B111" t="s">
        <v>213</v>
      </c>
    </row>
    <row r="112" spans="1:2">
      <c r="A112" t="s">
        <v>297</v>
      </c>
      <c r="B112" t="s">
        <v>296</v>
      </c>
    </row>
    <row r="113" spans="1:2">
      <c r="A113" t="s">
        <v>305</v>
      </c>
      <c r="B113" t="s">
        <v>304</v>
      </c>
    </row>
    <row r="114" spans="1:2">
      <c r="A114" t="s">
        <v>308</v>
      </c>
      <c r="B114" t="s">
        <v>307</v>
      </c>
    </row>
    <row r="115" spans="1:2">
      <c r="A115" t="s">
        <v>611</v>
      </c>
      <c r="B115" t="s">
        <v>610</v>
      </c>
    </row>
    <row r="116" spans="1:2">
      <c r="A116" t="s">
        <v>617</v>
      </c>
      <c r="B116" t="s">
        <v>616</v>
      </c>
    </row>
    <row r="117" spans="1:2">
      <c r="A117" t="s">
        <v>623</v>
      </c>
      <c r="B117" t="s">
        <v>622</v>
      </c>
    </row>
    <row r="118" spans="1:2">
      <c r="A118" t="s">
        <v>696</v>
      </c>
      <c r="B118" t="s">
        <v>694</v>
      </c>
    </row>
    <row r="119" spans="1:2">
      <c r="A119" t="s">
        <v>832</v>
      </c>
      <c r="B119" t="s">
        <v>831</v>
      </c>
    </row>
    <row r="120" spans="1:2">
      <c r="A120" t="s">
        <v>1077</v>
      </c>
      <c r="B120" t="s">
        <v>1076</v>
      </c>
    </row>
    <row r="121" spans="1:2">
      <c r="A121" t="s">
        <v>1083</v>
      </c>
      <c r="B121" t="s">
        <v>1082</v>
      </c>
    </row>
    <row r="122" spans="1:2">
      <c r="A122" t="s">
        <v>1119</v>
      </c>
      <c r="B122" t="s">
        <v>1118</v>
      </c>
    </row>
    <row r="123" spans="1:2">
      <c r="A123" t="s">
        <v>1231</v>
      </c>
      <c r="B123" t="s">
        <v>1230</v>
      </c>
    </row>
    <row r="124" spans="1:2">
      <c r="A124" t="s">
        <v>42</v>
      </c>
      <c r="B124" t="s">
        <v>958</v>
      </c>
    </row>
    <row r="125" spans="1:2">
      <c r="A125" t="s">
        <v>45</v>
      </c>
      <c r="B125" t="s">
        <v>959</v>
      </c>
    </row>
    <row r="126" spans="1:2">
      <c r="A126" t="s">
        <v>41</v>
      </c>
      <c r="B126" t="s">
        <v>40</v>
      </c>
    </row>
    <row r="127" spans="1:2">
      <c r="A127" t="s">
        <v>56</v>
      </c>
      <c r="B127" t="s">
        <v>55</v>
      </c>
    </row>
    <row r="128" spans="1:2">
      <c r="A128" t="s">
        <v>48</v>
      </c>
      <c r="B128" t="s">
        <v>960</v>
      </c>
    </row>
    <row r="129" spans="1:2">
      <c r="A129" t="s">
        <v>148</v>
      </c>
      <c r="B129" t="s">
        <v>147</v>
      </c>
    </row>
    <row r="130" spans="1:2">
      <c r="A130" t="s">
        <v>51</v>
      </c>
      <c r="B130" t="s">
        <v>963</v>
      </c>
    </row>
    <row r="131" spans="1:2">
      <c r="A131" t="s">
        <v>54</v>
      </c>
      <c r="B131" t="s">
        <v>964</v>
      </c>
    </row>
    <row r="132" spans="1:2">
      <c r="A132" t="s">
        <v>57</v>
      </c>
      <c r="B132" t="s">
        <v>965</v>
      </c>
    </row>
    <row r="133" spans="1:2">
      <c r="A133" t="s">
        <v>60</v>
      </c>
      <c r="B133" t="s">
        <v>968</v>
      </c>
    </row>
    <row r="134" spans="1:2">
      <c r="A134" t="s">
        <v>63</v>
      </c>
      <c r="B134" t="s">
        <v>969</v>
      </c>
    </row>
    <row r="135" spans="1:2">
      <c r="A135" t="s">
        <v>66</v>
      </c>
      <c r="B135" t="s">
        <v>972</v>
      </c>
    </row>
    <row r="136" spans="1:2">
      <c r="A136" t="s">
        <v>194</v>
      </c>
      <c r="B136" t="s">
        <v>193</v>
      </c>
    </row>
    <row r="137" spans="1:2">
      <c r="A137" t="s">
        <v>273</v>
      </c>
      <c r="B137" t="s">
        <v>272</v>
      </c>
    </row>
    <row r="138" spans="1:2">
      <c r="A138" t="s">
        <v>69</v>
      </c>
      <c r="B138" t="s">
        <v>70</v>
      </c>
    </row>
    <row r="139" spans="1:2">
      <c r="A139" t="s">
        <v>73</v>
      </c>
      <c r="B139" t="s">
        <v>975</v>
      </c>
    </row>
    <row r="140" spans="1:2">
      <c r="A140" t="s">
        <v>76</v>
      </c>
      <c r="B140" t="s">
        <v>984</v>
      </c>
    </row>
    <row r="141" spans="1:2">
      <c r="A141" t="s">
        <v>924</v>
      </c>
      <c r="B141" t="s">
        <v>923</v>
      </c>
    </row>
    <row r="142" spans="1:2">
      <c r="A142" t="s">
        <v>926</v>
      </c>
      <c r="B142" t="s">
        <v>925</v>
      </c>
    </row>
    <row r="143" spans="1:2">
      <c r="A143" t="s">
        <v>928</v>
      </c>
      <c r="B143" t="s">
        <v>927</v>
      </c>
    </row>
    <row r="144" spans="1:2">
      <c r="A144" t="s">
        <v>930</v>
      </c>
      <c r="B144" t="s">
        <v>929</v>
      </c>
    </row>
    <row r="145" spans="1:2">
      <c r="A145" t="s">
        <v>932</v>
      </c>
      <c r="B145" t="s">
        <v>931</v>
      </c>
    </row>
    <row r="146" spans="1:2">
      <c r="A146" t="s">
        <v>934</v>
      </c>
      <c r="B146" t="s">
        <v>933</v>
      </c>
    </row>
    <row r="147" spans="1:2">
      <c r="A147" t="s">
        <v>936</v>
      </c>
      <c r="B147" t="s">
        <v>935</v>
      </c>
    </row>
    <row r="148" spans="1:2">
      <c r="A148" t="s">
        <v>79</v>
      </c>
      <c r="B148" t="s">
        <v>995</v>
      </c>
    </row>
    <row r="149" spans="1:2">
      <c r="A149" t="s">
        <v>82</v>
      </c>
      <c r="B149" t="s">
        <v>996</v>
      </c>
    </row>
    <row r="150" spans="1:2">
      <c r="A150" t="s">
        <v>536</v>
      </c>
      <c r="B150" t="s">
        <v>535</v>
      </c>
    </row>
    <row r="151" spans="1:2">
      <c r="A151" t="s">
        <v>938</v>
      </c>
      <c r="B151" t="s">
        <v>937</v>
      </c>
    </row>
    <row r="152" spans="1:2">
      <c r="A152" t="s">
        <v>940</v>
      </c>
      <c r="B152" t="s">
        <v>939</v>
      </c>
    </row>
    <row r="153" spans="1:2">
      <c r="A153" t="s">
        <v>942</v>
      </c>
      <c r="B153" t="s">
        <v>941</v>
      </c>
    </row>
    <row r="154" spans="1:2">
      <c r="A154" t="s">
        <v>946</v>
      </c>
      <c r="B154" t="s">
        <v>945</v>
      </c>
    </row>
    <row r="155" spans="1:2">
      <c r="A155" t="s">
        <v>944</v>
      </c>
      <c r="B155" t="s">
        <v>943</v>
      </c>
    </row>
    <row r="156" spans="1:2">
      <c r="A156" t="s">
        <v>948</v>
      </c>
      <c r="B156" t="s">
        <v>947</v>
      </c>
    </row>
    <row r="157" spans="1:2">
      <c r="A157" t="s">
        <v>950</v>
      </c>
      <c r="B157" t="s">
        <v>949</v>
      </c>
    </row>
    <row r="158" spans="1:2">
      <c r="A158" t="s">
        <v>952</v>
      </c>
      <c r="B158" t="s">
        <v>951</v>
      </c>
    </row>
    <row r="159" spans="1:2">
      <c r="A159" t="s">
        <v>954</v>
      </c>
      <c r="B159" t="s">
        <v>953</v>
      </c>
    </row>
    <row r="160" spans="1:2">
      <c r="A160" t="s">
        <v>956</v>
      </c>
      <c r="B160" t="s">
        <v>955</v>
      </c>
    </row>
    <row r="161" spans="1:2">
      <c r="A161" t="s">
        <v>85</v>
      </c>
      <c r="B161" t="s">
        <v>997</v>
      </c>
    </row>
    <row r="162" spans="1:2">
      <c r="A162" t="s">
        <v>88</v>
      </c>
      <c r="B162" t="s">
        <v>998</v>
      </c>
    </row>
    <row r="163" spans="1:2">
      <c r="A163" t="s">
        <v>693</v>
      </c>
      <c r="B163" t="s">
        <v>692</v>
      </c>
    </row>
    <row r="164" spans="1:2">
      <c r="A164" t="s">
        <v>91</v>
      </c>
      <c r="B164" t="s">
        <v>999</v>
      </c>
    </row>
    <row r="165" spans="1:2">
      <c r="A165" t="s">
        <v>94</v>
      </c>
      <c r="B165" t="s">
        <v>1000</v>
      </c>
    </row>
    <row r="166" spans="1:2">
      <c r="A166" t="s">
        <v>1047</v>
      </c>
      <c r="B166" t="s">
        <v>1046</v>
      </c>
    </row>
    <row r="167" spans="1:2">
      <c r="A167" t="s">
        <v>97</v>
      </c>
      <c r="B167" t="s">
        <v>1001</v>
      </c>
    </row>
    <row r="168" spans="1:2">
      <c r="A168" t="s">
        <v>1129</v>
      </c>
      <c r="B168" t="s">
        <v>1128</v>
      </c>
    </row>
    <row r="169" spans="1:2">
      <c r="A169" t="s">
        <v>1223</v>
      </c>
      <c r="B169" t="s">
        <v>1222</v>
      </c>
    </row>
    <row r="170" spans="1:2">
      <c r="A170" t="s">
        <v>585</v>
      </c>
      <c r="B170" t="s">
        <v>584</v>
      </c>
    </row>
    <row r="171" spans="1:2">
      <c r="A171" t="s">
        <v>499</v>
      </c>
      <c r="B171" t="s">
        <v>498</v>
      </c>
    </row>
    <row r="172" spans="1:2">
      <c r="A172" t="s">
        <v>1262</v>
      </c>
      <c r="B172" t="s">
        <v>590</v>
      </c>
    </row>
    <row r="173" spans="1:2">
      <c r="A173" t="s">
        <v>814</v>
      </c>
      <c r="B173" t="s">
        <v>813</v>
      </c>
    </row>
    <row r="174" spans="1:2">
      <c r="A174" t="s">
        <v>1240</v>
      </c>
      <c r="B174" t="s">
        <v>964</v>
      </c>
    </row>
    <row r="175" spans="1:2">
      <c r="A175" t="s">
        <v>110</v>
      </c>
      <c r="B175" t="s">
        <v>109</v>
      </c>
    </row>
    <row r="176" spans="1:2">
      <c r="A176" t="s">
        <v>1238</v>
      </c>
      <c r="B176" t="s">
        <v>498</v>
      </c>
    </row>
    <row r="177" spans="1:2">
      <c r="A177" t="s">
        <v>579</v>
      </c>
      <c r="B177" t="s">
        <v>578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45E4-55AA-B04B-89A9-C661FA258737}">
  <sheetPr codeName="Sheet2"/>
  <dimension ref="A1:I206"/>
  <sheetViews>
    <sheetView workbookViewId="0">
      <selection activeCell="I22" sqref="I22"/>
    </sheetView>
  </sheetViews>
  <sheetFormatPr defaultColWidth="11" defaultRowHeight="15.6"/>
  <cols>
    <col min="2" max="2" width="45.69921875" customWidth="1"/>
    <col min="3" max="3" width="23" customWidth="1"/>
    <col min="4" max="4" width="11" style="2"/>
    <col min="8" max="8" width="21.796875" customWidth="1"/>
    <col min="9" max="9" width="19" customWidth="1"/>
  </cols>
  <sheetData>
    <row r="1" spans="2:8" ht="18">
      <c r="B1" s="157" t="s">
        <v>1526</v>
      </c>
      <c r="C1" s="33"/>
    </row>
    <row r="2" spans="2:8" ht="18">
      <c r="B2" s="157" t="s">
        <v>1527</v>
      </c>
    </row>
    <row r="4" spans="2:8">
      <c r="B4" s="3" t="s">
        <v>1551</v>
      </c>
      <c r="C4" t="s">
        <v>1552</v>
      </c>
    </row>
    <row r="5" spans="2:8">
      <c r="B5" s="3" t="s">
        <v>29</v>
      </c>
      <c r="C5" t="s">
        <v>1398</v>
      </c>
    </row>
    <row r="6" spans="2:8">
      <c r="B6" s="3" t="s">
        <v>30</v>
      </c>
      <c r="C6" t="s">
        <v>1553</v>
      </c>
    </row>
    <row r="8" spans="2:8" ht="18">
      <c r="B8" s="141" t="s">
        <v>31</v>
      </c>
      <c r="H8" t="s">
        <v>1245</v>
      </c>
    </row>
    <row r="9" spans="2:8">
      <c r="H9" t="s">
        <v>1246</v>
      </c>
    </row>
    <row r="10" spans="2:8">
      <c r="B10" t="s">
        <v>32</v>
      </c>
      <c r="C10">
        <v>24</v>
      </c>
      <c r="D10" s="2" t="s">
        <v>34</v>
      </c>
      <c r="H10" t="s">
        <v>1576</v>
      </c>
    </row>
    <row r="11" spans="2:8">
      <c r="B11" t="s">
        <v>33</v>
      </c>
      <c r="C11">
        <v>8760</v>
      </c>
      <c r="D11" s="2" t="s">
        <v>35</v>
      </c>
      <c r="H11" t="s">
        <v>1251</v>
      </c>
    </row>
    <row r="12" spans="2:8">
      <c r="H12" t="s">
        <v>1444</v>
      </c>
    </row>
    <row r="13" spans="2:8">
      <c r="B13" t="s">
        <v>1241</v>
      </c>
      <c r="C13" s="9">
        <f>C14/365</f>
        <v>2100</v>
      </c>
      <c r="D13" s="2" t="s">
        <v>1242</v>
      </c>
      <c r="H13" t="s">
        <v>1264</v>
      </c>
    </row>
    <row r="14" spans="2:8">
      <c r="B14" t="s">
        <v>1241</v>
      </c>
      <c r="C14" s="9">
        <v>766500</v>
      </c>
      <c r="D14" s="2" t="s">
        <v>1243</v>
      </c>
      <c r="H14" t="s">
        <v>1445</v>
      </c>
    </row>
    <row r="15" spans="2:8">
      <c r="C15" s="9"/>
    </row>
    <row r="16" spans="2:8">
      <c r="B16" t="s">
        <v>1252</v>
      </c>
      <c r="C16" s="9">
        <v>57</v>
      </c>
      <c r="D16" s="2" t="s">
        <v>1254</v>
      </c>
    </row>
    <row r="17" spans="2:5">
      <c r="B17" t="s">
        <v>1253</v>
      </c>
      <c r="C17" s="9">
        <v>140</v>
      </c>
      <c r="D17" s="2" t="s">
        <v>1256</v>
      </c>
    </row>
    <row r="18" spans="2:5">
      <c r="C18" s="9"/>
    </row>
    <row r="19" spans="2:5">
      <c r="B19" t="s">
        <v>1255</v>
      </c>
      <c r="C19" s="9">
        <v>1398</v>
      </c>
      <c r="D19" s="2" t="s">
        <v>27</v>
      </c>
    </row>
    <row r="20" spans="2:5">
      <c r="B20" t="s">
        <v>1257</v>
      </c>
      <c r="C20" s="9">
        <v>140</v>
      </c>
      <c r="D20" s="2" t="s">
        <v>1256</v>
      </c>
    </row>
    <row r="21" spans="2:5">
      <c r="B21" t="s">
        <v>1258</v>
      </c>
      <c r="C21" s="12">
        <v>6.6189999999999999E-2</v>
      </c>
      <c r="D21" s="2" t="s">
        <v>1259</v>
      </c>
    </row>
    <row r="22" spans="2:5">
      <c r="B22" t="s">
        <v>1260</v>
      </c>
      <c r="C22" s="9">
        <f>C19/60/C21</f>
        <v>352.0169209850431</v>
      </c>
      <c r="D22" s="2" t="s">
        <v>1254</v>
      </c>
    </row>
    <row r="23" spans="2:5">
      <c r="C23" s="9"/>
    </row>
    <row r="24" spans="2:5">
      <c r="B24" t="s">
        <v>1426</v>
      </c>
      <c r="C24" s="9">
        <v>750</v>
      </c>
      <c r="D24" s="2" t="s">
        <v>1254</v>
      </c>
    </row>
    <row r="25" spans="2:5">
      <c r="B25" t="s">
        <v>1450</v>
      </c>
      <c r="C25" s="9">
        <v>140</v>
      </c>
      <c r="D25" s="2" t="s">
        <v>1256</v>
      </c>
    </row>
    <row r="26" spans="2:5">
      <c r="C26" s="9"/>
    </row>
    <row r="27" spans="2:5">
      <c r="B27" t="s">
        <v>1261</v>
      </c>
      <c r="C27" s="9">
        <f>C24+C22+C16</f>
        <v>1159.016920985043</v>
      </c>
      <c r="D27" s="2" t="s">
        <v>1254</v>
      </c>
    </row>
    <row r="28" spans="2:5">
      <c r="C28" s="9"/>
    </row>
    <row r="29" spans="2:5">
      <c r="B29" t="s">
        <v>1265</v>
      </c>
      <c r="C29" s="11">
        <v>1</v>
      </c>
      <c r="D29" s="2" t="s">
        <v>1266</v>
      </c>
    </row>
    <row r="30" spans="2:5">
      <c r="B30" t="s">
        <v>1267</v>
      </c>
      <c r="C30" s="9">
        <v>1020</v>
      </c>
      <c r="D30" s="2" t="s">
        <v>1268</v>
      </c>
    </row>
    <row r="31" spans="2:5">
      <c r="C31" s="9"/>
    </row>
    <row r="32" spans="2:5">
      <c r="B32" t="s">
        <v>1352</v>
      </c>
      <c r="C32" s="9">
        <v>3071</v>
      </c>
      <c r="D32" s="2" t="s">
        <v>1353</v>
      </c>
      <c r="E32" t="s">
        <v>1354</v>
      </c>
    </row>
    <row r="33" spans="1:9">
      <c r="C33" s="9"/>
    </row>
    <row r="34" spans="1:9" ht="18">
      <c r="B34" s="141" t="s">
        <v>1459</v>
      </c>
      <c r="C34" s="9"/>
    </row>
    <row r="36" spans="1:9" ht="31.2">
      <c r="A36" s="1" t="s">
        <v>1525</v>
      </c>
      <c r="B36" s="1" t="s">
        <v>1269</v>
      </c>
      <c r="C36" s="1" t="s">
        <v>24</v>
      </c>
      <c r="D36" s="1" t="s">
        <v>25</v>
      </c>
      <c r="E36" s="1" t="s">
        <v>26</v>
      </c>
      <c r="F36" s="1" t="s">
        <v>23</v>
      </c>
      <c r="G36" s="1" t="s">
        <v>22</v>
      </c>
      <c r="H36" s="1" t="s">
        <v>1234</v>
      </c>
      <c r="I36" s="1" t="s">
        <v>4</v>
      </c>
    </row>
    <row r="37" spans="1:9">
      <c r="A37" s="375" t="s">
        <v>1528</v>
      </c>
      <c r="B37" t="s">
        <v>124</v>
      </c>
      <c r="C37" t="s">
        <v>123</v>
      </c>
      <c r="D37" s="186">
        <v>3.7999999999999996E-6</v>
      </c>
      <c r="E37" s="2" t="s">
        <v>27</v>
      </c>
      <c r="F37" s="186">
        <f>D37*$C$11</f>
        <v>3.3287999999999998E-2</v>
      </c>
      <c r="G37" s="186">
        <f>D37*$C$10</f>
        <v>9.1199999999999994E-5</v>
      </c>
      <c r="H37" s="2" t="s">
        <v>1247</v>
      </c>
      <c r="I37" t="s">
        <v>1235</v>
      </c>
    </row>
    <row r="38" spans="1:9">
      <c r="A38" s="375"/>
      <c r="B38" t="s">
        <v>130</v>
      </c>
      <c r="C38" t="s">
        <v>129</v>
      </c>
      <c r="D38" s="186">
        <v>3.0000000000000001E-5</v>
      </c>
      <c r="E38" s="2" t="s">
        <v>27</v>
      </c>
      <c r="F38" s="186">
        <f t="shared" ref="F38:F53" si="0">D38*$C$11</f>
        <v>0.26280000000000003</v>
      </c>
      <c r="G38" s="186">
        <f t="shared" ref="G38:G53" si="1">D38*$C$10</f>
        <v>7.2000000000000005E-4</v>
      </c>
      <c r="H38" s="2" t="s">
        <v>1247</v>
      </c>
    </row>
    <row r="39" spans="1:9">
      <c r="A39" s="375"/>
      <c r="B39" t="s">
        <v>146</v>
      </c>
      <c r="C39" t="s">
        <v>145</v>
      </c>
      <c r="D39" s="186">
        <v>1.3000000000000001E-5</v>
      </c>
      <c r="E39" s="2" t="s">
        <v>27</v>
      </c>
      <c r="F39" s="186">
        <f t="shared" si="0"/>
        <v>0.11388000000000001</v>
      </c>
      <c r="G39" s="186">
        <f t="shared" si="1"/>
        <v>3.1199999999999999E-4</v>
      </c>
      <c r="H39" s="2" t="s">
        <v>1247</v>
      </c>
    </row>
    <row r="40" spans="1:9">
      <c r="A40" s="375"/>
      <c r="B40" t="s">
        <v>164</v>
      </c>
      <c r="C40" t="s">
        <v>163</v>
      </c>
      <c r="D40" s="186">
        <v>1.4999999999999999E-7</v>
      </c>
      <c r="E40" s="2" t="s">
        <v>27</v>
      </c>
      <c r="F40" s="186">
        <f t="shared" si="0"/>
        <v>1.3139999999999998E-3</v>
      </c>
      <c r="G40" s="186">
        <f t="shared" si="1"/>
        <v>3.5999999999999998E-6</v>
      </c>
      <c r="H40" s="2" t="s">
        <v>1247</v>
      </c>
      <c r="I40" t="s">
        <v>1236</v>
      </c>
    </row>
    <row r="41" spans="1:9">
      <c r="A41" s="375"/>
      <c r="B41" t="s">
        <v>214</v>
      </c>
      <c r="C41" t="s">
        <v>213</v>
      </c>
      <c r="D41" s="186">
        <v>2.9999999999999999E-7</v>
      </c>
      <c r="E41" s="2" t="s">
        <v>27</v>
      </c>
      <c r="F41" s="186">
        <f t="shared" si="0"/>
        <v>2.6279999999999997E-3</v>
      </c>
      <c r="G41" s="186">
        <f t="shared" si="1"/>
        <v>7.1999999999999997E-6</v>
      </c>
      <c r="H41" s="2" t="s">
        <v>1247</v>
      </c>
      <c r="I41" t="s">
        <v>1236</v>
      </c>
    </row>
    <row r="42" spans="1:9">
      <c r="A42" s="375"/>
      <c r="B42" t="s">
        <v>297</v>
      </c>
      <c r="C42" t="s">
        <v>296</v>
      </c>
      <c r="D42" s="186">
        <v>1.5999999999999999E-5</v>
      </c>
      <c r="E42" s="2" t="s">
        <v>27</v>
      </c>
      <c r="F42" s="186">
        <f t="shared" si="0"/>
        <v>0.14016000000000001</v>
      </c>
      <c r="G42" s="186">
        <f t="shared" si="1"/>
        <v>3.8400000000000001E-4</v>
      </c>
      <c r="H42" s="2" t="s">
        <v>1247</v>
      </c>
    </row>
    <row r="43" spans="1:9">
      <c r="A43" s="375"/>
      <c r="B43" t="s">
        <v>305</v>
      </c>
      <c r="C43" t="s">
        <v>304</v>
      </c>
      <c r="D43" s="186">
        <v>6.1999999999999999E-7</v>
      </c>
      <c r="E43" s="2" t="s">
        <v>27</v>
      </c>
      <c r="F43" s="186">
        <f t="shared" si="0"/>
        <v>5.4311999999999997E-3</v>
      </c>
      <c r="G43" s="186">
        <f t="shared" si="1"/>
        <v>1.488E-5</v>
      </c>
      <c r="H43" s="2" t="s">
        <v>1247</v>
      </c>
    </row>
    <row r="44" spans="1:9">
      <c r="A44" s="375"/>
      <c r="B44" t="s">
        <v>308</v>
      </c>
      <c r="C44" t="s">
        <v>307</v>
      </c>
      <c r="D44" s="186">
        <v>8.3000000000000002E-6</v>
      </c>
      <c r="E44" s="2" t="s">
        <v>27</v>
      </c>
      <c r="F44" s="186">
        <f t="shared" si="0"/>
        <v>7.2707999999999995E-2</v>
      </c>
      <c r="G44" s="186">
        <f t="shared" si="1"/>
        <v>1.9920000000000002E-4</v>
      </c>
      <c r="H44" s="2" t="s">
        <v>1247</v>
      </c>
    </row>
    <row r="45" spans="1:9">
      <c r="A45" s="375"/>
      <c r="B45" t="s">
        <v>611</v>
      </c>
      <c r="C45" t="s">
        <v>610</v>
      </c>
      <c r="D45" s="186">
        <v>2.0999999999999999E-5</v>
      </c>
      <c r="E45" s="2" t="s">
        <v>27</v>
      </c>
      <c r="F45" s="186">
        <f t="shared" si="0"/>
        <v>0.18395999999999998</v>
      </c>
      <c r="G45" s="186">
        <f t="shared" si="1"/>
        <v>5.04E-4</v>
      </c>
      <c r="H45" s="2" t="s">
        <v>1247</v>
      </c>
    </row>
    <row r="46" spans="1:9">
      <c r="A46" s="375"/>
      <c r="B46" t="s">
        <v>617</v>
      </c>
      <c r="C46" t="s">
        <v>616</v>
      </c>
      <c r="D46" s="186">
        <v>3.0000000000000001E-5</v>
      </c>
      <c r="E46" s="2" t="s">
        <v>27</v>
      </c>
      <c r="F46" s="186">
        <f t="shared" si="0"/>
        <v>0.26280000000000003</v>
      </c>
      <c r="G46" s="186">
        <f t="shared" si="1"/>
        <v>7.2000000000000005E-4</v>
      </c>
      <c r="H46" s="2" t="s">
        <v>1247</v>
      </c>
    </row>
    <row r="47" spans="1:9">
      <c r="A47" s="375"/>
      <c r="B47" t="s">
        <v>623</v>
      </c>
      <c r="C47" t="s">
        <v>622</v>
      </c>
      <c r="D47" s="186">
        <v>1.7E-6</v>
      </c>
      <c r="E47" s="2" t="s">
        <v>27</v>
      </c>
      <c r="F47" s="186">
        <f t="shared" si="0"/>
        <v>1.4892000000000001E-2</v>
      </c>
      <c r="G47" s="186">
        <f t="shared" si="1"/>
        <v>4.0800000000000002E-5</v>
      </c>
      <c r="H47" s="2" t="s">
        <v>1247</v>
      </c>
    </row>
    <row r="48" spans="1:9">
      <c r="A48" s="375"/>
      <c r="B48" t="s">
        <v>696</v>
      </c>
      <c r="C48" t="s">
        <v>1518</v>
      </c>
      <c r="D48" s="186">
        <v>1.1E-5</v>
      </c>
      <c r="E48" s="2" t="s">
        <v>27</v>
      </c>
      <c r="F48" s="186">
        <f t="shared" si="0"/>
        <v>9.6360000000000001E-2</v>
      </c>
      <c r="G48" s="186">
        <f t="shared" si="1"/>
        <v>2.6400000000000002E-4</v>
      </c>
      <c r="H48" s="2" t="s">
        <v>1247</v>
      </c>
    </row>
    <row r="49" spans="1:9">
      <c r="A49" s="375"/>
      <c r="B49" t="s">
        <v>832</v>
      </c>
      <c r="C49" t="s">
        <v>831</v>
      </c>
      <c r="D49" s="186">
        <v>7.0999999999999994E-2</v>
      </c>
      <c r="E49" s="2" t="s">
        <v>27</v>
      </c>
      <c r="F49" s="186">
        <f t="shared" si="0"/>
        <v>621.95999999999992</v>
      </c>
      <c r="G49" s="186">
        <f t="shared" si="1"/>
        <v>1.7039999999999997</v>
      </c>
      <c r="H49" s="2" t="s">
        <v>1247</v>
      </c>
    </row>
    <row r="50" spans="1:9">
      <c r="A50" s="375"/>
      <c r="B50" t="s">
        <v>1077</v>
      </c>
      <c r="C50" t="s">
        <v>1076</v>
      </c>
      <c r="D50" s="186">
        <v>1.4E-5</v>
      </c>
      <c r="E50" s="2" t="s">
        <v>27</v>
      </c>
      <c r="F50" s="186">
        <f t="shared" si="0"/>
        <v>0.12264</v>
      </c>
      <c r="G50" s="186">
        <f t="shared" si="1"/>
        <v>3.3599999999999998E-4</v>
      </c>
      <c r="H50" s="2" t="s">
        <v>1247</v>
      </c>
      <c r="I50" t="s">
        <v>1237</v>
      </c>
    </row>
    <row r="51" spans="1:9">
      <c r="A51" s="375"/>
      <c r="B51" t="s">
        <v>1083</v>
      </c>
      <c r="C51" t="s">
        <v>1082</v>
      </c>
      <c r="D51" s="186">
        <v>3.1999999999999999E-6</v>
      </c>
      <c r="E51" s="2" t="s">
        <v>27</v>
      </c>
      <c r="F51" s="186">
        <f t="shared" si="0"/>
        <v>2.8031999999999998E-2</v>
      </c>
      <c r="G51" s="186">
        <f t="shared" si="1"/>
        <v>7.6799999999999997E-5</v>
      </c>
      <c r="H51" s="2" t="s">
        <v>1247</v>
      </c>
    </row>
    <row r="52" spans="1:9">
      <c r="A52" s="375"/>
      <c r="B52" t="s">
        <v>1119</v>
      </c>
      <c r="C52" t="s">
        <v>1118</v>
      </c>
      <c r="D52" s="186">
        <v>7.5000000000000002E-6</v>
      </c>
      <c r="E52" s="2" t="s">
        <v>27</v>
      </c>
      <c r="F52" s="186">
        <f t="shared" si="0"/>
        <v>6.5700000000000008E-2</v>
      </c>
      <c r="G52" s="186">
        <f t="shared" si="1"/>
        <v>1.8000000000000001E-4</v>
      </c>
      <c r="H52" s="2" t="s">
        <v>1247</v>
      </c>
      <c r="I52" t="s">
        <v>1236</v>
      </c>
    </row>
    <row r="53" spans="1:9" ht="16.2" thickBot="1">
      <c r="A53" s="376"/>
      <c r="B53" s="182" t="s">
        <v>1231</v>
      </c>
      <c r="C53" s="182" t="s">
        <v>1230</v>
      </c>
      <c r="D53" s="187">
        <v>1.3999999999999999E-4</v>
      </c>
      <c r="E53" s="183" t="s">
        <v>27</v>
      </c>
      <c r="F53" s="187">
        <f t="shared" si="0"/>
        <v>1.2263999999999999</v>
      </c>
      <c r="G53" s="187">
        <f t="shared" si="1"/>
        <v>3.3599999999999997E-3</v>
      </c>
      <c r="H53" s="183" t="s">
        <v>1247</v>
      </c>
      <c r="I53" s="182"/>
    </row>
    <row r="54" spans="1:9" ht="16.2" thickTop="1">
      <c r="A54" s="377" t="s">
        <v>1570</v>
      </c>
      <c r="B54" t="s">
        <v>934</v>
      </c>
      <c r="C54" t="s">
        <v>933</v>
      </c>
      <c r="D54" s="186">
        <v>1.5400000000000001E-10</v>
      </c>
      <c r="E54" s="2" t="s">
        <v>27</v>
      </c>
      <c r="F54" s="186">
        <f t="shared" ref="F54" si="2">D54*$C$11</f>
        <v>1.3490400000000002E-6</v>
      </c>
      <c r="G54" s="186">
        <f t="shared" ref="G54" si="3">D54*$C$10</f>
        <v>3.6960000000000005E-9</v>
      </c>
      <c r="H54" s="2" t="s">
        <v>1569</v>
      </c>
    </row>
    <row r="55" spans="1:9">
      <c r="A55" s="375"/>
      <c r="B55" t="s">
        <v>936</v>
      </c>
      <c r="C55" t="s">
        <v>935</v>
      </c>
      <c r="D55" s="186">
        <v>3.6599999999999998E-10</v>
      </c>
      <c r="E55" s="2" t="s">
        <v>27</v>
      </c>
      <c r="F55" s="186">
        <f t="shared" ref="F55:F94" si="4">D55*$C$11</f>
        <v>3.2061599999999996E-6</v>
      </c>
      <c r="G55" s="186">
        <f t="shared" ref="G55:G94" si="5">D55*$C$10</f>
        <v>8.7839999999999994E-9</v>
      </c>
      <c r="H55" s="2" t="s">
        <v>1569</v>
      </c>
    </row>
    <row r="56" spans="1:9">
      <c r="A56" s="375"/>
      <c r="B56" t="s">
        <v>938</v>
      </c>
      <c r="C56" t="s">
        <v>937</v>
      </c>
      <c r="D56" s="186">
        <v>7.273833333333334E-11</v>
      </c>
      <c r="E56" s="2" t="s">
        <v>27</v>
      </c>
      <c r="F56" s="186">
        <f t="shared" si="4"/>
        <v>6.3718780000000002E-7</v>
      </c>
      <c r="G56" s="186">
        <f t="shared" si="5"/>
        <v>1.74572E-9</v>
      </c>
      <c r="H56" s="2" t="s">
        <v>1569</v>
      </c>
    </row>
    <row r="57" spans="1:9">
      <c r="A57" s="375"/>
      <c r="B57" t="s">
        <v>42</v>
      </c>
      <c r="C57" t="s">
        <v>958</v>
      </c>
      <c r="D57" s="186">
        <v>2.1500000000000002E-6</v>
      </c>
      <c r="E57" s="2" t="s">
        <v>27</v>
      </c>
      <c r="F57" s="186">
        <f t="shared" si="4"/>
        <v>1.8834E-2</v>
      </c>
      <c r="G57" s="186">
        <f t="shared" si="5"/>
        <v>5.1600000000000007E-5</v>
      </c>
      <c r="H57" s="2" t="s">
        <v>1569</v>
      </c>
    </row>
    <row r="58" spans="1:9">
      <c r="A58" s="375"/>
      <c r="B58" t="s">
        <v>45</v>
      </c>
      <c r="C58" t="s">
        <v>959</v>
      </c>
      <c r="D58" s="186">
        <v>5.31E-6</v>
      </c>
      <c r="E58" s="2" t="s">
        <v>27</v>
      </c>
      <c r="F58" s="186">
        <f t="shared" si="4"/>
        <v>4.6515599999999997E-2</v>
      </c>
      <c r="G58" s="186">
        <f t="shared" si="5"/>
        <v>1.2743999999999999E-4</v>
      </c>
      <c r="H58" s="2" t="s">
        <v>1569</v>
      </c>
    </row>
    <row r="59" spans="1:9">
      <c r="A59" s="375"/>
      <c r="B59" t="s">
        <v>48</v>
      </c>
      <c r="C59" t="s">
        <v>960</v>
      </c>
      <c r="D59" s="186">
        <v>2.9202E-6</v>
      </c>
      <c r="E59" s="2" t="s">
        <v>27</v>
      </c>
      <c r="F59" s="186">
        <f t="shared" si="4"/>
        <v>2.5580952000000001E-2</v>
      </c>
      <c r="G59" s="186">
        <f t="shared" si="5"/>
        <v>7.0084800000000004E-5</v>
      </c>
      <c r="H59" s="2" t="s">
        <v>1569</v>
      </c>
    </row>
    <row r="60" spans="1:9">
      <c r="A60" s="375"/>
      <c r="B60" t="s">
        <v>51</v>
      </c>
      <c r="C60" t="s">
        <v>963</v>
      </c>
      <c r="D60" s="186">
        <v>1.5200000000000001E-6</v>
      </c>
      <c r="E60" s="2" t="s">
        <v>27</v>
      </c>
      <c r="F60" s="186">
        <f t="shared" si="4"/>
        <v>1.3315200000000001E-2</v>
      </c>
      <c r="G60" s="186">
        <f t="shared" si="5"/>
        <v>3.6480000000000003E-5</v>
      </c>
      <c r="H60" s="2" t="s">
        <v>1569</v>
      </c>
    </row>
    <row r="61" spans="1:9">
      <c r="A61" s="375"/>
      <c r="B61" t="s">
        <v>54</v>
      </c>
      <c r="C61" t="s">
        <v>964</v>
      </c>
      <c r="D61" s="186">
        <v>2.4633333333333332E-8</v>
      </c>
      <c r="E61" s="2" t="s">
        <v>27</v>
      </c>
      <c r="F61" s="186">
        <f t="shared" si="4"/>
        <v>2.1578799999999999E-4</v>
      </c>
      <c r="G61" s="186">
        <f t="shared" si="5"/>
        <v>5.9119999999999995E-7</v>
      </c>
      <c r="H61" s="2" t="s">
        <v>1569</v>
      </c>
    </row>
    <row r="62" spans="1:9">
      <c r="A62" s="375"/>
      <c r="B62" t="s">
        <v>57</v>
      </c>
      <c r="C62" t="s">
        <v>965</v>
      </c>
      <c r="D62" s="186">
        <v>7.5499999999999997E-7</v>
      </c>
      <c r="E62" s="2" t="s">
        <v>27</v>
      </c>
      <c r="F62" s="186">
        <f t="shared" si="4"/>
        <v>6.6137999999999995E-3</v>
      </c>
      <c r="G62" s="186">
        <f t="shared" si="5"/>
        <v>1.8119999999999999E-5</v>
      </c>
      <c r="H62" s="2" t="s">
        <v>1569</v>
      </c>
    </row>
    <row r="63" spans="1:9">
      <c r="A63" s="375"/>
      <c r="B63" t="s">
        <v>60</v>
      </c>
      <c r="C63" t="s">
        <v>968</v>
      </c>
      <c r="D63" s="186">
        <v>1.85E-7</v>
      </c>
      <c r="E63" s="2" t="s">
        <v>27</v>
      </c>
      <c r="F63" s="186">
        <f t="shared" si="4"/>
        <v>1.6206E-3</v>
      </c>
      <c r="G63" s="186">
        <f t="shared" si="5"/>
        <v>4.4399999999999998E-6</v>
      </c>
      <c r="H63" s="2" t="s">
        <v>1569</v>
      </c>
    </row>
    <row r="64" spans="1:9">
      <c r="A64" s="375"/>
      <c r="B64" t="s">
        <v>63</v>
      </c>
      <c r="C64" t="s">
        <v>969</v>
      </c>
      <c r="D64" s="186">
        <v>1.02E-7</v>
      </c>
      <c r="E64" s="2" t="s">
        <v>27</v>
      </c>
      <c r="F64" s="186">
        <f t="shared" si="4"/>
        <v>8.9351999999999997E-4</v>
      </c>
      <c r="G64" s="186">
        <f t="shared" si="5"/>
        <v>2.4480000000000001E-6</v>
      </c>
      <c r="H64" s="2" t="s">
        <v>1569</v>
      </c>
    </row>
    <row r="65" spans="1:8">
      <c r="A65" s="375"/>
      <c r="B65" t="s">
        <v>66</v>
      </c>
      <c r="C65" t="s">
        <v>972</v>
      </c>
      <c r="D65" s="186">
        <v>1.4700000000000001E-7</v>
      </c>
      <c r="E65" s="2" t="s">
        <v>27</v>
      </c>
      <c r="F65" s="186">
        <f t="shared" si="4"/>
        <v>1.28772E-3</v>
      </c>
      <c r="G65" s="186">
        <f t="shared" si="5"/>
        <v>3.5279999999999999E-6</v>
      </c>
      <c r="H65" s="2" t="s">
        <v>1569</v>
      </c>
    </row>
    <row r="66" spans="1:8">
      <c r="A66" s="375"/>
      <c r="B66" t="s">
        <v>73</v>
      </c>
      <c r="C66" t="s">
        <v>975</v>
      </c>
      <c r="D66" s="186">
        <v>2.26E-6</v>
      </c>
      <c r="E66" s="2" t="s">
        <v>27</v>
      </c>
      <c r="F66" s="186">
        <f t="shared" si="4"/>
        <v>1.9797599999999999E-2</v>
      </c>
      <c r="G66" s="186">
        <f t="shared" si="5"/>
        <v>5.4239999999999996E-5</v>
      </c>
      <c r="H66" s="2" t="s">
        <v>1569</v>
      </c>
    </row>
    <row r="67" spans="1:8">
      <c r="A67" s="375"/>
      <c r="B67" t="s">
        <v>79</v>
      </c>
      <c r="C67" t="s">
        <v>995</v>
      </c>
      <c r="D67" s="186">
        <v>6.64E-6</v>
      </c>
      <c r="E67" s="2" t="s">
        <v>27</v>
      </c>
      <c r="F67" s="186">
        <f t="shared" si="4"/>
        <v>5.81664E-2</v>
      </c>
      <c r="G67" s="186">
        <f t="shared" si="5"/>
        <v>1.5935999999999999E-4</v>
      </c>
      <c r="H67" s="2" t="s">
        <v>1569</v>
      </c>
    </row>
    <row r="68" spans="1:8">
      <c r="A68" s="375"/>
      <c r="B68" t="s">
        <v>82</v>
      </c>
      <c r="C68" t="s">
        <v>996</v>
      </c>
      <c r="D68" s="186">
        <v>8.9900000000000003E-6</v>
      </c>
      <c r="E68" s="2" t="s">
        <v>27</v>
      </c>
      <c r="F68" s="186">
        <f t="shared" si="4"/>
        <v>7.87524E-2</v>
      </c>
      <c r="G68" s="186">
        <f t="shared" si="5"/>
        <v>2.1576000000000001E-4</v>
      </c>
      <c r="H68" s="2" t="s">
        <v>1569</v>
      </c>
    </row>
    <row r="69" spans="1:8">
      <c r="A69" s="375"/>
      <c r="B69" t="s">
        <v>88</v>
      </c>
      <c r="C69" t="s">
        <v>998</v>
      </c>
      <c r="D69" s="186">
        <v>2.14E-4</v>
      </c>
      <c r="E69" s="2" t="s">
        <v>27</v>
      </c>
      <c r="F69" s="186">
        <f t="shared" si="4"/>
        <v>1.8746400000000001</v>
      </c>
      <c r="G69" s="186">
        <f t="shared" si="5"/>
        <v>5.1359999999999999E-3</v>
      </c>
      <c r="H69" s="2" t="s">
        <v>1569</v>
      </c>
    </row>
    <row r="70" spans="1:8">
      <c r="A70" s="375"/>
      <c r="B70" t="s">
        <v>693</v>
      </c>
      <c r="C70" t="s">
        <v>692</v>
      </c>
      <c r="D70" s="186">
        <f>0.00028*10</f>
        <v>2.7999999999999995E-3</v>
      </c>
      <c r="E70" s="2" t="s">
        <v>27</v>
      </c>
      <c r="F70" s="186">
        <f t="shared" si="4"/>
        <v>24.527999999999995</v>
      </c>
      <c r="G70" s="186">
        <f t="shared" si="5"/>
        <v>6.7199999999999982E-2</v>
      </c>
      <c r="H70" s="2" t="s">
        <v>1569</v>
      </c>
    </row>
    <row r="71" spans="1:8">
      <c r="A71" s="375"/>
      <c r="B71" t="s">
        <v>94</v>
      </c>
      <c r="C71" t="s">
        <v>1000</v>
      </c>
      <c r="D71" s="186">
        <v>2.5999999999999998E-5</v>
      </c>
      <c r="E71" s="2" t="s">
        <v>27</v>
      </c>
      <c r="F71" s="186">
        <f t="shared" si="4"/>
        <v>0.22775999999999999</v>
      </c>
      <c r="G71" s="186">
        <f t="shared" si="5"/>
        <v>6.2399999999999999E-4</v>
      </c>
      <c r="H71" s="2" t="s">
        <v>1569</v>
      </c>
    </row>
    <row r="72" spans="1:8">
      <c r="A72" s="375"/>
      <c r="B72" t="s">
        <v>97</v>
      </c>
      <c r="C72" t="s">
        <v>1001</v>
      </c>
      <c r="D72" s="186">
        <v>4.4299999999999999E-6</v>
      </c>
      <c r="E72" s="2" t="s">
        <v>27</v>
      </c>
      <c r="F72" s="186">
        <f t="shared" si="4"/>
        <v>3.8806800000000002E-2</v>
      </c>
      <c r="G72" s="186">
        <f t="shared" si="5"/>
        <v>1.0632E-4</v>
      </c>
      <c r="H72" s="2" t="s">
        <v>1569</v>
      </c>
    </row>
    <row r="73" spans="1:8">
      <c r="A73" s="375"/>
      <c r="B73" t="s">
        <v>867</v>
      </c>
      <c r="C73" t="s">
        <v>866</v>
      </c>
      <c r="D73" s="186">
        <v>1.2E-8</v>
      </c>
      <c r="E73" s="2" t="s">
        <v>27</v>
      </c>
      <c r="F73" s="186">
        <f t="shared" si="4"/>
        <v>1.0512E-4</v>
      </c>
      <c r="G73" s="186">
        <f t="shared" si="5"/>
        <v>2.8799999999999998E-7</v>
      </c>
      <c r="H73" s="2" t="s">
        <v>1569</v>
      </c>
    </row>
    <row r="74" spans="1:8">
      <c r="A74" s="375"/>
      <c r="B74" t="s">
        <v>869</v>
      </c>
      <c r="C74" t="s">
        <v>868</v>
      </c>
      <c r="D74" s="186">
        <v>7.9400000000000003E-9</v>
      </c>
      <c r="E74" s="2" t="s">
        <v>27</v>
      </c>
      <c r="F74" s="186">
        <f t="shared" si="4"/>
        <v>6.9554400000000006E-5</v>
      </c>
      <c r="G74" s="186">
        <f t="shared" si="5"/>
        <v>1.9056000000000001E-7</v>
      </c>
      <c r="H74" s="2" t="s">
        <v>1569</v>
      </c>
    </row>
    <row r="75" spans="1:8">
      <c r="A75" s="375"/>
      <c r="B75" t="s">
        <v>871</v>
      </c>
      <c r="C75" t="s">
        <v>870</v>
      </c>
      <c r="D75" s="186">
        <v>6.7100000000000002E-9</v>
      </c>
      <c r="E75" s="2" t="s">
        <v>27</v>
      </c>
      <c r="F75" s="186">
        <f t="shared" si="4"/>
        <v>5.8779600000000002E-5</v>
      </c>
      <c r="G75" s="186">
        <f t="shared" si="5"/>
        <v>1.6104000000000002E-7</v>
      </c>
      <c r="H75" s="2" t="s">
        <v>1569</v>
      </c>
    </row>
    <row r="76" spans="1:8">
      <c r="A76" s="375"/>
      <c r="B76" t="s">
        <v>873</v>
      </c>
      <c r="C76" t="s">
        <v>872</v>
      </c>
      <c r="D76" s="186">
        <v>2.69E-9</v>
      </c>
      <c r="E76" s="2" t="s">
        <v>27</v>
      </c>
      <c r="F76" s="186">
        <f t="shared" si="4"/>
        <v>2.3564400000000001E-5</v>
      </c>
      <c r="G76" s="186">
        <f t="shared" si="5"/>
        <v>6.4560000000000004E-8</v>
      </c>
      <c r="H76" s="2" t="s">
        <v>1569</v>
      </c>
    </row>
    <row r="77" spans="1:8">
      <c r="A77" s="375"/>
      <c r="B77" t="s">
        <v>875</v>
      </c>
      <c r="C77" t="s">
        <v>874</v>
      </c>
      <c r="D77" s="186">
        <v>2.8200000000000002E-9</v>
      </c>
      <c r="E77" s="2" t="s">
        <v>27</v>
      </c>
      <c r="F77" s="186">
        <f t="shared" si="4"/>
        <v>2.4703200000000001E-5</v>
      </c>
      <c r="G77" s="186">
        <f t="shared" si="5"/>
        <v>6.7680000000000008E-8</v>
      </c>
      <c r="H77" s="2" t="s">
        <v>1569</v>
      </c>
    </row>
    <row r="78" spans="1:8">
      <c r="A78" s="375"/>
      <c r="B78" t="s">
        <v>877</v>
      </c>
      <c r="C78" t="s">
        <v>876</v>
      </c>
      <c r="D78" s="186">
        <v>1.3500000000000001E-9</v>
      </c>
      <c r="E78" s="2" t="s">
        <v>27</v>
      </c>
      <c r="F78" s="186">
        <f t="shared" si="4"/>
        <v>1.1826000000000002E-5</v>
      </c>
      <c r="G78" s="186">
        <f t="shared" si="5"/>
        <v>3.2399999999999999E-8</v>
      </c>
      <c r="H78" s="2" t="s">
        <v>1569</v>
      </c>
    </row>
    <row r="79" spans="1:8">
      <c r="A79" s="375"/>
      <c r="B79" t="s">
        <v>879</v>
      </c>
      <c r="C79" t="s">
        <v>878</v>
      </c>
      <c r="D79" s="186">
        <v>1.65E-10</v>
      </c>
      <c r="E79" s="2" t="s">
        <v>27</v>
      </c>
      <c r="F79" s="186">
        <f t="shared" si="4"/>
        <v>1.4454E-6</v>
      </c>
      <c r="G79" s="186">
        <f t="shared" si="5"/>
        <v>3.9600000000000004E-9</v>
      </c>
      <c r="H79" s="2" t="s">
        <v>1569</v>
      </c>
    </row>
    <row r="80" spans="1:8">
      <c r="A80" s="375"/>
      <c r="B80" t="s">
        <v>881</v>
      </c>
      <c r="C80" t="s">
        <v>880</v>
      </c>
      <c r="D80" s="186">
        <v>1.4156666666666668E-11</v>
      </c>
      <c r="E80" s="2" t="s">
        <v>27</v>
      </c>
      <c r="F80" s="186">
        <f t="shared" si="4"/>
        <v>1.2401240000000001E-7</v>
      </c>
      <c r="G80" s="186">
        <f t="shared" si="5"/>
        <v>3.3976000000000002E-10</v>
      </c>
      <c r="H80" s="2" t="s">
        <v>1569</v>
      </c>
    </row>
    <row r="81" spans="1:9">
      <c r="A81" s="375"/>
      <c r="B81" t="s">
        <v>883</v>
      </c>
      <c r="C81" t="s">
        <v>882</v>
      </c>
      <c r="D81" s="186">
        <v>1.37E-9</v>
      </c>
      <c r="E81" s="2" t="s">
        <v>27</v>
      </c>
      <c r="F81" s="186">
        <f t="shared" si="4"/>
        <v>1.20012E-5</v>
      </c>
      <c r="G81" s="186">
        <f t="shared" si="5"/>
        <v>3.2880000000000001E-8</v>
      </c>
      <c r="H81" s="2" t="s">
        <v>1569</v>
      </c>
    </row>
    <row r="82" spans="1:9">
      <c r="A82" s="375"/>
      <c r="B82" t="s">
        <v>885</v>
      </c>
      <c r="C82" t="s">
        <v>884</v>
      </c>
      <c r="D82" s="186">
        <v>3.2600000000000001E-10</v>
      </c>
      <c r="E82" s="2" t="s">
        <v>27</v>
      </c>
      <c r="F82" s="186">
        <f t="shared" si="4"/>
        <v>2.85576E-6</v>
      </c>
      <c r="G82" s="186">
        <f t="shared" si="5"/>
        <v>7.8240000000000011E-9</v>
      </c>
      <c r="H82" s="2" t="s">
        <v>1569</v>
      </c>
    </row>
    <row r="83" spans="1:9">
      <c r="A83" s="375"/>
      <c r="B83" t="s">
        <v>889</v>
      </c>
      <c r="C83" t="s">
        <v>888</v>
      </c>
      <c r="D83" s="186">
        <v>8.2800000000000004E-10</v>
      </c>
      <c r="E83" s="2" t="s">
        <v>27</v>
      </c>
      <c r="F83" s="186">
        <f t="shared" si="4"/>
        <v>7.25328E-6</v>
      </c>
      <c r="G83" s="186">
        <f t="shared" si="5"/>
        <v>1.9872000000000001E-8</v>
      </c>
      <c r="H83" s="2" t="s">
        <v>1569</v>
      </c>
    </row>
    <row r="84" spans="1:9">
      <c r="A84" s="375"/>
      <c r="B84" t="s">
        <v>891</v>
      </c>
      <c r="C84" t="s">
        <v>890</v>
      </c>
      <c r="D84" s="186">
        <v>2.1149999999999999E-11</v>
      </c>
      <c r="E84" s="2" t="s">
        <v>27</v>
      </c>
      <c r="F84" s="186">
        <f t="shared" si="4"/>
        <v>1.85274E-7</v>
      </c>
      <c r="G84" s="186">
        <f t="shared" si="5"/>
        <v>5.0759999999999998E-10</v>
      </c>
      <c r="H84" s="2" t="s">
        <v>1569</v>
      </c>
    </row>
    <row r="85" spans="1:9">
      <c r="A85" s="375"/>
      <c r="B85" t="s">
        <v>895</v>
      </c>
      <c r="C85" t="s">
        <v>894</v>
      </c>
      <c r="D85" s="186">
        <v>6.8316666666666671E-11</v>
      </c>
      <c r="E85" s="2" t="s">
        <v>27</v>
      </c>
      <c r="F85" s="186">
        <f t="shared" si="4"/>
        <v>5.9845400000000007E-7</v>
      </c>
      <c r="G85" s="186">
        <f t="shared" si="5"/>
        <v>1.6396E-9</v>
      </c>
      <c r="H85" s="2" t="s">
        <v>1569</v>
      </c>
    </row>
    <row r="86" spans="1:9">
      <c r="A86" s="375"/>
      <c r="B86" t="s">
        <v>897</v>
      </c>
      <c r="C86" t="s">
        <v>896</v>
      </c>
      <c r="D86" s="186">
        <v>5.5299999999999995E-10</v>
      </c>
      <c r="E86" s="2" t="s">
        <v>27</v>
      </c>
      <c r="F86" s="186">
        <f t="shared" si="4"/>
        <v>4.8442799999999998E-6</v>
      </c>
      <c r="G86" s="186">
        <f t="shared" si="5"/>
        <v>1.3271999999999998E-8</v>
      </c>
      <c r="H86" s="2" t="s">
        <v>1569</v>
      </c>
    </row>
    <row r="87" spans="1:9">
      <c r="A87" s="375"/>
      <c r="B87" t="s">
        <v>899</v>
      </c>
      <c r="C87" t="s">
        <v>898</v>
      </c>
      <c r="D87" s="186">
        <v>4.9800000000000004E-10</v>
      </c>
      <c r="E87" s="2" t="s">
        <v>27</v>
      </c>
      <c r="F87" s="186">
        <f t="shared" si="4"/>
        <v>4.3624800000000005E-6</v>
      </c>
      <c r="G87" s="186">
        <f t="shared" si="5"/>
        <v>1.1952E-8</v>
      </c>
      <c r="H87" s="2" t="s">
        <v>1569</v>
      </c>
    </row>
    <row r="88" spans="1:9">
      <c r="A88" s="375"/>
      <c r="B88" t="s">
        <v>901</v>
      </c>
      <c r="C88" t="s">
        <v>900</v>
      </c>
      <c r="D88" s="186">
        <v>4.5733333333333332E-11</v>
      </c>
      <c r="E88" s="2" t="s">
        <v>27</v>
      </c>
      <c r="F88" s="186">
        <f t="shared" si="4"/>
        <v>4.00624E-7</v>
      </c>
      <c r="G88" s="186">
        <f t="shared" si="5"/>
        <v>1.0976E-9</v>
      </c>
      <c r="H88" s="2" t="s">
        <v>1569</v>
      </c>
    </row>
    <row r="89" spans="1:9">
      <c r="A89" s="375"/>
      <c r="B89" t="s">
        <v>905</v>
      </c>
      <c r="C89" t="s">
        <v>904</v>
      </c>
      <c r="D89" s="186">
        <v>1.5366666666666666E-11</v>
      </c>
      <c r="E89" s="2" t="s">
        <v>27</v>
      </c>
      <c r="F89" s="186">
        <f t="shared" si="4"/>
        <v>1.3461199999999999E-7</v>
      </c>
      <c r="G89" s="186">
        <f t="shared" si="5"/>
        <v>3.6880000000000001E-10</v>
      </c>
      <c r="H89" s="2" t="s">
        <v>1569</v>
      </c>
    </row>
    <row r="90" spans="1:9">
      <c r="A90" s="375"/>
      <c r="B90" t="s">
        <v>907</v>
      </c>
      <c r="C90" t="s">
        <v>906</v>
      </c>
      <c r="D90" s="186">
        <v>3.5599999999999999E-11</v>
      </c>
      <c r="E90" s="2" t="s">
        <v>27</v>
      </c>
      <c r="F90" s="186">
        <f t="shared" si="4"/>
        <v>3.1185599999999998E-7</v>
      </c>
      <c r="G90" s="186">
        <f t="shared" si="5"/>
        <v>8.5439999999999997E-10</v>
      </c>
      <c r="H90" s="2" t="s">
        <v>1569</v>
      </c>
    </row>
    <row r="91" spans="1:9">
      <c r="A91" s="375"/>
      <c r="B91" t="s">
        <v>909</v>
      </c>
      <c r="C91" t="s">
        <v>908</v>
      </c>
      <c r="D91" s="186">
        <v>5.5383333333333332E-11</v>
      </c>
      <c r="E91" s="2" t="s">
        <v>27</v>
      </c>
      <c r="F91" s="186">
        <f t="shared" si="4"/>
        <v>4.8515800000000004E-7</v>
      </c>
      <c r="G91" s="186">
        <f t="shared" si="5"/>
        <v>1.3291999999999999E-9</v>
      </c>
      <c r="H91" s="2" t="s">
        <v>1569</v>
      </c>
    </row>
    <row r="92" spans="1:9">
      <c r="A92" s="375"/>
      <c r="B92" t="s">
        <v>911</v>
      </c>
      <c r="C92" t="s">
        <v>910</v>
      </c>
      <c r="D92" s="186">
        <v>2.09E-10</v>
      </c>
      <c r="E92" s="2" t="s">
        <v>27</v>
      </c>
      <c r="F92" s="186">
        <f t="shared" si="4"/>
        <v>1.8308399999999999E-6</v>
      </c>
      <c r="G92" s="186">
        <f t="shared" si="5"/>
        <v>5.016E-9</v>
      </c>
      <c r="H92" s="2" t="s">
        <v>1569</v>
      </c>
    </row>
    <row r="93" spans="1:9">
      <c r="A93" s="375"/>
      <c r="B93" t="s">
        <v>913</v>
      </c>
      <c r="C93" t="s">
        <v>912</v>
      </c>
      <c r="D93" s="186">
        <v>8.7616666666666659E-11</v>
      </c>
      <c r="E93" s="2" t="s">
        <v>27</v>
      </c>
      <c r="F93" s="186">
        <f t="shared" si="4"/>
        <v>7.6752199999999993E-7</v>
      </c>
      <c r="G93" s="186">
        <f t="shared" si="5"/>
        <v>2.1027999999999998E-9</v>
      </c>
      <c r="H93" s="2" t="s">
        <v>1569</v>
      </c>
    </row>
    <row r="94" spans="1:9" ht="16.2" thickBot="1">
      <c r="A94" s="375"/>
      <c r="B94" t="s">
        <v>864</v>
      </c>
      <c r="C94" t="s">
        <v>863</v>
      </c>
      <c r="D94" s="186">
        <v>1.23E-7</v>
      </c>
      <c r="E94" s="2" t="s">
        <v>27</v>
      </c>
      <c r="F94" s="186">
        <f t="shared" si="4"/>
        <v>1.07748E-3</v>
      </c>
      <c r="G94" s="186">
        <f t="shared" si="5"/>
        <v>2.9519999999999999E-6</v>
      </c>
      <c r="H94" s="2" t="s">
        <v>1569</v>
      </c>
    </row>
    <row r="95" spans="1:9" ht="16.2" thickTop="1">
      <c r="A95" s="377" t="s">
        <v>1529</v>
      </c>
      <c r="B95" s="7" t="s">
        <v>41</v>
      </c>
      <c r="C95" s="7" t="s">
        <v>40</v>
      </c>
      <c r="D95" s="189">
        <v>5.4299999999999997E-4</v>
      </c>
      <c r="E95" s="8" t="s">
        <v>1239</v>
      </c>
      <c r="F95" s="189">
        <f t="shared" ref="F95:F105" si="6">D95*$C$14/1000</f>
        <v>0.41620950000000001</v>
      </c>
      <c r="G95" s="189">
        <f t="shared" ref="G95:G105" si="7">D95*$C$13/1000</f>
        <v>1.1402999999999999E-3</v>
      </c>
      <c r="H95" s="8" t="s">
        <v>1248</v>
      </c>
      <c r="I95" s="370"/>
    </row>
    <row r="96" spans="1:9">
      <c r="A96" s="375"/>
      <c r="B96" t="s">
        <v>56</v>
      </c>
      <c r="C96" t="s">
        <v>55</v>
      </c>
      <c r="D96" s="186">
        <v>5.9800000000000001E-4</v>
      </c>
      <c r="E96" s="2" t="s">
        <v>1239</v>
      </c>
      <c r="F96" s="186">
        <f t="shared" ref="F96:F100" si="8">D96*$C$14/1000</f>
        <v>0.45836700000000002</v>
      </c>
      <c r="G96" s="186">
        <f t="shared" ref="G96:G100" si="9">D96*$C$13/1000</f>
        <v>1.2558000000000001E-3</v>
      </c>
      <c r="H96" s="2" t="s">
        <v>1248</v>
      </c>
      <c r="I96" s="371"/>
    </row>
    <row r="97" spans="1:9">
      <c r="A97" s="375"/>
      <c r="B97" t="s">
        <v>148</v>
      </c>
      <c r="C97" t="s">
        <v>147</v>
      </c>
      <c r="D97" s="188">
        <v>8.4700000000000001E-3</v>
      </c>
      <c r="E97" s="2" t="s">
        <v>1239</v>
      </c>
      <c r="F97" s="186">
        <f t="shared" si="8"/>
        <v>6.4922550000000001</v>
      </c>
      <c r="G97" s="186">
        <f t="shared" si="9"/>
        <v>1.7787000000000001E-2</v>
      </c>
      <c r="H97" s="2" t="s">
        <v>1248</v>
      </c>
      <c r="I97" s="371"/>
    </row>
    <row r="98" spans="1:9">
      <c r="A98" s="375"/>
      <c r="B98" t="s">
        <v>194</v>
      </c>
      <c r="C98" t="s">
        <v>193</v>
      </c>
      <c r="D98" s="186">
        <v>1.95E-2</v>
      </c>
      <c r="E98" s="2" t="s">
        <v>1239</v>
      </c>
      <c r="F98" s="186">
        <f t="shared" si="8"/>
        <v>14.94675</v>
      </c>
      <c r="G98" s="186">
        <f t="shared" si="9"/>
        <v>4.095E-2</v>
      </c>
      <c r="H98" s="2" t="s">
        <v>1248</v>
      </c>
      <c r="I98" s="371"/>
    </row>
    <row r="99" spans="1:9">
      <c r="A99" s="375"/>
      <c r="B99" t="s">
        <v>273</v>
      </c>
      <c r="C99" t="s">
        <v>272</v>
      </c>
      <c r="D99" s="186">
        <v>8.6300000000000005E-3</v>
      </c>
      <c r="E99" s="2" t="s">
        <v>1239</v>
      </c>
      <c r="F99" s="186">
        <f t="shared" si="8"/>
        <v>6.6148950000000006</v>
      </c>
      <c r="G99" s="186">
        <f t="shared" si="9"/>
        <v>1.8123E-2</v>
      </c>
      <c r="H99" s="2" t="s">
        <v>1248</v>
      </c>
      <c r="I99" s="371"/>
    </row>
    <row r="100" spans="1:9">
      <c r="A100" s="375"/>
      <c r="B100" t="s">
        <v>69</v>
      </c>
      <c r="C100" t="s">
        <v>70</v>
      </c>
      <c r="D100" s="186">
        <v>1.17E-5</v>
      </c>
      <c r="E100" s="2" t="s">
        <v>1239</v>
      </c>
      <c r="F100" s="186">
        <f t="shared" si="8"/>
        <v>8.96805E-3</v>
      </c>
      <c r="G100" s="186">
        <f t="shared" si="9"/>
        <v>2.4569999999999997E-5</v>
      </c>
      <c r="H100" s="2" t="s">
        <v>1248</v>
      </c>
      <c r="I100" s="371"/>
    </row>
    <row r="101" spans="1:9">
      <c r="A101" s="375"/>
      <c r="B101" t="s">
        <v>536</v>
      </c>
      <c r="C101" t="s">
        <v>535</v>
      </c>
      <c r="D101" s="186">
        <v>3.8E-3</v>
      </c>
      <c r="E101" s="2" t="s">
        <v>1239</v>
      </c>
      <c r="F101" s="186">
        <f t="shared" si="6"/>
        <v>2.9126999999999996</v>
      </c>
      <c r="G101" s="186">
        <f t="shared" si="7"/>
        <v>7.980000000000001E-3</v>
      </c>
      <c r="H101" s="2" t="s">
        <v>1248</v>
      </c>
      <c r="I101" s="371"/>
    </row>
    <row r="102" spans="1:9">
      <c r="A102" s="375"/>
      <c r="B102" t="s">
        <v>1047</v>
      </c>
      <c r="C102" t="s">
        <v>1046</v>
      </c>
      <c r="D102" s="186">
        <v>1.52E-2</v>
      </c>
      <c r="E102" s="2" t="s">
        <v>1239</v>
      </c>
      <c r="F102" s="186">
        <f t="shared" ref="F102:F104" si="10">D102*$C$14/1000</f>
        <v>11.650799999999998</v>
      </c>
      <c r="G102" s="186">
        <f t="shared" ref="G102:G104" si="11">D102*$C$13/1000</f>
        <v>3.1920000000000004E-2</v>
      </c>
      <c r="H102" s="2" t="s">
        <v>1248</v>
      </c>
      <c r="I102" s="371"/>
    </row>
    <row r="103" spans="1:9">
      <c r="A103" s="375"/>
      <c r="B103" t="s">
        <v>1129</v>
      </c>
      <c r="C103" t="s">
        <v>1128</v>
      </c>
      <c r="D103" s="186">
        <v>9.9900000000000006E-3</v>
      </c>
      <c r="E103" s="2" t="s">
        <v>1239</v>
      </c>
      <c r="F103" s="186">
        <f t="shared" si="10"/>
        <v>7.6573349999999998</v>
      </c>
      <c r="G103" s="186">
        <f t="shared" si="11"/>
        <v>2.0979000000000001E-2</v>
      </c>
      <c r="H103" s="2" t="s">
        <v>1248</v>
      </c>
      <c r="I103" s="371"/>
    </row>
    <row r="104" spans="1:9">
      <c r="A104" s="375"/>
      <c r="B104" t="s">
        <v>1223</v>
      </c>
      <c r="C104" t="s">
        <v>1222</v>
      </c>
      <c r="D104" s="186">
        <v>1.9199999999999998E-2</v>
      </c>
      <c r="E104" s="2" t="s">
        <v>1239</v>
      </c>
      <c r="F104" s="186">
        <f t="shared" si="10"/>
        <v>14.716799999999999</v>
      </c>
      <c r="G104" s="186">
        <f t="shared" si="11"/>
        <v>4.0319999999999995E-2</v>
      </c>
      <c r="H104" s="2" t="s">
        <v>1248</v>
      </c>
      <c r="I104" s="371"/>
    </row>
    <row r="105" spans="1:9" ht="16.2" thickBot="1">
      <c r="A105" s="376"/>
      <c r="B105" t="s">
        <v>585</v>
      </c>
      <c r="C105" t="s">
        <v>584</v>
      </c>
      <c r="D105" s="186">
        <v>0.18629999999999999</v>
      </c>
      <c r="E105" s="2" t="s">
        <v>1239</v>
      </c>
      <c r="F105" s="186">
        <f t="shared" si="6"/>
        <v>142.79894999999999</v>
      </c>
      <c r="G105" s="186">
        <f t="shared" si="7"/>
        <v>0.39122999999999997</v>
      </c>
      <c r="H105" s="2" t="s">
        <v>1443</v>
      </c>
      <c r="I105" s="372"/>
    </row>
    <row r="106" spans="1:9" ht="16.2" thickTop="1">
      <c r="A106" s="375" t="s">
        <v>1530</v>
      </c>
      <c r="B106" s="7" t="s">
        <v>41</v>
      </c>
      <c r="C106" s="7" t="s">
        <v>40</v>
      </c>
      <c r="D106" s="189">
        <v>1.95E-2</v>
      </c>
      <c r="E106" s="8" t="s">
        <v>1263</v>
      </c>
      <c r="F106" s="189">
        <f t="shared" ref="F106:F113" si="12">D106*$C$27*60*$C$11/1000000</f>
        <v>11.878996226559904</v>
      </c>
      <c r="G106" s="189">
        <f t="shared" ref="G106:G113" si="13">D106*$C$27*60*$C$10/1000000</f>
        <v>3.254519514126001E-2</v>
      </c>
      <c r="H106" s="8" t="s">
        <v>1249</v>
      </c>
      <c r="I106" s="368"/>
    </row>
    <row r="107" spans="1:9">
      <c r="A107" s="375"/>
      <c r="B107" t="s">
        <v>148</v>
      </c>
      <c r="C107" t="s">
        <v>147</v>
      </c>
      <c r="D107" s="186">
        <v>8.4199999999999997E-2</v>
      </c>
      <c r="E107" s="2" t="s">
        <v>1263</v>
      </c>
      <c r="F107" s="186">
        <f t="shared" si="12"/>
        <v>51.292896526991996</v>
      </c>
      <c r="G107" s="186">
        <f t="shared" si="13"/>
        <v>0.14052848363559448</v>
      </c>
      <c r="H107" s="2" t="s">
        <v>1249</v>
      </c>
      <c r="I107" s="368"/>
    </row>
    <row r="108" spans="1:9">
      <c r="A108" s="375"/>
      <c r="B108" t="s">
        <v>499</v>
      </c>
      <c r="C108" t="s">
        <v>498</v>
      </c>
      <c r="D108" s="186">
        <v>3.04E-2</v>
      </c>
      <c r="E108" s="2" t="s">
        <v>1263</v>
      </c>
      <c r="F108" s="186">
        <f t="shared" si="12"/>
        <v>18.519050527560051</v>
      </c>
      <c r="G108" s="186">
        <f t="shared" si="13"/>
        <v>5.0737124733041247E-2</v>
      </c>
      <c r="H108" s="2" t="s">
        <v>1249</v>
      </c>
      <c r="I108" s="368"/>
    </row>
    <row r="109" spans="1:9">
      <c r="A109" s="375"/>
      <c r="B109" t="s">
        <v>536</v>
      </c>
      <c r="C109" t="s">
        <v>535</v>
      </c>
      <c r="D109" s="186">
        <v>0.151</v>
      </c>
      <c r="E109" s="2" t="s">
        <v>1263</v>
      </c>
      <c r="F109" s="186">
        <f t="shared" si="12"/>
        <v>91.986073344130531</v>
      </c>
      <c r="G109" s="186">
        <f t="shared" si="13"/>
        <v>0.25201663929898777</v>
      </c>
      <c r="H109" s="2" t="s">
        <v>1249</v>
      </c>
      <c r="I109" s="368"/>
    </row>
    <row r="110" spans="1:9">
      <c r="A110" s="375"/>
      <c r="B110" t="s">
        <v>1262</v>
      </c>
      <c r="C110" t="s">
        <v>590</v>
      </c>
      <c r="D110" s="186">
        <v>0.40500000000000003</v>
      </c>
      <c r="E110" s="2" t="s">
        <v>1263</v>
      </c>
      <c r="F110" s="186">
        <f t="shared" si="12"/>
        <v>246.71761393624416</v>
      </c>
      <c r="G110" s="186">
        <f t="shared" si="13"/>
        <v>0.67593866831847715</v>
      </c>
      <c r="H110" s="2" t="s">
        <v>1249</v>
      </c>
      <c r="I110" s="368"/>
    </row>
    <row r="111" spans="1:9">
      <c r="A111" s="375"/>
      <c r="B111" t="s">
        <v>814</v>
      </c>
      <c r="C111" t="s">
        <v>813</v>
      </c>
      <c r="D111" s="186">
        <v>6.96E-3</v>
      </c>
      <c r="E111" s="2" t="s">
        <v>1263</v>
      </c>
      <c r="F111" s="186">
        <f t="shared" si="12"/>
        <v>4.2398878839413801</v>
      </c>
      <c r="G111" s="186">
        <f t="shared" si="13"/>
        <v>1.1616131188880495E-2</v>
      </c>
      <c r="H111" s="2" t="s">
        <v>1249</v>
      </c>
      <c r="I111" s="368"/>
    </row>
    <row r="112" spans="1:9">
      <c r="A112" s="375"/>
      <c r="B112" t="s">
        <v>832</v>
      </c>
      <c r="C112" t="s">
        <v>831</v>
      </c>
      <c r="D112" s="186">
        <v>7.2099999999999996E-4</v>
      </c>
      <c r="E112" s="2" t="s">
        <v>1263</v>
      </c>
      <c r="F112" s="186">
        <f t="shared" si="12"/>
        <v>0.43921827073588149</v>
      </c>
      <c r="G112" s="186">
        <f t="shared" si="13"/>
        <v>1.203337728043511E-3</v>
      </c>
      <c r="H112" s="2" t="s">
        <v>1249</v>
      </c>
      <c r="I112" s="368"/>
    </row>
    <row r="113" spans="1:9">
      <c r="A113" s="375"/>
      <c r="B113" t="s">
        <v>1047</v>
      </c>
      <c r="C113" t="s">
        <v>1046</v>
      </c>
      <c r="D113" s="186">
        <v>2.0500000000000002E-3</v>
      </c>
      <c r="E113" s="2" t="s">
        <v>1263</v>
      </c>
      <c r="F113" s="186">
        <f t="shared" si="12"/>
        <v>1.2488175520229643</v>
      </c>
      <c r="G113" s="186">
        <f t="shared" si="13"/>
        <v>3.4214179507478476E-3</v>
      </c>
      <c r="H113" s="2" t="s">
        <v>1249</v>
      </c>
      <c r="I113" s="368"/>
    </row>
    <row r="114" spans="1:9">
      <c r="A114" s="375"/>
      <c r="B114" t="s">
        <v>1129</v>
      </c>
      <c r="C114" t="s">
        <v>1128</v>
      </c>
      <c r="D114" s="186">
        <v>0.13700000000000001</v>
      </c>
      <c r="E114" s="2" t="s">
        <v>1263</v>
      </c>
      <c r="F114" s="186">
        <f t="shared" ref="F114:F115" si="14">D114*$C$27*60*$C$11/1000000</f>
        <v>83.457563232754183</v>
      </c>
      <c r="G114" s="186">
        <f t="shared" ref="G114:G115" si="15">D114*$C$27*60*$C$10/1000000</f>
        <v>0.22865085817192929</v>
      </c>
      <c r="H114" s="2" t="s">
        <v>1249</v>
      </c>
      <c r="I114" s="368"/>
    </row>
    <row r="115" spans="1:9" ht="16.2" thickBot="1">
      <c r="A115" s="376"/>
      <c r="B115" t="s">
        <v>1223</v>
      </c>
      <c r="C115" t="s">
        <v>1222</v>
      </c>
      <c r="D115" s="186">
        <v>3.7400000000000003E-2</v>
      </c>
      <c r="E115" s="2" t="s">
        <v>1263</v>
      </c>
      <c r="F115" s="186">
        <f t="shared" si="14"/>
        <v>22.783305583248225</v>
      </c>
      <c r="G115" s="186">
        <f t="shared" si="15"/>
        <v>6.2420015296570479E-2</v>
      </c>
      <c r="H115" s="2" t="s">
        <v>1249</v>
      </c>
      <c r="I115" s="373"/>
    </row>
    <row r="116" spans="1:9" ht="16.8" thickTop="1" thickBot="1">
      <c r="A116" s="378" t="s">
        <v>1531</v>
      </c>
      <c r="B116" s="7" t="s">
        <v>148</v>
      </c>
      <c r="C116" s="7" t="s">
        <v>147</v>
      </c>
      <c r="D116" s="189">
        <v>8.0000000000000002E-3</v>
      </c>
      <c r="E116" s="8" t="s">
        <v>1263</v>
      </c>
      <c r="F116" s="189">
        <f t="shared" ref="F116:F125" si="16">D116*$C$29*$C$11/$C$30</f>
        <v>6.8705882352941172E-2</v>
      </c>
      <c r="G116" s="189">
        <f t="shared" ref="G116:G125" si="17">D116*$C$29*$C$10/$C$30</f>
        <v>1.8823529411764707E-4</v>
      </c>
      <c r="H116" s="8" t="s">
        <v>1250</v>
      </c>
      <c r="I116" s="374" t="s">
        <v>1271</v>
      </c>
    </row>
    <row r="117" spans="1:9" ht="16.8" thickTop="1" thickBot="1">
      <c r="A117" s="378"/>
      <c r="B117" t="s">
        <v>536</v>
      </c>
      <c r="C117" t="s">
        <v>535</v>
      </c>
      <c r="D117" s="186">
        <v>1.7000000000000001E-2</v>
      </c>
      <c r="E117" s="2" t="s">
        <v>1263</v>
      </c>
      <c r="F117" s="186">
        <f t="shared" si="16"/>
        <v>0.14600000000000002</v>
      </c>
      <c r="G117" s="186">
        <f t="shared" si="17"/>
        <v>4.0000000000000002E-4</v>
      </c>
      <c r="H117" s="2" t="s">
        <v>1250</v>
      </c>
      <c r="I117" s="368"/>
    </row>
    <row r="118" spans="1:9" ht="16.8" thickTop="1" thickBot="1">
      <c r="A118" s="378"/>
      <c r="B118" t="s">
        <v>41</v>
      </c>
      <c r="C118" t="s">
        <v>40</v>
      </c>
      <c r="D118" s="186">
        <v>4.3E-3</v>
      </c>
      <c r="E118" s="2" t="s">
        <v>1263</v>
      </c>
      <c r="F118" s="186">
        <f t="shared" si="16"/>
        <v>3.6929411764705884E-2</v>
      </c>
      <c r="G118" s="186">
        <f t="shared" si="17"/>
        <v>1.011764705882353E-4</v>
      </c>
      <c r="H118" s="2" t="s">
        <v>1250</v>
      </c>
      <c r="I118" s="368"/>
    </row>
    <row r="119" spans="1:9" ht="16.8" thickTop="1" thickBot="1">
      <c r="A119" s="378"/>
      <c r="B119" t="s">
        <v>56</v>
      </c>
      <c r="C119" t="s">
        <v>55</v>
      </c>
      <c r="D119" s="186">
        <v>2.7000000000000001E-3</v>
      </c>
      <c r="E119" s="2" t="s">
        <v>1263</v>
      </c>
      <c r="F119" s="186">
        <f t="shared" si="16"/>
        <v>2.3188235294117648E-2</v>
      </c>
      <c r="G119" s="186">
        <f t="shared" si="17"/>
        <v>6.3529411764705877E-5</v>
      </c>
      <c r="H119" s="2" t="s">
        <v>1250</v>
      </c>
      <c r="I119" s="368"/>
    </row>
    <row r="120" spans="1:9" ht="16.8" thickTop="1" thickBot="1">
      <c r="A120" s="378"/>
      <c r="B120" t="s">
        <v>110</v>
      </c>
      <c r="C120" t="s">
        <v>109</v>
      </c>
      <c r="D120" s="186">
        <v>3.2</v>
      </c>
      <c r="E120" s="2" t="s">
        <v>1263</v>
      </c>
      <c r="F120" s="186">
        <f t="shared" si="16"/>
        <v>27.482352941176469</v>
      </c>
      <c r="G120" s="186">
        <f t="shared" si="17"/>
        <v>7.5294117647058831E-2</v>
      </c>
      <c r="H120" s="2" t="s">
        <v>1250</v>
      </c>
      <c r="I120" s="368"/>
    </row>
    <row r="121" spans="1:9" ht="16.8" thickTop="1" thickBot="1">
      <c r="A121" s="378"/>
      <c r="B121" t="s">
        <v>499</v>
      </c>
      <c r="C121" t="s">
        <v>498</v>
      </c>
      <c r="D121" s="186">
        <v>9.4999999999999998E-3</v>
      </c>
      <c r="E121" s="2" t="s">
        <v>1263</v>
      </c>
      <c r="F121" s="186">
        <f t="shared" si="16"/>
        <v>8.1588235294117642E-2</v>
      </c>
      <c r="G121" s="186">
        <f t="shared" si="17"/>
        <v>2.2352941176470586E-4</v>
      </c>
      <c r="H121" s="2" t="s">
        <v>1250</v>
      </c>
      <c r="I121" s="368"/>
    </row>
    <row r="122" spans="1:9" ht="16.8" thickTop="1" thickBot="1">
      <c r="A122" s="378"/>
      <c r="B122" t="s">
        <v>579</v>
      </c>
      <c r="C122" t="s">
        <v>578</v>
      </c>
      <c r="D122" s="186">
        <v>6.3E-3</v>
      </c>
      <c r="E122" s="2" t="s">
        <v>1263</v>
      </c>
      <c r="F122" s="186">
        <f t="shared" si="16"/>
        <v>5.4105882352941177E-2</v>
      </c>
      <c r="G122" s="186">
        <f t="shared" si="17"/>
        <v>1.4823529411764707E-4</v>
      </c>
      <c r="H122" s="2" t="s">
        <v>1250</v>
      </c>
      <c r="I122" s="368"/>
    </row>
    <row r="123" spans="1:9" ht="16.8" thickTop="1" thickBot="1">
      <c r="A123" s="378"/>
      <c r="B123" t="s">
        <v>1129</v>
      </c>
      <c r="C123" t="s">
        <v>1128</v>
      </c>
      <c r="D123" s="186">
        <v>3.6600000000000001E-2</v>
      </c>
      <c r="E123" s="2" t="s">
        <v>1263</v>
      </c>
      <c r="F123" s="186">
        <f t="shared" si="16"/>
        <v>0.31432941176470586</v>
      </c>
      <c r="G123" s="186">
        <f t="shared" si="17"/>
        <v>8.6117647058823533E-4</v>
      </c>
      <c r="H123" s="2" t="s">
        <v>1250</v>
      </c>
      <c r="I123" s="368"/>
    </row>
    <row r="124" spans="1:9" ht="16.8" thickTop="1" thickBot="1">
      <c r="A124" s="378"/>
      <c r="B124" t="s">
        <v>1223</v>
      </c>
      <c r="C124" t="s">
        <v>1222</v>
      </c>
      <c r="D124" s="186">
        <v>2.7199999999999998E-2</v>
      </c>
      <c r="E124" s="2" t="s">
        <v>1263</v>
      </c>
      <c r="F124" s="186">
        <f t="shared" si="16"/>
        <v>0.2336</v>
      </c>
      <c r="G124" s="186">
        <f t="shared" si="17"/>
        <v>6.3999999999999994E-4</v>
      </c>
      <c r="H124" s="2" t="s">
        <v>1250</v>
      </c>
      <c r="I124" s="368"/>
    </row>
    <row r="125" spans="1:9" ht="16.8" thickTop="1" thickBot="1">
      <c r="A125" s="378"/>
      <c r="B125" s="158" t="s">
        <v>1231</v>
      </c>
      <c r="C125" s="158" t="s">
        <v>1230</v>
      </c>
      <c r="D125" s="190">
        <v>2.9000000000000001E-2</v>
      </c>
      <c r="E125" s="159" t="s">
        <v>1263</v>
      </c>
      <c r="F125" s="190">
        <f t="shared" si="16"/>
        <v>0.24905882352941178</v>
      </c>
      <c r="G125" s="190">
        <f t="shared" si="17"/>
        <v>6.8235294117647064E-4</v>
      </c>
      <c r="H125" s="159" t="s">
        <v>1250</v>
      </c>
      <c r="I125" s="373"/>
    </row>
    <row r="126" spans="1:9" ht="16.2" thickTop="1">
      <c r="E126" s="140" t="s">
        <v>1351</v>
      </c>
      <c r="F126" s="192">
        <f>SUM(F37:F125)</f>
        <v>1421.4625188584589</v>
      </c>
      <c r="G126" s="191">
        <f>SUM(G37:G125)</f>
        <v>3.8944178598861887</v>
      </c>
    </row>
    <row r="127" spans="1:9">
      <c r="F127" s="2"/>
      <c r="G127" s="186"/>
    </row>
    <row r="128" spans="1:9" ht="18">
      <c r="B128" s="142" t="s">
        <v>1460</v>
      </c>
      <c r="F128" s="2"/>
      <c r="G128" s="2"/>
    </row>
    <row r="129" spans="2:8" ht="18">
      <c r="B129" s="142"/>
      <c r="F129" s="2"/>
      <c r="G129" s="2"/>
    </row>
    <row r="130" spans="2:8" ht="27" customHeight="1">
      <c r="B130" s="175" t="s">
        <v>1269</v>
      </c>
      <c r="C130" s="175" t="s">
        <v>24</v>
      </c>
      <c r="D130" s="175" t="s">
        <v>1440</v>
      </c>
      <c r="E130" s="175" t="s">
        <v>1439</v>
      </c>
      <c r="F130" s="2"/>
      <c r="G130" s="2"/>
    </row>
    <row r="131" spans="2:8">
      <c r="B131" t="s">
        <v>124</v>
      </c>
      <c r="C131" t="s">
        <v>123</v>
      </c>
      <c r="D131" s="186">
        <f t="shared" ref="D131:D162" si="18">SUMIF($B$37:$B$125,B131,$F$37:$F$125)</f>
        <v>3.3287999999999998E-2</v>
      </c>
      <c r="E131" s="186">
        <f t="shared" ref="E131:E162" si="19">SUMIF($B$37:$B$125,B131,$G$37:$G$125)</f>
        <v>9.1199999999999994E-5</v>
      </c>
      <c r="F131" s="184"/>
      <c r="G131" s="184"/>
      <c r="H131" s="2"/>
    </row>
    <row r="132" spans="2:8">
      <c r="B132" t="s">
        <v>130</v>
      </c>
      <c r="C132" t="s">
        <v>129</v>
      </c>
      <c r="D132" s="186">
        <f t="shared" si="18"/>
        <v>0.26280000000000003</v>
      </c>
      <c r="E132" s="186">
        <f t="shared" si="19"/>
        <v>7.2000000000000005E-4</v>
      </c>
      <c r="F132" s="184"/>
      <c r="G132" s="184"/>
      <c r="H132" s="2"/>
    </row>
    <row r="133" spans="2:8">
      <c r="B133" t="s">
        <v>146</v>
      </c>
      <c r="C133" t="s">
        <v>145</v>
      </c>
      <c r="D133" s="186">
        <f t="shared" si="18"/>
        <v>0.11388000000000001</v>
      </c>
      <c r="E133" s="186">
        <f t="shared" si="19"/>
        <v>3.1199999999999999E-4</v>
      </c>
      <c r="F133" s="184"/>
      <c r="G133" s="184"/>
      <c r="H133" s="2"/>
    </row>
    <row r="134" spans="2:8">
      <c r="B134" t="s">
        <v>164</v>
      </c>
      <c r="C134" t="s">
        <v>163</v>
      </c>
      <c r="D134" s="186">
        <f t="shared" si="18"/>
        <v>1.3139999999999998E-3</v>
      </c>
      <c r="E134" s="186">
        <f t="shared" si="19"/>
        <v>3.5999999999999998E-6</v>
      </c>
      <c r="F134" s="184"/>
      <c r="G134" s="184"/>
      <c r="H134" s="2"/>
    </row>
    <row r="135" spans="2:8">
      <c r="B135" t="s">
        <v>214</v>
      </c>
      <c r="C135" t="s">
        <v>213</v>
      </c>
      <c r="D135" s="186">
        <f t="shared" si="18"/>
        <v>2.6279999999999997E-3</v>
      </c>
      <c r="E135" s="186">
        <f t="shared" si="19"/>
        <v>7.1999999999999997E-6</v>
      </c>
      <c r="F135" s="184"/>
      <c r="G135" s="184"/>
      <c r="H135" s="2"/>
    </row>
    <row r="136" spans="2:8">
      <c r="B136" t="s">
        <v>297</v>
      </c>
      <c r="C136" t="s">
        <v>296</v>
      </c>
      <c r="D136" s="186">
        <f t="shared" si="18"/>
        <v>0.14016000000000001</v>
      </c>
      <c r="E136" s="186">
        <f t="shared" si="19"/>
        <v>3.8400000000000001E-4</v>
      </c>
      <c r="F136" s="184"/>
      <c r="G136" s="184"/>
      <c r="H136" s="2"/>
    </row>
    <row r="137" spans="2:8">
      <c r="B137" t="s">
        <v>305</v>
      </c>
      <c r="C137" t="s">
        <v>304</v>
      </c>
      <c r="D137" s="186">
        <f t="shared" si="18"/>
        <v>5.4311999999999997E-3</v>
      </c>
      <c r="E137" s="186">
        <f t="shared" si="19"/>
        <v>1.488E-5</v>
      </c>
      <c r="F137" s="184"/>
      <c r="G137" s="184"/>
      <c r="H137" s="2"/>
    </row>
    <row r="138" spans="2:8">
      <c r="B138" t="s">
        <v>308</v>
      </c>
      <c r="C138" t="s">
        <v>307</v>
      </c>
      <c r="D138" s="186">
        <f t="shared" si="18"/>
        <v>7.2707999999999995E-2</v>
      </c>
      <c r="E138" s="186">
        <f t="shared" si="19"/>
        <v>1.9920000000000002E-4</v>
      </c>
      <c r="F138" s="184"/>
      <c r="G138" s="184"/>
      <c r="H138" s="2"/>
    </row>
    <row r="139" spans="2:8">
      <c r="B139" t="s">
        <v>611</v>
      </c>
      <c r="C139" t="s">
        <v>610</v>
      </c>
      <c r="D139" s="186">
        <f t="shared" si="18"/>
        <v>0.18395999999999998</v>
      </c>
      <c r="E139" s="186">
        <f t="shared" si="19"/>
        <v>5.04E-4</v>
      </c>
      <c r="F139" s="5"/>
      <c r="G139" s="5"/>
      <c r="H139" s="2"/>
    </row>
    <row r="140" spans="2:8">
      <c r="B140" t="s">
        <v>617</v>
      </c>
      <c r="C140" t="s">
        <v>616</v>
      </c>
      <c r="D140" s="186">
        <f t="shared" si="18"/>
        <v>0.26280000000000003</v>
      </c>
      <c r="E140" s="186">
        <f t="shared" si="19"/>
        <v>7.2000000000000005E-4</v>
      </c>
      <c r="F140" s="5"/>
      <c r="G140" s="5"/>
      <c r="H140" s="2"/>
    </row>
    <row r="141" spans="2:8">
      <c r="B141" t="s">
        <v>623</v>
      </c>
      <c r="C141" t="s">
        <v>622</v>
      </c>
      <c r="D141" s="186">
        <f t="shared" si="18"/>
        <v>1.4892000000000001E-2</v>
      </c>
      <c r="E141" s="186">
        <f t="shared" si="19"/>
        <v>4.0800000000000002E-5</v>
      </c>
      <c r="F141" s="5"/>
      <c r="G141" s="5"/>
      <c r="H141" s="2"/>
    </row>
    <row r="142" spans="2:8">
      <c r="B142" t="s">
        <v>696</v>
      </c>
      <c r="C142" t="s">
        <v>1518</v>
      </c>
      <c r="D142" s="186">
        <f t="shared" si="18"/>
        <v>9.6360000000000001E-2</v>
      </c>
      <c r="E142" s="186">
        <f t="shared" si="19"/>
        <v>2.6400000000000002E-4</v>
      </c>
      <c r="F142" s="5"/>
      <c r="G142" s="5"/>
      <c r="H142" s="2"/>
    </row>
    <row r="143" spans="2:8">
      <c r="B143" t="s">
        <v>832</v>
      </c>
      <c r="C143" t="s">
        <v>831</v>
      </c>
      <c r="D143" s="186">
        <f t="shared" si="18"/>
        <v>622.39921827073579</v>
      </c>
      <c r="E143" s="186">
        <f t="shared" si="19"/>
        <v>1.7052033377280433</v>
      </c>
      <c r="F143" s="5"/>
      <c r="G143" s="5"/>
      <c r="H143" s="2"/>
    </row>
    <row r="144" spans="2:8">
      <c r="B144" t="s">
        <v>1077</v>
      </c>
      <c r="C144" t="s">
        <v>1076</v>
      </c>
      <c r="D144" s="186">
        <f t="shared" si="18"/>
        <v>0.12264</v>
      </c>
      <c r="E144" s="186">
        <f t="shared" si="19"/>
        <v>3.3599999999999998E-4</v>
      </c>
      <c r="F144" s="5"/>
      <c r="G144" s="5"/>
      <c r="H144" s="2"/>
    </row>
    <row r="145" spans="2:9">
      <c r="B145" t="s">
        <v>1083</v>
      </c>
      <c r="C145" t="s">
        <v>1082</v>
      </c>
      <c r="D145" s="186">
        <f t="shared" si="18"/>
        <v>2.8031999999999998E-2</v>
      </c>
      <c r="E145" s="186">
        <f t="shared" si="19"/>
        <v>7.6799999999999997E-5</v>
      </c>
      <c r="F145" s="5"/>
      <c r="G145" s="5"/>
      <c r="H145" s="2"/>
    </row>
    <row r="146" spans="2:9">
      <c r="B146" t="s">
        <v>1119</v>
      </c>
      <c r="C146" t="s">
        <v>1118</v>
      </c>
      <c r="D146" s="186">
        <f t="shared" si="18"/>
        <v>6.5700000000000008E-2</v>
      </c>
      <c r="E146" s="186">
        <f t="shared" si="19"/>
        <v>1.8000000000000001E-4</v>
      </c>
      <c r="F146" s="5"/>
      <c r="G146" s="5"/>
      <c r="H146" s="2"/>
    </row>
    <row r="147" spans="2:9">
      <c r="B147" t="s">
        <v>1231</v>
      </c>
      <c r="C147" t="s">
        <v>1230</v>
      </c>
      <c r="D147" s="186">
        <f t="shared" si="18"/>
        <v>1.4754588235294117</v>
      </c>
      <c r="E147" s="186">
        <f t="shared" si="19"/>
        <v>4.04235294117647E-3</v>
      </c>
      <c r="F147" s="5"/>
      <c r="G147" s="5"/>
      <c r="H147" s="2"/>
    </row>
    <row r="148" spans="2:9">
      <c r="B148" t="s">
        <v>934</v>
      </c>
      <c r="C148" t="s">
        <v>933</v>
      </c>
      <c r="D148" s="186">
        <f t="shared" si="18"/>
        <v>1.3490400000000002E-6</v>
      </c>
      <c r="E148" s="186">
        <f t="shared" si="19"/>
        <v>3.6960000000000005E-9</v>
      </c>
      <c r="F148" s="5"/>
      <c r="G148" s="5"/>
      <c r="H148" s="2"/>
      <c r="I148" s="123"/>
    </row>
    <row r="149" spans="2:9">
      <c r="B149" t="s">
        <v>936</v>
      </c>
      <c r="C149" t="s">
        <v>935</v>
      </c>
      <c r="D149" s="186">
        <f t="shared" si="18"/>
        <v>3.2061599999999996E-6</v>
      </c>
      <c r="E149" s="186">
        <f t="shared" si="19"/>
        <v>8.7839999999999994E-9</v>
      </c>
      <c r="F149" s="5"/>
      <c r="G149" s="5"/>
      <c r="H149" s="2"/>
      <c r="I149" s="123"/>
    </row>
    <row r="150" spans="2:9">
      <c r="B150" t="s">
        <v>938</v>
      </c>
      <c r="C150" t="s">
        <v>937</v>
      </c>
      <c r="D150" s="186">
        <f t="shared" si="18"/>
        <v>6.3718780000000002E-7</v>
      </c>
      <c r="E150" s="186">
        <f t="shared" si="19"/>
        <v>1.74572E-9</v>
      </c>
      <c r="F150" s="5"/>
      <c r="G150" s="5"/>
      <c r="H150" s="2"/>
      <c r="I150" s="123"/>
    </row>
    <row r="151" spans="2:9">
      <c r="B151" t="s">
        <v>42</v>
      </c>
      <c r="C151" t="s">
        <v>958</v>
      </c>
      <c r="D151" s="186">
        <f t="shared" si="18"/>
        <v>1.8834E-2</v>
      </c>
      <c r="E151" s="186">
        <f t="shared" si="19"/>
        <v>5.1600000000000007E-5</v>
      </c>
      <c r="F151" s="5"/>
      <c r="G151" s="5"/>
      <c r="H151" s="2"/>
      <c r="I151" s="123"/>
    </row>
    <row r="152" spans="2:9">
      <c r="B152" t="s">
        <v>45</v>
      </c>
      <c r="C152" t="s">
        <v>959</v>
      </c>
      <c r="D152" s="186">
        <f t="shared" si="18"/>
        <v>4.6515599999999997E-2</v>
      </c>
      <c r="E152" s="186">
        <f t="shared" si="19"/>
        <v>1.2743999999999999E-4</v>
      </c>
      <c r="F152" s="5"/>
      <c r="G152" s="5"/>
      <c r="H152" s="2"/>
      <c r="I152" s="123"/>
    </row>
    <row r="153" spans="2:9">
      <c r="B153" t="s">
        <v>48</v>
      </c>
      <c r="C153" t="s">
        <v>960</v>
      </c>
      <c r="D153" s="186">
        <f t="shared" si="18"/>
        <v>2.5580952000000001E-2</v>
      </c>
      <c r="E153" s="186">
        <f t="shared" si="19"/>
        <v>7.0084800000000004E-5</v>
      </c>
      <c r="F153" s="5"/>
      <c r="G153" s="5"/>
      <c r="H153" s="2"/>
      <c r="I153" s="123"/>
    </row>
    <row r="154" spans="2:9">
      <c r="B154" t="s">
        <v>51</v>
      </c>
      <c r="C154" t="s">
        <v>963</v>
      </c>
      <c r="D154" s="186">
        <f t="shared" si="18"/>
        <v>1.3315200000000001E-2</v>
      </c>
      <c r="E154" s="186">
        <f t="shared" si="19"/>
        <v>3.6480000000000003E-5</v>
      </c>
      <c r="F154" s="5"/>
      <c r="G154" s="5"/>
      <c r="H154" s="2"/>
      <c r="I154" s="123"/>
    </row>
    <row r="155" spans="2:9">
      <c r="B155" t="s">
        <v>54</v>
      </c>
      <c r="C155" t="s">
        <v>964</v>
      </c>
      <c r="D155" s="186">
        <f t="shared" si="18"/>
        <v>2.1578799999999999E-4</v>
      </c>
      <c r="E155" s="186">
        <f t="shared" si="19"/>
        <v>5.9119999999999995E-7</v>
      </c>
      <c r="F155" s="5"/>
      <c r="G155" s="5"/>
      <c r="H155" s="2"/>
      <c r="I155" s="123"/>
    </row>
    <row r="156" spans="2:9">
      <c r="B156" t="s">
        <v>57</v>
      </c>
      <c r="C156" t="s">
        <v>965</v>
      </c>
      <c r="D156" s="186">
        <f t="shared" si="18"/>
        <v>6.6137999999999995E-3</v>
      </c>
      <c r="E156" s="186">
        <f t="shared" si="19"/>
        <v>1.8119999999999999E-5</v>
      </c>
      <c r="F156" s="5"/>
      <c r="G156" s="5"/>
      <c r="H156" s="2"/>
      <c r="I156" s="123"/>
    </row>
    <row r="157" spans="2:9">
      <c r="B157" t="s">
        <v>60</v>
      </c>
      <c r="C157" t="s">
        <v>968</v>
      </c>
      <c r="D157" s="186">
        <f t="shared" si="18"/>
        <v>1.6206E-3</v>
      </c>
      <c r="E157" s="186">
        <f t="shared" si="19"/>
        <v>4.4399999999999998E-6</v>
      </c>
      <c r="F157" s="5"/>
      <c r="G157" s="5"/>
      <c r="H157" s="2"/>
      <c r="I157" s="123"/>
    </row>
    <row r="158" spans="2:9">
      <c r="B158" t="s">
        <v>63</v>
      </c>
      <c r="C158" t="s">
        <v>969</v>
      </c>
      <c r="D158" s="186">
        <f t="shared" si="18"/>
        <v>8.9351999999999997E-4</v>
      </c>
      <c r="E158" s="186">
        <f t="shared" si="19"/>
        <v>2.4480000000000001E-6</v>
      </c>
      <c r="F158" s="5"/>
      <c r="G158" s="5"/>
      <c r="H158" s="2"/>
      <c r="I158" s="123"/>
    </row>
    <row r="159" spans="2:9">
      <c r="B159" t="s">
        <v>66</v>
      </c>
      <c r="C159" t="s">
        <v>972</v>
      </c>
      <c r="D159" s="186">
        <f t="shared" si="18"/>
        <v>1.28772E-3</v>
      </c>
      <c r="E159" s="186">
        <f t="shared" si="19"/>
        <v>3.5279999999999999E-6</v>
      </c>
      <c r="F159" s="5"/>
      <c r="G159" s="5"/>
      <c r="H159" s="2"/>
      <c r="I159" s="123"/>
    </row>
    <row r="160" spans="2:9">
      <c r="B160" t="s">
        <v>73</v>
      </c>
      <c r="C160" t="s">
        <v>975</v>
      </c>
      <c r="D160" s="186">
        <f t="shared" si="18"/>
        <v>1.9797599999999999E-2</v>
      </c>
      <c r="E160" s="186">
        <f t="shared" si="19"/>
        <v>5.4239999999999996E-5</v>
      </c>
      <c r="F160" s="5"/>
      <c r="G160" s="5"/>
      <c r="H160" s="2"/>
      <c r="I160" s="123"/>
    </row>
    <row r="161" spans="2:9">
      <c r="B161" t="s">
        <v>79</v>
      </c>
      <c r="C161" t="s">
        <v>995</v>
      </c>
      <c r="D161" s="186">
        <f t="shared" si="18"/>
        <v>5.81664E-2</v>
      </c>
      <c r="E161" s="186">
        <f t="shared" si="19"/>
        <v>1.5935999999999999E-4</v>
      </c>
      <c r="F161" s="5"/>
      <c r="G161" s="5"/>
      <c r="H161" s="2"/>
      <c r="I161" s="123"/>
    </row>
    <row r="162" spans="2:9">
      <c r="B162" t="s">
        <v>82</v>
      </c>
      <c r="C162" t="s">
        <v>996</v>
      </c>
      <c r="D162" s="186">
        <f t="shared" si="18"/>
        <v>7.87524E-2</v>
      </c>
      <c r="E162" s="186">
        <f t="shared" si="19"/>
        <v>2.1576000000000001E-4</v>
      </c>
      <c r="F162" s="5"/>
      <c r="G162" s="5"/>
      <c r="H162" s="2"/>
      <c r="I162" s="123"/>
    </row>
    <row r="163" spans="2:9">
      <c r="B163" t="s">
        <v>88</v>
      </c>
      <c r="C163" t="s">
        <v>998</v>
      </c>
      <c r="D163" s="186">
        <f t="shared" ref="D163:D194" si="20">SUMIF($B$37:$B$125,B163,$F$37:$F$125)</f>
        <v>1.8746400000000001</v>
      </c>
      <c r="E163" s="186">
        <f t="shared" ref="E163:E194" si="21">SUMIF($B$37:$B$125,B163,$G$37:$G$125)</f>
        <v>5.1359999999999999E-3</v>
      </c>
      <c r="F163" s="5"/>
      <c r="G163" s="5"/>
      <c r="H163" s="2"/>
      <c r="I163" s="123"/>
    </row>
    <row r="164" spans="2:9">
      <c r="B164" t="s">
        <v>693</v>
      </c>
      <c r="C164" t="s">
        <v>692</v>
      </c>
      <c r="D164" s="186">
        <f t="shared" si="20"/>
        <v>24.527999999999995</v>
      </c>
      <c r="E164" s="186">
        <f t="shared" si="21"/>
        <v>6.7199999999999982E-2</v>
      </c>
      <c r="F164" s="5"/>
      <c r="G164" s="5"/>
      <c r="H164" s="2"/>
      <c r="I164" s="123"/>
    </row>
    <row r="165" spans="2:9">
      <c r="B165" t="s">
        <v>94</v>
      </c>
      <c r="C165" t="s">
        <v>1000</v>
      </c>
      <c r="D165" s="186">
        <f t="shared" si="20"/>
        <v>0.22775999999999999</v>
      </c>
      <c r="E165" s="186">
        <f t="shared" si="21"/>
        <v>6.2399999999999999E-4</v>
      </c>
      <c r="F165" s="5"/>
      <c r="G165" s="5"/>
      <c r="H165" s="2"/>
      <c r="I165" s="123"/>
    </row>
    <row r="166" spans="2:9">
      <c r="B166" t="s">
        <v>97</v>
      </c>
      <c r="C166" t="s">
        <v>1001</v>
      </c>
      <c r="D166" s="186">
        <f t="shared" si="20"/>
        <v>3.8806800000000002E-2</v>
      </c>
      <c r="E166" s="186">
        <f t="shared" si="21"/>
        <v>1.0632E-4</v>
      </c>
      <c r="F166" s="5"/>
      <c r="G166" s="5"/>
      <c r="H166" s="2"/>
      <c r="I166" s="123"/>
    </row>
    <row r="167" spans="2:9">
      <c r="B167" t="s">
        <v>867</v>
      </c>
      <c r="C167" t="s">
        <v>866</v>
      </c>
      <c r="D167" s="186">
        <f t="shared" si="20"/>
        <v>1.0512E-4</v>
      </c>
      <c r="E167" s="186">
        <f t="shared" si="21"/>
        <v>2.8799999999999998E-7</v>
      </c>
      <c r="F167" s="5"/>
      <c r="G167" s="5"/>
      <c r="H167" s="2"/>
      <c r="I167" s="123"/>
    </row>
    <row r="168" spans="2:9">
      <c r="B168" t="s">
        <v>869</v>
      </c>
      <c r="C168" t="s">
        <v>868</v>
      </c>
      <c r="D168" s="186">
        <f t="shared" si="20"/>
        <v>6.9554400000000006E-5</v>
      </c>
      <c r="E168" s="186">
        <f t="shared" si="21"/>
        <v>1.9056000000000001E-7</v>
      </c>
      <c r="F168" s="5"/>
      <c r="G168" s="5"/>
      <c r="H168" s="2"/>
      <c r="I168" s="123"/>
    </row>
    <row r="169" spans="2:9">
      <c r="B169" t="s">
        <v>871</v>
      </c>
      <c r="C169" t="s">
        <v>870</v>
      </c>
      <c r="D169" s="186">
        <f t="shared" si="20"/>
        <v>5.8779600000000002E-5</v>
      </c>
      <c r="E169" s="186">
        <f t="shared" si="21"/>
        <v>1.6104000000000002E-7</v>
      </c>
      <c r="F169" s="5"/>
      <c r="G169" s="5"/>
      <c r="H169" s="2"/>
      <c r="I169" s="123"/>
    </row>
    <row r="170" spans="2:9">
      <c r="B170" t="s">
        <v>873</v>
      </c>
      <c r="C170" t="s">
        <v>872</v>
      </c>
      <c r="D170" s="186">
        <f t="shared" si="20"/>
        <v>2.3564400000000001E-5</v>
      </c>
      <c r="E170" s="186">
        <f t="shared" si="21"/>
        <v>6.4560000000000004E-8</v>
      </c>
      <c r="F170" s="5"/>
      <c r="G170" s="5"/>
      <c r="H170" s="2"/>
      <c r="I170" s="123"/>
    </row>
    <row r="171" spans="2:9">
      <c r="B171" t="s">
        <v>875</v>
      </c>
      <c r="C171" t="s">
        <v>874</v>
      </c>
      <c r="D171" s="186">
        <f t="shared" si="20"/>
        <v>2.4703200000000001E-5</v>
      </c>
      <c r="E171" s="186">
        <f t="shared" si="21"/>
        <v>6.7680000000000008E-8</v>
      </c>
      <c r="F171" s="5"/>
      <c r="G171" s="5"/>
      <c r="H171" s="2"/>
      <c r="I171" s="123"/>
    </row>
    <row r="172" spans="2:9">
      <c r="B172" t="s">
        <v>877</v>
      </c>
      <c r="C172" t="s">
        <v>876</v>
      </c>
      <c r="D172" s="186">
        <f t="shared" si="20"/>
        <v>1.1826000000000002E-5</v>
      </c>
      <c r="E172" s="186">
        <f t="shared" si="21"/>
        <v>3.2399999999999999E-8</v>
      </c>
      <c r="F172" s="5"/>
      <c r="G172" s="5"/>
      <c r="H172" s="2"/>
      <c r="I172" s="123"/>
    </row>
    <row r="173" spans="2:9">
      <c r="B173" t="s">
        <v>879</v>
      </c>
      <c r="C173" t="s">
        <v>878</v>
      </c>
      <c r="D173" s="186">
        <f t="shared" si="20"/>
        <v>1.4454E-6</v>
      </c>
      <c r="E173" s="186">
        <f t="shared" si="21"/>
        <v>3.9600000000000004E-9</v>
      </c>
      <c r="F173" s="5"/>
      <c r="G173" s="5"/>
      <c r="H173" s="2"/>
      <c r="I173" s="123"/>
    </row>
    <row r="174" spans="2:9">
      <c r="B174" t="s">
        <v>881</v>
      </c>
      <c r="C174" t="s">
        <v>880</v>
      </c>
      <c r="D174" s="186">
        <f t="shared" si="20"/>
        <v>1.2401240000000001E-7</v>
      </c>
      <c r="E174" s="186">
        <f t="shared" si="21"/>
        <v>3.3976000000000002E-10</v>
      </c>
      <c r="F174" s="5"/>
      <c r="G174" s="5"/>
      <c r="H174" s="2"/>
      <c r="I174" s="123"/>
    </row>
    <row r="175" spans="2:9">
      <c r="B175" t="s">
        <v>883</v>
      </c>
      <c r="C175" t="s">
        <v>882</v>
      </c>
      <c r="D175" s="186">
        <f t="shared" si="20"/>
        <v>1.20012E-5</v>
      </c>
      <c r="E175" s="186">
        <f t="shared" si="21"/>
        <v>3.2880000000000001E-8</v>
      </c>
      <c r="F175" s="5"/>
      <c r="G175" s="5"/>
      <c r="H175" s="2"/>
      <c r="I175" s="123"/>
    </row>
    <row r="176" spans="2:9">
      <c r="B176" t="s">
        <v>885</v>
      </c>
      <c r="C176" t="s">
        <v>884</v>
      </c>
      <c r="D176" s="186">
        <f t="shared" si="20"/>
        <v>2.85576E-6</v>
      </c>
      <c r="E176" s="186">
        <f t="shared" si="21"/>
        <v>7.8240000000000011E-9</v>
      </c>
      <c r="F176" s="5"/>
      <c r="G176" s="5"/>
      <c r="H176" s="2"/>
      <c r="I176" s="123"/>
    </row>
    <row r="177" spans="2:9">
      <c r="B177" t="s">
        <v>889</v>
      </c>
      <c r="C177" t="s">
        <v>888</v>
      </c>
      <c r="D177" s="186">
        <f t="shared" si="20"/>
        <v>7.25328E-6</v>
      </c>
      <c r="E177" s="186">
        <f t="shared" si="21"/>
        <v>1.9872000000000001E-8</v>
      </c>
      <c r="F177" s="5"/>
      <c r="G177" s="5"/>
      <c r="H177" s="2"/>
      <c r="I177" s="123"/>
    </row>
    <row r="178" spans="2:9">
      <c r="B178" t="s">
        <v>891</v>
      </c>
      <c r="C178" t="s">
        <v>890</v>
      </c>
      <c r="D178" s="186">
        <f t="shared" si="20"/>
        <v>1.85274E-7</v>
      </c>
      <c r="E178" s="186">
        <f t="shared" si="21"/>
        <v>5.0759999999999998E-10</v>
      </c>
      <c r="F178" s="5"/>
      <c r="G178" s="5"/>
      <c r="H178" s="2"/>
      <c r="I178" s="123"/>
    </row>
    <row r="179" spans="2:9">
      <c r="B179" t="s">
        <v>895</v>
      </c>
      <c r="C179" t="s">
        <v>894</v>
      </c>
      <c r="D179" s="186">
        <f t="shared" si="20"/>
        <v>5.9845400000000007E-7</v>
      </c>
      <c r="E179" s="186">
        <f t="shared" si="21"/>
        <v>1.6396E-9</v>
      </c>
      <c r="F179" s="5"/>
      <c r="G179" s="5"/>
      <c r="H179" s="2"/>
      <c r="I179" s="1"/>
    </row>
    <row r="180" spans="2:9">
      <c r="B180" t="s">
        <v>897</v>
      </c>
      <c r="C180" t="s">
        <v>896</v>
      </c>
      <c r="D180" s="186">
        <f t="shared" si="20"/>
        <v>4.8442799999999998E-6</v>
      </c>
      <c r="E180" s="186">
        <f t="shared" si="21"/>
        <v>1.3271999999999998E-8</v>
      </c>
      <c r="F180" s="5"/>
      <c r="G180" s="5"/>
      <c r="H180" s="2"/>
      <c r="I180" s="1"/>
    </row>
    <row r="181" spans="2:9">
      <c r="B181" t="s">
        <v>899</v>
      </c>
      <c r="C181" t="s">
        <v>898</v>
      </c>
      <c r="D181" s="186">
        <f t="shared" si="20"/>
        <v>4.3624800000000005E-6</v>
      </c>
      <c r="E181" s="186">
        <f t="shared" si="21"/>
        <v>1.1952E-8</v>
      </c>
      <c r="F181" s="5"/>
      <c r="G181" s="5"/>
      <c r="H181" s="2"/>
      <c r="I181" s="1"/>
    </row>
    <row r="182" spans="2:9">
      <c r="B182" t="s">
        <v>901</v>
      </c>
      <c r="C182" t="s">
        <v>900</v>
      </c>
      <c r="D182" s="186">
        <f t="shared" si="20"/>
        <v>4.00624E-7</v>
      </c>
      <c r="E182" s="186">
        <f t="shared" si="21"/>
        <v>1.0976E-9</v>
      </c>
      <c r="F182" s="5"/>
      <c r="G182" s="5"/>
      <c r="H182" s="2"/>
      <c r="I182" s="1"/>
    </row>
    <row r="183" spans="2:9">
      <c r="B183" t="s">
        <v>905</v>
      </c>
      <c r="C183" t="s">
        <v>904</v>
      </c>
      <c r="D183" s="186">
        <f t="shared" si="20"/>
        <v>1.3461199999999999E-7</v>
      </c>
      <c r="E183" s="186">
        <f t="shared" si="21"/>
        <v>3.6880000000000001E-10</v>
      </c>
      <c r="H183" s="2"/>
      <c r="I183" s="1"/>
    </row>
    <row r="184" spans="2:9">
      <c r="B184" t="s">
        <v>907</v>
      </c>
      <c r="C184" t="s">
        <v>906</v>
      </c>
      <c r="D184" s="186">
        <f t="shared" si="20"/>
        <v>3.1185599999999998E-7</v>
      </c>
      <c r="E184" s="186">
        <f t="shared" si="21"/>
        <v>8.5439999999999997E-10</v>
      </c>
    </row>
    <row r="185" spans="2:9">
      <c r="B185" t="s">
        <v>909</v>
      </c>
      <c r="C185" t="s">
        <v>908</v>
      </c>
      <c r="D185" s="186">
        <f t="shared" si="20"/>
        <v>4.8515800000000004E-7</v>
      </c>
      <c r="E185" s="186">
        <f t="shared" si="21"/>
        <v>1.3291999999999999E-9</v>
      </c>
    </row>
    <row r="186" spans="2:9">
      <c r="B186" t="s">
        <v>911</v>
      </c>
      <c r="C186" t="s">
        <v>910</v>
      </c>
      <c r="D186" s="186">
        <f t="shared" si="20"/>
        <v>1.8308399999999999E-6</v>
      </c>
      <c r="E186" s="186">
        <f t="shared" si="21"/>
        <v>5.016E-9</v>
      </c>
    </row>
    <row r="187" spans="2:9">
      <c r="B187" t="s">
        <v>913</v>
      </c>
      <c r="C187" t="s">
        <v>912</v>
      </c>
      <c r="D187" s="186">
        <f t="shared" si="20"/>
        <v>7.6752199999999993E-7</v>
      </c>
      <c r="E187" s="186">
        <f t="shared" si="21"/>
        <v>2.1027999999999998E-9</v>
      </c>
    </row>
    <row r="188" spans="2:9">
      <c r="B188" t="s">
        <v>864</v>
      </c>
      <c r="C188" t="s">
        <v>863</v>
      </c>
      <c r="D188" s="186">
        <f t="shared" si="20"/>
        <v>1.07748E-3</v>
      </c>
      <c r="E188" s="186">
        <f t="shared" si="21"/>
        <v>2.9519999999999999E-6</v>
      </c>
    </row>
    <row r="189" spans="2:9">
      <c r="B189" t="s">
        <v>41</v>
      </c>
      <c r="C189" t="s">
        <v>40</v>
      </c>
      <c r="D189" s="186">
        <f t="shared" si="20"/>
        <v>12.332135138324611</v>
      </c>
      <c r="E189" s="186">
        <f t="shared" si="21"/>
        <v>3.3786671611848243E-2</v>
      </c>
    </row>
    <row r="190" spans="2:9">
      <c r="B190" t="s">
        <v>56</v>
      </c>
      <c r="C190" t="s">
        <v>55</v>
      </c>
      <c r="D190" s="186">
        <f t="shared" si="20"/>
        <v>0.4815552352941177</v>
      </c>
      <c r="E190" s="186">
        <f t="shared" si="21"/>
        <v>1.3193294117647058E-3</v>
      </c>
    </row>
    <row r="191" spans="2:9">
      <c r="B191" t="s">
        <v>148</v>
      </c>
      <c r="C191" t="s">
        <v>147</v>
      </c>
      <c r="D191" s="186">
        <f t="shared" si="20"/>
        <v>57.85385740934494</v>
      </c>
      <c r="E191" s="186">
        <f t="shared" si="21"/>
        <v>0.15850371892971213</v>
      </c>
    </row>
    <row r="192" spans="2:9">
      <c r="B192" t="s">
        <v>194</v>
      </c>
      <c r="C192" t="s">
        <v>193</v>
      </c>
      <c r="D192" s="186">
        <f t="shared" si="20"/>
        <v>14.94675</v>
      </c>
      <c r="E192" s="186">
        <f t="shared" si="21"/>
        <v>4.095E-2</v>
      </c>
    </row>
    <row r="193" spans="2:5">
      <c r="B193" t="s">
        <v>273</v>
      </c>
      <c r="C193" t="s">
        <v>272</v>
      </c>
      <c r="D193" s="186">
        <f t="shared" si="20"/>
        <v>6.6148950000000006</v>
      </c>
      <c r="E193" s="186">
        <f t="shared" si="21"/>
        <v>1.8123E-2</v>
      </c>
    </row>
    <row r="194" spans="2:5">
      <c r="B194" t="s">
        <v>69</v>
      </c>
      <c r="C194" t="s">
        <v>70</v>
      </c>
      <c r="D194" s="186">
        <f t="shared" si="20"/>
        <v>8.96805E-3</v>
      </c>
      <c r="E194" s="186">
        <f t="shared" si="21"/>
        <v>2.4569999999999997E-5</v>
      </c>
    </row>
    <row r="195" spans="2:5">
      <c r="B195" t="s">
        <v>536</v>
      </c>
      <c r="C195" t="s">
        <v>535</v>
      </c>
      <c r="D195" s="186">
        <f t="shared" ref="D195:D204" si="22">SUMIF($B$37:$B$125,B195,$F$37:$F$125)</f>
        <v>95.044773344130533</v>
      </c>
      <c r="E195" s="186">
        <f t="shared" ref="E195:E204" si="23">SUMIF($B$37:$B$125,B195,$G$37:$G$125)</f>
        <v>0.26039663929898776</v>
      </c>
    </row>
    <row r="196" spans="2:5">
      <c r="B196" t="s">
        <v>1047</v>
      </c>
      <c r="C196" t="s">
        <v>1046</v>
      </c>
      <c r="D196" s="186">
        <f t="shared" si="22"/>
        <v>12.899617552022963</v>
      </c>
      <c r="E196" s="186">
        <f t="shared" si="23"/>
        <v>3.5341417950747848E-2</v>
      </c>
    </row>
    <row r="197" spans="2:5">
      <c r="B197" t="s">
        <v>1129</v>
      </c>
      <c r="C197" t="s">
        <v>1128</v>
      </c>
      <c r="D197" s="186">
        <f t="shared" si="22"/>
        <v>91.429227644518889</v>
      </c>
      <c r="E197" s="186">
        <f t="shared" si="23"/>
        <v>0.25049103464251754</v>
      </c>
    </row>
    <row r="198" spans="2:5">
      <c r="B198" t="s">
        <v>1223</v>
      </c>
      <c r="C198" t="s">
        <v>1222</v>
      </c>
      <c r="D198" s="186">
        <f t="shared" si="22"/>
        <v>37.733705583248231</v>
      </c>
      <c r="E198" s="186">
        <f t="shared" si="23"/>
        <v>0.10338001529657048</v>
      </c>
    </row>
    <row r="199" spans="2:5">
      <c r="B199" t="s">
        <v>585</v>
      </c>
      <c r="C199" t="s">
        <v>584</v>
      </c>
      <c r="D199" s="186">
        <f t="shared" si="22"/>
        <v>142.79894999999999</v>
      </c>
      <c r="E199" s="186">
        <f t="shared" si="23"/>
        <v>0.39122999999999997</v>
      </c>
    </row>
    <row r="200" spans="2:5">
      <c r="B200" t="s">
        <v>499</v>
      </c>
      <c r="C200" t="s">
        <v>498</v>
      </c>
      <c r="D200" s="186">
        <f t="shared" si="22"/>
        <v>18.600638762854167</v>
      </c>
      <c r="E200" s="186">
        <f t="shared" si="23"/>
        <v>5.0960654144805953E-2</v>
      </c>
    </row>
    <row r="201" spans="2:5">
      <c r="B201" t="s">
        <v>1262</v>
      </c>
      <c r="C201" t="s">
        <v>590</v>
      </c>
      <c r="D201" s="186">
        <f t="shared" si="22"/>
        <v>246.71761393624416</v>
      </c>
      <c r="E201" s="186">
        <f t="shared" si="23"/>
        <v>0.67593866831847715</v>
      </c>
    </row>
    <row r="202" spans="2:5">
      <c r="B202" t="s">
        <v>814</v>
      </c>
      <c r="C202" t="s">
        <v>813</v>
      </c>
      <c r="D202" s="186">
        <f t="shared" si="22"/>
        <v>4.2398878839413801</v>
      </c>
      <c r="E202" s="186">
        <f t="shared" si="23"/>
        <v>1.1616131188880495E-2</v>
      </c>
    </row>
    <row r="203" spans="2:5">
      <c r="B203" t="s">
        <v>110</v>
      </c>
      <c r="C203" t="s">
        <v>109</v>
      </c>
      <c r="D203" s="186">
        <f t="shared" si="22"/>
        <v>27.482352941176469</v>
      </c>
      <c r="E203" s="186">
        <f t="shared" si="23"/>
        <v>7.5294117647058831E-2</v>
      </c>
    </row>
    <row r="204" spans="2:5">
      <c r="B204" t="s">
        <v>579</v>
      </c>
      <c r="C204" t="s">
        <v>578</v>
      </c>
      <c r="D204" s="186">
        <f t="shared" si="22"/>
        <v>5.4105882352941177E-2</v>
      </c>
      <c r="E204" s="186">
        <f t="shared" si="23"/>
        <v>1.4823529411764707E-4</v>
      </c>
    </row>
    <row r="205" spans="2:5">
      <c r="B205" t="s">
        <v>1573</v>
      </c>
      <c r="C205" s="196" t="s">
        <v>1592</v>
      </c>
      <c r="D205" s="195">
        <f>Tabl_B1a_SO3!B16*C11</f>
        <v>4713.3894179409281</v>
      </c>
      <c r="E205" s="195">
        <f>Tabl_B1a_SO3!B16*C10</f>
        <v>12.913395665591583</v>
      </c>
    </row>
    <row r="206" spans="2:5">
      <c r="C206" s="137" t="s">
        <v>1351</v>
      </c>
      <c r="D206" s="185">
        <f>SUM(D131:D205)</f>
        <v>6134.8519367993867</v>
      </c>
      <c r="E206" s="185">
        <f>SUM(E131:E205)</f>
        <v>16.807813525477769</v>
      </c>
    </row>
  </sheetData>
  <mergeCells count="8">
    <mergeCell ref="I95:I105"/>
    <mergeCell ref="I106:I115"/>
    <mergeCell ref="I116:I125"/>
    <mergeCell ref="A37:A53"/>
    <mergeCell ref="A95:A105"/>
    <mergeCell ref="A106:A115"/>
    <mergeCell ref="A116:A125"/>
    <mergeCell ref="A54:A94"/>
  </mergeCells>
  <phoneticPr fontId="6"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724C2-3E57-2349-8CC2-46D4894F8118}">
  <sheetPr codeName="Sheet16"/>
  <dimension ref="A1:D16"/>
  <sheetViews>
    <sheetView workbookViewId="0">
      <selection activeCell="B42" sqref="B42"/>
    </sheetView>
  </sheetViews>
  <sheetFormatPr defaultColWidth="11" defaultRowHeight="15.6"/>
  <cols>
    <col min="1" max="1" width="45.69921875" customWidth="1"/>
    <col min="2" max="2" width="23" customWidth="1"/>
    <col min="3" max="3" width="11" style="2"/>
    <col min="7" max="7" width="21.796875" customWidth="1"/>
    <col min="8" max="8" width="19" customWidth="1"/>
  </cols>
  <sheetData>
    <row r="1" spans="1:4" ht="18">
      <c r="A1" s="157" t="s">
        <v>1526</v>
      </c>
      <c r="B1" s="33"/>
    </row>
    <row r="2" spans="1:4" ht="18">
      <c r="A2" s="157" t="s">
        <v>1579</v>
      </c>
    </row>
    <row r="4" spans="1:4">
      <c r="A4" s="3" t="s">
        <v>1551</v>
      </c>
      <c r="B4" t="s">
        <v>1552</v>
      </c>
    </row>
    <row r="5" spans="1:4">
      <c r="A5" s="3" t="s">
        <v>29</v>
      </c>
      <c r="B5" t="s">
        <v>1398</v>
      </c>
    </row>
    <row r="6" spans="1:4">
      <c r="A6" s="3" t="s">
        <v>30</v>
      </c>
      <c r="B6" t="s">
        <v>1553</v>
      </c>
    </row>
    <row r="8" spans="1:4" ht="18">
      <c r="A8" s="141" t="s">
        <v>1578</v>
      </c>
    </row>
    <row r="10" spans="1:4">
      <c r="A10" t="s">
        <v>1580</v>
      </c>
      <c r="B10">
        <v>4.87</v>
      </c>
      <c r="C10" s="2" t="s">
        <v>27</v>
      </c>
      <c r="D10" t="s">
        <v>1584</v>
      </c>
    </row>
    <row r="11" spans="1:4">
      <c r="A11" t="s">
        <v>1581</v>
      </c>
      <c r="B11" s="10">
        <f>B10*(32.065/64.066)</f>
        <v>2.4374324914931473</v>
      </c>
      <c r="C11" s="2" t="s">
        <v>27</v>
      </c>
    </row>
    <row r="12" spans="1:4">
      <c r="A12" t="s">
        <v>1582</v>
      </c>
      <c r="B12" s="10">
        <f>B11*1.05</f>
        <v>2.5593041160678047</v>
      </c>
      <c r="C12" s="2" t="s">
        <v>27</v>
      </c>
      <c r="D12" t="s">
        <v>1583</v>
      </c>
    </row>
    <row r="13" spans="1:4">
      <c r="A13" t="s">
        <v>1585</v>
      </c>
      <c r="B13">
        <v>1.75</v>
      </c>
      <c r="C13" s="2" t="s">
        <v>27</v>
      </c>
      <c r="D13" t="s">
        <v>1586</v>
      </c>
    </row>
    <row r="14" spans="1:4">
      <c r="A14" t="s">
        <v>1587</v>
      </c>
      <c r="B14" s="10">
        <f>SUM(B12:B13)</f>
        <v>4.3093041160678052</v>
      </c>
      <c r="C14" s="2" t="s">
        <v>27</v>
      </c>
    </row>
    <row r="15" spans="1:4">
      <c r="A15" t="s">
        <v>1588</v>
      </c>
      <c r="B15" s="10">
        <f>B14*0.05</f>
        <v>0.21546520580339026</v>
      </c>
      <c r="C15" s="2" t="s">
        <v>1589</v>
      </c>
    </row>
    <row r="16" spans="1:4">
      <c r="A16" t="s">
        <v>1588</v>
      </c>
      <c r="B16" s="10">
        <f>B15*(80.06/32.06)</f>
        <v>0.53805815273298263</v>
      </c>
      <c r="C16" s="2" t="s">
        <v>1590</v>
      </c>
    </row>
  </sheetData>
  <phoneticPr fontId="6"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2DC4-DF2F-0345-8463-CBD503A3EB04}">
  <sheetPr codeName="Sheet3"/>
  <dimension ref="A1:Y76"/>
  <sheetViews>
    <sheetView topLeftCell="A25" workbookViewId="0">
      <selection activeCell="D75" sqref="D75"/>
    </sheetView>
  </sheetViews>
  <sheetFormatPr defaultColWidth="11" defaultRowHeight="15.6"/>
  <cols>
    <col min="1" max="1" width="23" customWidth="1"/>
    <col min="2" max="2" width="21.69921875" customWidth="1"/>
    <col min="3" max="3" width="14.796875" customWidth="1"/>
    <col min="4" max="4" width="13.796875" customWidth="1"/>
    <col min="6" max="6" width="11.69921875" customWidth="1"/>
    <col min="11" max="11" width="12.69921875" bestFit="1" customWidth="1"/>
    <col min="12" max="12" width="14.796875" bestFit="1" customWidth="1"/>
    <col min="13" max="13" width="12.69921875" bestFit="1" customWidth="1"/>
  </cols>
  <sheetData>
    <row r="1" spans="1:11" ht="18">
      <c r="A1" s="157" t="s">
        <v>1526</v>
      </c>
      <c r="D1" s="33"/>
    </row>
    <row r="2" spans="1:11" ht="18">
      <c r="A2" s="157" t="s">
        <v>1532</v>
      </c>
    </row>
    <row r="4" spans="1:11">
      <c r="B4" s="3" t="s">
        <v>1551</v>
      </c>
      <c r="C4" t="s">
        <v>1560</v>
      </c>
    </row>
    <row r="5" spans="1:11">
      <c r="B5" s="3" t="s">
        <v>29</v>
      </c>
      <c r="C5" t="s">
        <v>1563</v>
      </c>
    </row>
    <row r="6" spans="1:11">
      <c r="B6" s="3" t="s">
        <v>30</v>
      </c>
      <c r="C6" t="s">
        <v>18</v>
      </c>
    </row>
    <row r="9" spans="1:11" s="14" customFormat="1">
      <c r="A9" s="13" t="s">
        <v>1425</v>
      </c>
    </row>
    <row r="10" spans="1:11" s="14" customFormat="1" ht="13.2"/>
    <row r="11" spans="1:11" s="14" customFormat="1" ht="41.4">
      <c r="A11" s="22" t="s">
        <v>1561</v>
      </c>
      <c r="B11" s="22" t="s">
        <v>1550</v>
      </c>
      <c r="C11" s="22" t="s">
        <v>1272</v>
      </c>
      <c r="D11" s="22" t="s">
        <v>1276</v>
      </c>
      <c r="E11" s="22" t="s">
        <v>1279</v>
      </c>
      <c r="F11" s="22" t="s">
        <v>1280</v>
      </c>
      <c r="G11" s="22" t="s">
        <v>1277</v>
      </c>
      <c r="H11" s="22" t="s">
        <v>1281</v>
      </c>
      <c r="I11" s="23" t="s">
        <v>1282</v>
      </c>
      <c r="J11" s="15"/>
    </row>
    <row r="12" spans="1:11" s="14" customFormat="1" ht="13.8">
      <c r="A12" s="14" t="s">
        <v>1278</v>
      </c>
      <c r="B12" s="16" t="s">
        <v>1274</v>
      </c>
      <c r="C12" s="18">
        <v>80</v>
      </c>
      <c r="D12" s="24">
        <v>2.5000000000000001E-4</v>
      </c>
      <c r="E12" s="18">
        <v>8760</v>
      </c>
      <c r="F12" s="18">
        <v>24</v>
      </c>
      <c r="G12" s="25">
        <v>0.1</v>
      </c>
      <c r="H12" s="20">
        <f t="shared" ref="H12:H35" si="0">C12*D12*E12*2.2026*G12</f>
        <v>38.589552000000005</v>
      </c>
      <c r="I12" s="21">
        <f t="shared" ref="I12:I35" si="1">C12*D12*F12*2.206*G12</f>
        <v>0.10588800000000001</v>
      </c>
      <c r="J12" s="116"/>
      <c r="K12" s="116"/>
    </row>
    <row r="13" spans="1:11" s="14" customFormat="1" ht="13.8">
      <c r="A13" s="14" t="s">
        <v>1278</v>
      </c>
      <c r="B13" s="16" t="s">
        <v>1273</v>
      </c>
      <c r="C13" s="18">
        <v>15</v>
      </c>
      <c r="D13" s="24">
        <v>1.09E-2</v>
      </c>
      <c r="E13" s="18">
        <v>8760</v>
      </c>
      <c r="F13" s="18">
        <v>24</v>
      </c>
      <c r="G13" s="25">
        <v>0.1</v>
      </c>
      <c r="H13" s="20">
        <f t="shared" si="0"/>
        <v>315.46958760000001</v>
      </c>
      <c r="I13" s="21">
        <f t="shared" si="1"/>
        <v>0.86563440000000014</v>
      </c>
      <c r="J13" s="15"/>
      <c r="K13" s="15"/>
    </row>
    <row r="14" spans="1:11" s="14" customFormat="1" ht="13.8">
      <c r="A14" s="14" t="s">
        <v>1278</v>
      </c>
      <c r="B14" s="16" t="s">
        <v>1291</v>
      </c>
      <c r="C14" s="18">
        <v>2</v>
      </c>
      <c r="D14" s="24">
        <v>0.114</v>
      </c>
      <c r="E14" s="18">
        <v>8760</v>
      </c>
      <c r="F14" s="18">
        <v>24</v>
      </c>
      <c r="G14" s="25">
        <v>0.1</v>
      </c>
      <c r="H14" s="20">
        <f t="shared" ref="H14" si="2">C14*D14*E14*2.2026*G14</f>
        <v>439.92089280000005</v>
      </c>
      <c r="I14" s="21">
        <f t="shared" ref="I14" si="3">C14*D14*F14*2.206*G14</f>
        <v>1.2071232000000001</v>
      </c>
      <c r="J14" s="15"/>
      <c r="K14" s="15"/>
    </row>
    <row r="15" spans="1:11" s="14" customFormat="1" ht="13.8">
      <c r="A15" s="14" t="s">
        <v>1283</v>
      </c>
      <c r="B15" s="16" t="s">
        <v>1274</v>
      </c>
      <c r="C15" s="18">
        <v>200</v>
      </c>
      <c r="D15" s="24">
        <v>2.5000000000000001E-4</v>
      </c>
      <c r="E15" s="18">
        <v>8760</v>
      </c>
      <c r="F15" s="18">
        <v>24</v>
      </c>
      <c r="G15" s="25">
        <v>0.1</v>
      </c>
      <c r="H15" s="20">
        <f t="shared" si="0"/>
        <v>96.473880000000008</v>
      </c>
      <c r="I15" s="21">
        <f t="shared" si="1"/>
        <v>0.26472000000000001</v>
      </c>
      <c r="J15" s="116"/>
      <c r="K15" s="116"/>
    </row>
    <row r="16" spans="1:11" s="14" customFormat="1" ht="13.8">
      <c r="A16" s="14" t="s">
        <v>1283</v>
      </c>
      <c r="B16" s="16" t="s">
        <v>1273</v>
      </c>
      <c r="C16" s="18">
        <v>40</v>
      </c>
      <c r="D16" s="24">
        <v>1.09E-2</v>
      </c>
      <c r="E16" s="18">
        <v>8760</v>
      </c>
      <c r="F16" s="18">
        <v>24</v>
      </c>
      <c r="G16" s="25">
        <v>0.1</v>
      </c>
      <c r="H16" s="20">
        <f t="shared" si="0"/>
        <v>841.25223360000007</v>
      </c>
      <c r="I16" s="21">
        <f t="shared" si="1"/>
        <v>2.3083584000000004</v>
      </c>
      <c r="J16" s="15"/>
      <c r="K16" s="15"/>
    </row>
    <row r="17" spans="1:15" s="14" customFormat="1" ht="13.8">
      <c r="A17" s="14" t="s">
        <v>1283</v>
      </c>
      <c r="B17" s="16" t="s">
        <v>1291</v>
      </c>
      <c r="C17" s="18">
        <v>2</v>
      </c>
      <c r="D17" s="24">
        <v>0.114</v>
      </c>
      <c r="E17" s="18">
        <v>8760</v>
      </c>
      <c r="F17" s="18">
        <v>24</v>
      </c>
      <c r="G17" s="25">
        <v>0.1</v>
      </c>
      <c r="H17" s="20">
        <f t="shared" si="0"/>
        <v>439.92089280000005</v>
      </c>
      <c r="I17" s="21">
        <f t="shared" si="1"/>
        <v>1.2071232000000001</v>
      </c>
      <c r="J17" s="15"/>
      <c r="K17" s="15"/>
    </row>
    <row r="18" spans="1:15" s="14" customFormat="1" ht="13.8">
      <c r="A18" s="14" t="s">
        <v>1284</v>
      </c>
      <c r="B18" s="16" t="s">
        <v>1274</v>
      </c>
      <c r="C18" s="18">
        <v>80</v>
      </c>
      <c r="D18" s="24">
        <v>2.5000000000000001E-4</v>
      </c>
      <c r="E18" s="18">
        <v>8760</v>
      </c>
      <c r="F18" s="18">
        <v>24</v>
      </c>
      <c r="G18" s="25">
        <v>0.1</v>
      </c>
      <c r="H18" s="20">
        <f t="shared" si="0"/>
        <v>38.589552000000005</v>
      </c>
      <c r="I18" s="21">
        <f t="shared" si="1"/>
        <v>0.10588800000000001</v>
      </c>
      <c r="J18" s="116"/>
      <c r="K18" s="116"/>
      <c r="O18" s="26"/>
    </row>
    <row r="19" spans="1:15" s="14" customFormat="1" ht="13.8">
      <c r="A19" s="14" t="s">
        <v>1284</v>
      </c>
      <c r="B19" s="16" t="s">
        <v>1273</v>
      </c>
      <c r="C19" s="18">
        <v>20</v>
      </c>
      <c r="D19" s="24">
        <v>1.09E-2</v>
      </c>
      <c r="E19" s="18">
        <v>8760</v>
      </c>
      <c r="F19" s="18">
        <v>24</v>
      </c>
      <c r="G19" s="25">
        <v>0.1</v>
      </c>
      <c r="H19" s="20">
        <f t="shared" si="0"/>
        <v>420.62611680000003</v>
      </c>
      <c r="I19" s="21">
        <f t="shared" si="1"/>
        <v>1.1541792000000002</v>
      </c>
      <c r="J19" s="15"/>
      <c r="K19" s="15"/>
    </row>
    <row r="20" spans="1:15" s="14" customFormat="1" ht="13.8">
      <c r="A20" s="14" t="s">
        <v>1284</v>
      </c>
      <c r="B20" s="16" t="s">
        <v>1291</v>
      </c>
      <c r="C20" s="18">
        <v>2</v>
      </c>
      <c r="D20" s="24">
        <v>0.114</v>
      </c>
      <c r="E20" s="18">
        <v>8760</v>
      </c>
      <c r="F20" s="18">
        <v>24</v>
      </c>
      <c r="G20" s="25">
        <v>0.1</v>
      </c>
      <c r="H20" s="20">
        <f t="shared" ref="H20" si="4">C20*D20*E20*2.2026*G20</f>
        <v>439.92089280000005</v>
      </c>
      <c r="I20" s="21">
        <f t="shared" ref="I20" si="5">C20*D20*F20*2.206*G20</f>
        <v>1.2071232000000001</v>
      </c>
      <c r="J20" s="15"/>
      <c r="K20" s="15"/>
    </row>
    <row r="21" spans="1:15" s="14" customFormat="1" ht="13.8">
      <c r="A21" s="14" t="s">
        <v>1285</v>
      </c>
      <c r="B21" s="16" t="s">
        <v>1274</v>
      </c>
      <c r="C21" s="18">
        <v>30</v>
      </c>
      <c r="D21" s="24">
        <v>2.5000000000000001E-4</v>
      </c>
      <c r="E21" s="18">
        <v>8760</v>
      </c>
      <c r="F21" s="18">
        <v>24</v>
      </c>
      <c r="G21" s="25">
        <v>0.1</v>
      </c>
      <c r="H21" s="20">
        <f t="shared" si="0"/>
        <v>14.471082000000003</v>
      </c>
      <c r="I21" s="21">
        <f t="shared" si="1"/>
        <v>3.9708E-2</v>
      </c>
      <c r="J21" s="116"/>
      <c r="K21" s="116"/>
    </row>
    <row r="22" spans="1:15" s="14" customFormat="1" ht="13.8">
      <c r="A22" s="14" t="s">
        <v>1285</v>
      </c>
      <c r="B22" s="16" t="s">
        <v>1273</v>
      </c>
      <c r="C22" s="18">
        <v>15</v>
      </c>
      <c r="D22" s="24">
        <v>1.09E-2</v>
      </c>
      <c r="E22" s="18">
        <v>8760</v>
      </c>
      <c r="F22" s="18">
        <v>24</v>
      </c>
      <c r="G22" s="25">
        <v>0.1</v>
      </c>
      <c r="H22" s="20">
        <f t="shared" si="0"/>
        <v>315.46958760000001</v>
      </c>
      <c r="I22" s="21">
        <f t="shared" si="1"/>
        <v>0.86563440000000014</v>
      </c>
      <c r="J22" s="15"/>
      <c r="K22" s="15"/>
    </row>
    <row r="23" spans="1:15" s="14" customFormat="1" ht="13.8">
      <c r="A23" s="14" t="s">
        <v>1286</v>
      </c>
      <c r="B23" s="16" t="s">
        <v>1274</v>
      </c>
      <c r="C23" s="18">
        <v>80</v>
      </c>
      <c r="D23" s="24">
        <v>2.5000000000000001E-4</v>
      </c>
      <c r="E23" s="18">
        <v>8760</v>
      </c>
      <c r="F23" s="18">
        <v>24</v>
      </c>
      <c r="G23" s="25">
        <v>0.1</v>
      </c>
      <c r="H23" s="20">
        <f t="shared" si="0"/>
        <v>38.589552000000005</v>
      </c>
      <c r="I23" s="21">
        <f t="shared" si="1"/>
        <v>0.10588800000000001</v>
      </c>
      <c r="J23" s="116"/>
      <c r="K23" s="116"/>
    </row>
    <row r="24" spans="1:15" s="14" customFormat="1" ht="13.8">
      <c r="A24" s="14" t="s">
        <v>1286</v>
      </c>
      <c r="B24" s="16" t="s">
        <v>1273</v>
      </c>
      <c r="C24" s="18">
        <v>20</v>
      </c>
      <c r="D24" s="24">
        <v>1.09E-2</v>
      </c>
      <c r="E24" s="18">
        <v>8760</v>
      </c>
      <c r="F24" s="18">
        <v>24</v>
      </c>
      <c r="G24" s="25">
        <v>0.1</v>
      </c>
      <c r="H24" s="20">
        <f t="shared" si="0"/>
        <v>420.62611680000003</v>
      </c>
      <c r="I24" s="21">
        <f t="shared" si="1"/>
        <v>1.1541792000000002</v>
      </c>
      <c r="J24" s="15"/>
      <c r="K24" s="15"/>
    </row>
    <row r="25" spans="1:15" s="14" customFormat="1" ht="13.8">
      <c r="A25" s="14" t="s">
        <v>1286</v>
      </c>
      <c r="B25" s="16" t="s">
        <v>1291</v>
      </c>
      <c r="C25" s="18">
        <v>5</v>
      </c>
      <c r="D25" s="24">
        <v>0.114</v>
      </c>
      <c r="E25" s="18">
        <v>8760</v>
      </c>
      <c r="F25" s="18">
        <v>24</v>
      </c>
      <c r="G25" s="25">
        <v>0.1</v>
      </c>
      <c r="H25" s="20">
        <f t="shared" si="0"/>
        <v>1099.8022320000002</v>
      </c>
      <c r="I25" s="21">
        <f t="shared" si="1"/>
        <v>3.0178080000000005</v>
      </c>
      <c r="J25" s="15"/>
      <c r="K25" s="15"/>
    </row>
    <row r="26" spans="1:15" s="14" customFormat="1" ht="13.8">
      <c r="A26" s="14" t="s">
        <v>1287</v>
      </c>
      <c r="B26" s="16" t="s">
        <v>1274</v>
      </c>
      <c r="C26" s="18">
        <v>100</v>
      </c>
      <c r="D26" s="24">
        <v>2.5000000000000001E-4</v>
      </c>
      <c r="E26" s="18">
        <v>8760</v>
      </c>
      <c r="F26" s="18">
        <v>24</v>
      </c>
      <c r="G26" s="25">
        <v>0.1</v>
      </c>
      <c r="H26" s="20">
        <f t="shared" si="0"/>
        <v>48.236940000000004</v>
      </c>
      <c r="I26" s="21">
        <f t="shared" si="1"/>
        <v>0.13236000000000001</v>
      </c>
      <c r="J26" s="116"/>
      <c r="K26" s="116"/>
    </row>
    <row r="27" spans="1:15" s="14" customFormat="1" ht="13.8">
      <c r="A27" s="14" t="s">
        <v>1287</v>
      </c>
      <c r="B27" s="16" t="s">
        <v>1273</v>
      </c>
      <c r="C27" s="18">
        <v>40</v>
      </c>
      <c r="D27" s="24">
        <v>1.09E-2</v>
      </c>
      <c r="E27" s="18">
        <v>8760</v>
      </c>
      <c r="F27" s="18">
        <v>24</v>
      </c>
      <c r="G27" s="25">
        <v>0.1</v>
      </c>
      <c r="H27" s="20">
        <f t="shared" si="0"/>
        <v>841.25223360000007</v>
      </c>
      <c r="I27" s="21">
        <f t="shared" si="1"/>
        <v>2.3083584000000004</v>
      </c>
      <c r="J27" s="15"/>
      <c r="K27" s="15"/>
    </row>
    <row r="28" spans="1:15" s="14" customFormat="1" ht="13.8">
      <c r="A28" s="14" t="s">
        <v>1287</v>
      </c>
      <c r="B28" s="16" t="s">
        <v>1291</v>
      </c>
      <c r="C28" s="18">
        <v>6</v>
      </c>
      <c r="D28" s="24">
        <v>0.114</v>
      </c>
      <c r="E28" s="18">
        <v>8760</v>
      </c>
      <c r="F28" s="18">
        <v>24</v>
      </c>
      <c r="G28" s="25">
        <v>0.1</v>
      </c>
      <c r="H28" s="20">
        <f t="shared" ref="H28" si="6">C28*D28*E28*2.2026*G28</f>
        <v>1319.7626784000001</v>
      </c>
      <c r="I28" s="21">
        <f t="shared" ref="I28" si="7">C28*D28*F28*2.206*G28</f>
        <v>3.6213696</v>
      </c>
      <c r="J28" s="15"/>
      <c r="K28" s="15"/>
    </row>
    <row r="29" spans="1:15" s="14" customFormat="1" ht="13.8">
      <c r="A29" s="14" t="s">
        <v>1288</v>
      </c>
      <c r="B29" s="16" t="s">
        <v>1274</v>
      </c>
      <c r="C29" s="18">
        <v>100</v>
      </c>
      <c r="D29" s="24">
        <v>2.5000000000000001E-4</v>
      </c>
      <c r="E29" s="18">
        <v>8760</v>
      </c>
      <c r="F29" s="18">
        <v>24</v>
      </c>
      <c r="G29" s="25">
        <v>0.1</v>
      </c>
      <c r="H29" s="20">
        <f t="shared" si="0"/>
        <v>48.236940000000004</v>
      </c>
      <c r="I29" s="21">
        <f t="shared" si="1"/>
        <v>0.13236000000000001</v>
      </c>
      <c r="J29" s="116"/>
      <c r="K29" s="116"/>
    </row>
    <row r="30" spans="1:15" s="14" customFormat="1" ht="13.8">
      <c r="A30" s="14" t="s">
        <v>1288</v>
      </c>
      <c r="B30" s="16" t="s">
        <v>1273</v>
      </c>
      <c r="C30" s="18">
        <v>40</v>
      </c>
      <c r="D30" s="24">
        <v>1.09E-2</v>
      </c>
      <c r="E30" s="18">
        <v>8760</v>
      </c>
      <c r="F30" s="18">
        <v>24</v>
      </c>
      <c r="G30" s="25">
        <v>0.1</v>
      </c>
      <c r="H30" s="20">
        <f t="shared" si="0"/>
        <v>841.25223360000007</v>
      </c>
      <c r="I30" s="21">
        <f t="shared" si="1"/>
        <v>2.3083584000000004</v>
      </c>
      <c r="J30" s="15"/>
      <c r="K30" s="15"/>
    </row>
    <row r="31" spans="1:15" s="14" customFormat="1" ht="13.8">
      <c r="A31" s="14" t="s">
        <v>1288</v>
      </c>
      <c r="B31" s="16" t="s">
        <v>1291</v>
      </c>
      <c r="C31" s="18">
        <v>4</v>
      </c>
      <c r="D31" s="24">
        <v>0.114</v>
      </c>
      <c r="E31" s="18">
        <v>8760</v>
      </c>
      <c r="F31" s="18">
        <v>24</v>
      </c>
      <c r="G31" s="25">
        <v>0.1</v>
      </c>
      <c r="H31" s="20">
        <f t="shared" si="0"/>
        <v>879.84178560000009</v>
      </c>
      <c r="I31" s="21">
        <f t="shared" si="1"/>
        <v>2.4142464000000001</v>
      </c>
      <c r="J31" s="15"/>
      <c r="K31" s="15"/>
    </row>
    <row r="32" spans="1:15" s="14" customFormat="1" ht="13.8">
      <c r="A32" s="14" t="s">
        <v>1289</v>
      </c>
      <c r="B32" s="16" t="s">
        <v>1274</v>
      </c>
      <c r="C32" s="18">
        <v>1400</v>
      </c>
      <c r="D32" s="24">
        <v>2.5000000000000001E-4</v>
      </c>
      <c r="E32" s="18">
        <f>8760/2</f>
        <v>4380</v>
      </c>
      <c r="F32" s="18">
        <v>24</v>
      </c>
      <c r="G32" s="25">
        <v>0.1</v>
      </c>
      <c r="H32" s="20">
        <f t="shared" si="0"/>
        <v>337.65858000000003</v>
      </c>
      <c r="I32" s="21">
        <f t="shared" si="1"/>
        <v>1.85304</v>
      </c>
      <c r="J32" s="116"/>
      <c r="K32" s="116"/>
    </row>
    <row r="33" spans="1:13" s="14" customFormat="1" ht="13.8">
      <c r="A33" s="14" t="s">
        <v>1289</v>
      </c>
      <c r="B33" s="16" t="s">
        <v>1273</v>
      </c>
      <c r="C33" s="18">
        <v>1820</v>
      </c>
      <c r="D33" s="24">
        <v>1.09E-2</v>
      </c>
      <c r="E33" s="18">
        <f>8760/2</f>
        <v>4380</v>
      </c>
      <c r="F33" s="18">
        <v>24</v>
      </c>
      <c r="G33" s="25">
        <v>0.1</v>
      </c>
      <c r="H33" s="20">
        <f t="shared" si="0"/>
        <v>19138.488314400001</v>
      </c>
      <c r="I33" s="21">
        <f t="shared" si="1"/>
        <v>105.0303072</v>
      </c>
      <c r="J33" s="15"/>
      <c r="K33" s="15"/>
    </row>
    <row r="34" spans="1:13" s="14" customFormat="1" ht="13.8">
      <c r="A34" s="14" t="s">
        <v>1290</v>
      </c>
      <c r="B34" s="16" t="s">
        <v>1274</v>
      </c>
      <c r="C34" s="18">
        <v>250</v>
      </c>
      <c r="D34" s="24">
        <v>2.5000000000000001E-4</v>
      </c>
      <c r="E34" s="18">
        <f>8760/2</f>
        <v>4380</v>
      </c>
      <c r="F34" s="18">
        <v>24</v>
      </c>
      <c r="G34" s="25">
        <v>0.1</v>
      </c>
      <c r="H34" s="20">
        <f t="shared" si="0"/>
        <v>60.296174999999998</v>
      </c>
      <c r="I34" s="21">
        <f t="shared" si="1"/>
        <v>0.33090000000000003</v>
      </c>
      <c r="J34" s="116"/>
      <c r="K34" s="116"/>
    </row>
    <row r="35" spans="1:13" s="14" customFormat="1" ht="13.8">
      <c r="A35" s="14" t="s">
        <v>1290</v>
      </c>
      <c r="B35" s="16" t="s">
        <v>1273</v>
      </c>
      <c r="C35" s="18">
        <v>70</v>
      </c>
      <c r="D35" s="24">
        <v>1.09E-2</v>
      </c>
      <c r="E35" s="18">
        <f>8760/2</f>
        <v>4380</v>
      </c>
      <c r="F35" s="18">
        <v>24</v>
      </c>
      <c r="G35" s="25">
        <v>0.1</v>
      </c>
      <c r="H35" s="20">
        <f t="shared" si="0"/>
        <v>736.09570440000005</v>
      </c>
      <c r="I35" s="21">
        <f t="shared" si="1"/>
        <v>4.0396272000000009</v>
      </c>
      <c r="J35" s="15"/>
    </row>
    <row r="36" spans="1:13" s="14" customFormat="1" ht="13.8">
      <c r="A36" s="14" t="s">
        <v>1290</v>
      </c>
      <c r="B36" s="16" t="s">
        <v>1291</v>
      </c>
      <c r="C36" s="18">
        <v>8</v>
      </c>
      <c r="D36" s="24">
        <v>0.114</v>
      </c>
      <c r="E36" s="18">
        <v>8760</v>
      </c>
      <c r="F36" s="18">
        <v>24</v>
      </c>
      <c r="G36" s="25">
        <v>0.1</v>
      </c>
      <c r="H36" s="20">
        <f t="shared" ref="H36" si="8">C36*D36*E36*2.2026*G36</f>
        <v>1759.6835712000002</v>
      </c>
      <c r="I36" s="21">
        <f t="shared" ref="I36" si="9">C36*D36*F36*2.206*G36</f>
        <v>4.8284928000000003</v>
      </c>
      <c r="J36" s="15"/>
      <c r="K36" s="15"/>
    </row>
    <row r="37" spans="1:13" s="14" customFormat="1" ht="13.8">
      <c r="A37" s="14" t="s">
        <v>1513</v>
      </c>
      <c r="B37" s="16" t="s">
        <v>1274</v>
      </c>
      <c r="C37" s="18">
        <v>55</v>
      </c>
      <c r="D37" s="19">
        <v>3.1E-7</v>
      </c>
      <c r="E37" s="18">
        <v>8760</v>
      </c>
      <c r="F37" s="18">
        <v>24</v>
      </c>
      <c r="G37" s="25">
        <v>0</v>
      </c>
      <c r="H37" s="20">
        <f t="shared" ref="H37:H39" si="10">C37*D37*E37*2.2026</f>
        <v>0.32897593080000004</v>
      </c>
      <c r="I37" s="21">
        <f t="shared" ref="I37:I39" si="11">C37*D37*F37*2.206</f>
        <v>9.0269520000000008E-4</v>
      </c>
      <c r="J37" s="15"/>
      <c r="K37" s="15"/>
    </row>
    <row r="38" spans="1:13" s="14" customFormat="1" ht="13.8">
      <c r="A38" s="14" t="s">
        <v>1513</v>
      </c>
      <c r="B38" s="16" t="s">
        <v>1273</v>
      </c>
      <c r="C38" s="18">
        <v>9</v>
      </c>
      <c r="D38" s="19">
        <v>7.7999999999999999E-6</v>
      </c>
      <c r="E38" s="18">
        <v>8760</v>
      </c>
      <c r="F38" s="18">
        <v>24</v>
      </c>
      <c r="G38" s="25">
        <v>0</v>
      </c>
      <c r="H38" s="20">
        <f t="shared" si="10"/>
        <v>1.3544932751999998</v>
      </c>
      <c r="I38" s="21">
        <f t="shared" si="11"/>
        <v>3.7166688000000001E-3</v>
      </c>
      <c r="J38" s="15"/>
      <c r="K38" s="15"/>
    </row>
    <row r="39" spans="1:13" s="14" customFormat="1" ht="13.8">
      <c r="A39" s="14" t="s">
        <v>1513</v>
      </c>
      <c r="B39" s="16" t="s">
        <v>1291</v>
      </c>
      <c r="C39" s="18">
        <v>2</v>
      </c>
      <c r="D39" s="19">
        <v>2.4000000000000001E-5</v>
      </c>
      <c r="E39" s="18">
        <v>8760</v>
      </c>
      <c r="F39" s="18">
        <v>24</v>
      </c>
      <c r="G39" s="25">
        <v>0</v>
      </c>
      <c r="H39" s="20">
        <f t="shared" si="10"/>
        <v>0.92614924799999998</v>
      </c>
      <c r="I39" s="21">
        <f t="shared" si="11"/>
        <v>2.541312E-3</v>
      </c>
      <c r="J39" s="15"/>
      <c r="K39" s="15"/>
    </row>
    <row r="40" spans="1:13" s="14" customFormat="1" ht="13.8">
      <c r="A40" s="14" t="s">
        <v>1514</v>
      </c>
      <c r="B40" s="16" t="s">
        <v>1274</v>
      </c>
      <c r="C40" s="18">
        <v>76</v>
      </c>
      <c r="D40" s="19">
        <v>3.1E-7</v>
      </c>
      <c r="E40" s="18">
        <v>8760</v>
      </c>
      <c r="F40" s="18">
        <v>24</v>
      </c>
      <c r="G40" s="25">
        <v>0</v>
      </c>
      <c r="H40" s="20">
        <f t="shared" ref="H40:H42" si="12">C40*D40*E40*2.2026</f>
        <v>0.45458492255999994</v>
      </c>
      <c r="I40" s="21">
        <f t="shared" ref="I40:I42" si="13">C40*D40*F40*2.206</f>
        <v>1.2473606399999999E-3</v>
      </c>
      <c r="J40" s="15"/>
      <c r="K40" s="15"/>
    </row>
    <row r="41" spans="1:13" s="14" customFormat="1" ht="13.8">
      <c r="A41" s="14" t="s">
        <v>1514</v>
      </c>
      <c r="B41" s="16" t="s">
        <v>1273</v>
      </c>
      <c r="C41" s="18">
        <v>15</v>
      </c>
      <c r="D41" s="19">
        <v>7.7999999999999999E-6</v>
      </c>
      <c r="E41" s="18">
        <v>8760</v>
      </c>
      <c r="F41" s="18">
        <v>24</v>
      </c>
      <c r="G41" s="25">
        <v>0</v>
      </c>
      <c r="H41" s="20">
        <f t="shared" si="12"/>
        <v>2.2574887920000002</v>
      </c>
      <c r="I41" s="21">
        <f t="shared" si="13"/>
        <v>6.1944479999999991E-3</v>
      </c>
      <c r="J41" s="15"/>
      <c r="K41" s="15"/>
    </row>
    <row r="42" spans="1:13" s="14" customFormat="1" ht="13.8">
      <c r="A42" s="14" t="s">
        <v>1514</v>
      </c>
      <c r="B42" s="16" t="s">
        <v>1291</v>
      </c>
      <c r="C42" s="18">
        <v>2</v>
      </c>
      <c r="D42" s="19">
        <v>2.4000000000000001E-5</v>
      </c>
      <c r="E42" s="18">
        <v>8760</v>
      </c>
      <c r="F42" s="18">
        <v>24</v>
      </c>
      <c r="G42" s="25">
        <v>0</v>
      </c>
      <c r="H42" s="20">
        <f t="shared" si="12"/>
        <v>0.92614924799999998</v>
      </c>
      <c r="I42" s="21">
        <f t="shared" si="13"/>
        <v>2.541312E-3</v>
      </c>
      <c r="J42" s="15"/>
      <c r="K42" s="15"/>
    </row>
    <row r="43" spans="1:13" s="14" customFormat="1" ht="13.8">
      <c r="B43" s="16"/>
      <c r="C43" s="16"/>
      <c r="D43" s="18"/>
      <c r="F43" s="17"/>
      <c r="G43" s="17" t="s">
        <v>1275</v>
      </c>
      <c r="H43" s="28">
        <f>SUM(H12:H42)</f>
        <v>30976.77516841656</v>
      </c>
      <c r="I43" s="28">
        <f>SUM(I12:I42)</f>
        <v>140.62581899664005</v>
      </c>
      <c r="J43" s="15"/>
      <c r="K43" s="134"/>
      <c r="L43" s="134"/>
      <c r="M43" s="134"/>
    </row>
    <row r="44" spans="1:13" s="14" customFormat="1" ht="13.8">
      <c r="B44" s="16"/>
      <c r="C44" s="16"/>
      <c r="D44" s="18"/>
      <c r="F44" s="17"/>
      <c r="G44" s="17"/>
      <c r="H44" s="28"/>
      <c r="I44" s="28"/>
      <c r="J44" s="15"/>
    </row>
    <row r="45" spans="1:13" s="14" customFormat="1" ht="13.8">
      <c r="B45" s="16"/>
      <c r="C45" s="16"/>
      <c r="D45" s="18"/>
      <c r="F45" s="17"/>
      <c r="G45" s="17"/>
      <c r="H45" s="28"/>
      <c r="I45" s="28"/>
      <c r="J45" s="15"/>
    </row>
    <row r="46" spans="1:13" s="14" customFormat="1" ht="13.8">
      <c r="B46" s="16"/>
      <c r="C46" s="16"/>
      <c r="D46" s="18"/>
      <c r="F46" s="17"/>
      <c r="G46" s="17"/>
      <c r="H46" s="28"/>
      <c r="I46" s="28"/>
      <c r="J46" s="15"/>
    </row>
    <row r="47" spans="1:13" s="14" customFormat="1" ht="13.8">
      <c r="B47" s="16"/>
      <c r="C47" s="16"/>
      <c r="D47" s="18"/>
      <c r="F47" s="17"/>
      <c r="G47" s="17"/>
      <c r="H47" s="28"/>
      <c r="I47" s="28"/>
      <c r="J47" s="15"/>
    </row>
    <row r="48" spans="1:13" s="14" customFormat="1" ht="13.8">
      <c r="B48" s="16"/>
      <c r="C48" s="16"/>
      <c r="D48" s="18"/>
      <c r="F48" s="17"/>
      <c r="G48" s="17"/>
      <c r="H48" s="28"/>
      <c r="I48" s="28"/>
      <c r="J48" s="15"/>
    </row>
    <row r="49" spans="1:25" s="14" customFormat="1" ht="13.8">
      <c r="B49" s="16"/>
      <c r="C49" s="16"/>
      <c r="D49" s="18"/>
      <c r="F49" s="17"/>
      <c r="G49" s="17"/>
      <c r="H49" s="28"/>
      <c r="I49" s="28"/>
      <c r="J49" s="15"/>
    </row>
    <row r="50" spans="1:25" s="14" customFormat="1" ht="13.8">
      <c r="B50" s="16"/>
      <c r="C50" s="16"/>
      <c r="D50" s="18"/>
      <c r="F50" s="17"/>
      <c r="G50" s="17"/>
      <c r="H50" s="28"/>
      <c r="I50" s="28"/>
      <c r="J50" s="15"/>
    </row>
    <row r="51" spans="1:25" s="14" customFormat="1" ht="13.8">
      <c r="B51" s="16"/>
      <c r="C51" s="16"/>
      <c r="D51" s="18"/>
      <c r="F51" s="17"/>
      <c r="G51" s="17"/>
      <c r="H51" s="28"/>
      <c r="I51" s="28"/>
      <c r="J51" s="15"/>
    </row>
    <row r="52" spans="1:25" s="14" customFormat="1" ht="13.8">
      <c r="B52" s="16"/>
      <c r="C52" s="16"/>
      <c r="D52" s="18"/>
      <c r="F52" s="17"/>
      <c r="G52" s="17"/>
      <c r="H52" s="28"/>
      <c r="I52" s="28"/>
      <c r="J52" s="15"/>
    </row>
    <row r="53" spans="1:25" s="14" customFormat="1" ht="13.8">
      <c r="B53" s="16"/>
      <c r="C53" s="16"/>
      <c r="D53" s="18"/>
      <c r="F53" s="17"/>
      <c r="G53" s="17"/>
      <c r="H53" s="28"/>
      <c r="I53" s="28"/>
      <c r="J53" s="15"/>
    </row>
    <row r="54" spans="1:25" s="14" customFormat="1" ht="13.8">
      <c r="B54" s="16"/>
      <c r="C54" s="16"/>
      <c r="D54" s="18"/>
      <c r="F54" s="17"/>
      <c r="G54" s="17"/>
      <c r="H54" s="28"/>
      <c r="I54" s="28"/>
      <c r="J54" s="15"/>
    </row>
    <row r="55" spans="1:25" s="14" customFormat="1" ht="13.8">
      <c r="B55" s="16"/>
      <c r="C55" s="16"/>
      <c r="D55" s="18"/>
      <c r="F55" s="17"/>
      <c r="G55" s="17"/>
      <c r="H55" s="28"/>
      <c r="I55" s="28"/>
      <c r="J55" s="15"/>
    </row>
    <row r="56" spans="1:25" s="14" customFormat="1" ht="13.8">
      <c r="B56" s="16"/>
      <c r="C56" s="16"/>
      <c r="D56" s="18"/>
      <c r="F56" s="17"/>
      <c r="G56" s="17"/>
      <c r="H56" s="28"/>
      <c r="I56" s="28"/>
      <c r="J56" s="15"/>
    </row>
    <row r="57" spans="1:25" s="14" customFormat="1">
      <c r="A57" s="13" t="s">
        <v>1534</v>
      </c>
      <c r="B57" s="16"/>
      <c r="C57" s="16"/>
      <c r="D57" s="16"/>
      <c r="E57" s="16"/>
      <c r="F57" s="16"/>
      <c r="G57" s="16"/>
      <c r="H57" s="16"/>
      <c r="I57" s="16"/>
      <c r="J57" s="16"/>
      <c r="K57" s="16"/>
      <c r="L57" s="16"/>
      <c r="M57" s="16"/>
      <c r="N57" s="16"/>
    </row>
    <row r="58" spans="1:25" s="14" customFormat="1">
      <c r="A58" s="16"/>
      <c r="B58" s="16"/>
      <c r="C58" s="16"/>
      <c r="D58" s="369" t="s">
        <v>1325</v>
      </c>
      <c r="E58" s="369"/>
      <c r="F58" s="369"/>
      <c r="G58" s="369"/>
      <c r="H58" s="369"/>
      <c r="I58" s="369"/>
      <c r="J58" s="369"/>
      <c r="K58" s="369"/>
      <c r="L58" s="369"/>
      <c r="M58" s="369"/>
      <c r="N58" s="379"/>
      <c r="O58" s="380" t="s">
        <v>1326</v>
      </c>
      <c r="P58" s="369"/>
      <c r="Q58" s="369"/>
      <c r="R58" s="369"/>
      <c r="S58" s="369"/>
      <c r="T58" s="369"/>
      <c r="U58" s="369"/>
      <c r="V58" s="369"/>
      <c r="W58" s="369"/>
      <c r="X58" s="369"/>
      <c r="Y58" s="369"/>
    </row>
    <row r="59" spans="1:25" s="14" customFormat="1">
      <c r="A59" s="16"/>
      <c r="B59" s="16"/>
      <c r="C59" s="16"/>
      <c r="D59" s="2" t="s">
        <v>998</v>
      </c>
      <c r="E59" s="2" t="s">
        <v>692</v>
      </c>
      <c r="F59" s="2" t="s">
        <v>813</v>
      </c>
      <c r="G59" s="2" t="s">
        <v>312</v>
      </c>
      <c r="H59" s="2" t="s">
        <v>147</v>
      </c>
      <c r="I59" s="2" t="s">
        <v>498</v>
      </c>
      <c r="J59" s="2" t="s">
        <v>604</v>
      </c>
      <c r="K59" s="2" t="s">
        <v>1128</v>
      </c>
      <c r="L59" s="2" t="s">
        <v>578</v>
      </c>
      <c r="M59" s="2" t="s">
        <v>1222</v>
      </c>
      <c r="N59" s="2" t="s">
        <v>590</v>
      </c>
      <c r="O59" s="115" t="s">
        <v>998</v>
      </c>
      <c r="P59" s="2" t="s">
        <v>692</v>
      </c>
      <c r="Q59" s="2" t="s">
        <v>813</v>
      </c>
      <c r="R59" s="2" t="s">
        <v>312</v>
      </c>
      <c r="S59" s="2" t="s">
        <v>147</v>
      </c>
      <c r="T59" s="2" t="s">
        <v>498</v>
      </c>
      <c r="U59" s="2" t="s">
        <v>604</v>
      </c>
      <c r="V59" s="2" t="s">
        <v>1128</v>
      </c>
      <c r="W59" s="2" t="s">
        <v>578</v>
      </c>
      <c r="X59" s="2" t="s">
        <v>1222</v>
      </c>
      <c r="Y59" s="2" t="s">
        <v>590</v>
      </c>
    </row>
    <row r="60" spans="1:25" s="14" customFormat="1" ht="93.6">
      <c r="A60" s="175" t="s">
        <v>1562</v>
      </c>
      <c r="B60" s="117" t="s">
        <v>1281</v>
      </c>
      <c r="C60" s="117" t="s">
        <v>1346</v>
      </c>
      <c r="D60" s="1" t="s">
        <v>88</v>
      </c>
      <c r="E60" s="1" t="s">
        <v>693</v>
      </c>
      <c r="F60" s="1" t="s">
        <v>814</v>
      </c>
      <c r="G60" s="1" t="s">
        <v>313</v>
      </c>
      <c r="H60" s="1" t="s">
        <v>148</v>
      </c>
      <c r="I60" s="1" t="s">
        <v>499</v>
      </c>
      <c r="J60" s="1" t="s">
        <v>605</v>
      </c>
      <c r="K60" s="1" t="s">
        <v>1129</v>
      </c>
      <c r="L60" s="1" t="s">
        <v>579</v>
      </c>
      <c r="M60" s="1" t="s">
        <v>1223</v>
      </c>
      <c r="N60" s="1" t="s">
        <v>591</v>
      </c>
      <c r="O60" s="31" t="s">
        <v>88</v>
      </c>
      <c r="P60" s="1" t="s">
        <v>693</v>
      </c>
      <c r="Q60" s="1" t="s">
        <v>814</v>
      </c>
      <c r="R60" s="1" t="s">
        <v>313</v>
      </c>
      <c r="S60" s="1" t="s">
        <v>148</v>
      </c>
      <c r="T60" s="1" t="s">
        <v>499</v>
      </c>
      <c r="U60" s="1" t="s">
        <v>605</v>
      </c>
      <c r="V60" s="1" t="s">
        <v>1129</v>
      </c>
      <c r="W60" s="1" t="s">
        <v>579</v>
      </c>
      <c r="X60" s="1" t="s">
        <v>1223</v>
      </c>
      <c r="Y60" s="1" t="s">
        <v>591</v>
      </c>
    </row>
    <row r="61" spans="1:25" s="14" customFormat="1">
      <c r="A61" s="16" t="s">
        <v>1278</v>
      </c>
      <c r="B61" s="125">
        <f t="shared" ref="B61:B69" ca="1" si="14">SUMIF($A$12:$I$42,A61,$H$12:$H$42)</f>
        <v>793.98003240000003</v>
      </c>
      <c r="C61" s="125">
        <f t="shared" ref="C61:C69" ca="1" si="15">SUMIF($A$12:$I$42,A61,$I$12:$I$42)</f>
        <v>2.1786456000000003</v>
      </c>
      <c r="D61" s="173">
        <f ca="1">((VLOOKUP(D$59,Tabl_B3_Comp!$B$55:$C$65,2,FALSE))*$B61)</f>
        <v>2.2707828926640001</v>
      </c>
      <c r="E61" s="173">
        <f ca="1">((VLOOKUP(E$59,Tabl_B3_Comp!$B$55:$C$65,2,FALSE))*$B61)</f>
        <v>1.318006853784</v>
      </c>
      <c r="F61" s="173">
        <f ca="1">((VLOOKUP(F$59,Tabl_B3_Comp!$B$55:$C$65,2,FALSE))*$B61)</f>
        <v>0</v>
      </c>
      <c r="G61" s="173">
        <f ca="1">((VLOOKUP(G$59,Tabl_B3_Comp!$B$55:$C$65,2,FALSE))*$B61)</f>
        <v>0</v>
      </c>
      <c r="H61" s="173">
        <f ca="1">((VLOOKUP(H$59,Tabl_B3_Comp!$B$55:$C$65,2,FALSE))*$B61)</f>
        <v>0.1842033675168</v>
      </c>
      <c r="I61" s="173">
        <f ca="1">((VLOOKUP(I$59,Tabl_B3_Comp!$B$55:$C$65,2,FALSE))*$B61)</f>
        <v>0.46765423908360004</v>
      </c>
      <c r="J61" s="173">
        <f ca="1">((VLOOKUP(J$59,Tabl_B3_Comp!$B$55:$C$65,2,FALSE))*$B61)</f>
        <v>9.6865563952800007E-2</v>
      </c>
      <c r="K61" s="173">
        <f ca="1">((VLOOKUP(K$59,Tabl_B3_Comp!$B$55:$C$65,2,FALSE))*$B61)</f>
        <v>1.6594182677159999</v>
      </c>
      <c r="L61" s="173">
        <f ca="1">((VLOOKUP(L$59,Tabl_B3_Comp!$B$55:$C$65,2,FALSE))*$B61)</f>
        <v>0.273923111178</v>
      </c>
      <c r="M61" s="173">
        <f ca="1">((VLOOKUP(M$59,Tabl_B3_Comp!$B$55:$C$65,2,FALSE))*$B61)</f>
        <v>2.7630505127520002</v>
      </c>
      <c r="N61" s="173">
        <f ca="1">((VLOOKUP(N$59,Tabl_B3_Comp!$B$55:$C$65,2,FALSE))*$B61)</f>
        <v>0.134976605508</v>
      </c>
      <c r="O61" s="174">
        <f ca="1">((VLOOKUP(O$59,Tabl_B3_Comp!$B$55:$C$65,2,FALSE))*$C61)</f>
        <v>6.2309264160000013E-3</v>
      </c>
      <c r="P61" s="173">
        <f ca="1">((VLOOKUP(P$59,Tabl_B3_Comp!$B$55:$C$65,2,FALSE))*$C61)</f>
        <v>3.6165516960000007E-3</v>
      </c>
      <c r="Q61" s="173">
        <f ca="1">((VLOOKUP(Q$59,Tabl_B3_Comp!$B$55:$C$65,2,FALSE))*$C61)</f>
        <v>0</v>
      </c>
      <c r="R61" s="173">
        <f ca="1">((VLOOKUP(R$59,Tabl_B3_Comp!$B$55:$C$65,2,FALSE))*$C61)</f>
        <v>0</v>
      </c>
      <c r="S61" s="173">
        <f ca="1">((VLOOKUP(S$59,Tabl_B3_Comp!$B$55:$C$65,2,FALSE))*$C61)</f>
        <v>5.0544577920000008E-4</v>
      </c>
      <c r="T61" s="173">
        <f ca="1">((VLOOKUP(T$59,Tabl_B3_Comp!$B$55:$C$65,2,FALSE))*$C61)</f>
        <v>1.2832222584000003E-3</v>
      </c>
      <c r="U61" s="173">
        <f ca="1">((VLOOKUP(U$59,Tabl_B3_Comp!$B$55:$C$65,2,FALSE))*$C61)</f>
        <v>2.6579476320000002E-4</v>
      </c>
      <c r="V61" s="173">
        <f ca="1">((VLOOKUP(V$59,Tabl_B3_Comp!$B$55:$C$65,2,FALSE))*$C61)</f>
        <v>4.5533693040000003E-3</v>
      </c>
      <c r="W61" s="173">
        <f ca="1">((VLOOKUP(W$59,Tabl_B3_Comp!$B$55:$C$65,2,FALSE))*$C61)</f>
        <v>7.5163273200000002E-4</v>
      </c>
      <c r="X61" s="173">
        <f ca="1">((VLOOKUP(X$59,Tabl_B3_Comp!$B$55:$C$65,2,FALSE))*$C61)</f>
        <v>7.5816866880000014E-3</v>
      </c>
      <c r="Y61" s="173">
        <f ca="1">((VLOOKUP(Y$59,Tabl_B3_Comp!$B$55:$C$65,2,FALSE))*$C61)</f>
        <v>3.7036975200000009E-4</v>
      </c>
    </row>
    <row r="62" spans="1:25" s="14" customFormat="1">
      <c r="A62" s="16" t="s">
        <v>1283</v>
      </c>
      <c r="B62" s="125">
        <f t="shared" ca="1" si="14"/>
        <v>1377.6470064</v>
      </c>
      <c r="C62" s="125">
        <f t="shared" ca="1" si="15"/>
        <v>3.7802016000000007</v>
      </c>
      <c r="D62" s="173">
        <f ca="1">((VLOOKUP(D$59,Tabl_B3_Comp!$B$55:$C$65,2,FALSE))*$B62)</f>
        <v>3.9400704383040002</v>
      </c>
      <c r="E62" s="173">
        <f ca="1">((VLOOKUP(E$59,Tabl_B3_Comp!$B$55:$C$65,2,FALSE))*$B62)</f>
        <v>2.286894030624</v>
      </c>
      <c r="F62" s="173">
        <f ca="1">((VLOOKUP(F$59,Tabl_B3_Comp!$B$55:$C$65,2,FALSE))*$B62)</f>
        <v>0</v>
      </c>
      <c r="G62" s="173">
        <f ca="1">((VLOOKUP(G$59,Tabl_B3_Comp!$B$55:$C$65,2,FALSE))*$B62)</f>
        <v>0</v>
      </c>
      <c r="H62" s="173">
        <f ca="1">((VLOOKUP(H$59,Tabl_B3_Comp!$B$55:$C$65,2,FALSE))*$B62)</f>
        <v>0.31961410548480002</v>
      </c>
      <c r="I62" s="173">
        <f ca="1">((VLOOKUP(I$59,Tabl_B3_Comp!$B$55:$C$65,2,FALSE))*$B62)</f>
        <v>0.81143408676960005</v>
      </c>
      <c r="J62" s="173">
        <f ca="1">((VLOOKUP(J$59,Tabl_B3_Comp!$B$55:$C$65,2,FALSE))*$B62)</f>
        <v>0.16807293478079999</v>
      </c>
      <c r="K62" s="173">
        <f ca="1">((VLOOKUP(K$59,Tabl_B3_Comp!$B$55:$C$65,2,FALSE))*$B62)</f>
        <v>2.8792822433759997</v>
      </c>
      <c r="L62" s="173">
        <f ca="1">((VLOOKUP(L$59,Tabl_B3_Comp!$B$55:$C$65,2,FALSE))*$B62)</f>
        <v>0.47528821720799996</v>
      </c>
      <c r="M62" s="173">
        <f ca="1">((VLOOKUP(M$59,Tabl_B3_Comp!$B$55:$C$65,2,FALSE))*$B62)</f>
        <v>4.7942115822720002</v>
      </c>
      <c r="N62" s="173">
        <f ca="1">((VLOOKUP(N$59,Tabl_B3_Comp!$B$55:$C$65,2,FALSE))*$B62)</f>
        <v>0.23419999108800002</v>
      </c>
      <c r="O62" s="174">
        <f ca="1">((VLOOKUP(O$59,Tabl_B3_Comp!$B$55:$C$65,2,FALSE))*$C62)</f>
        <v>1.0811376576000002E-2</v>
      </c>
      <c r="P62" s="173">
        <f ca="1">((VLOOKUP(P$59,Tabl_B3_Comp!$B$55:$C$65,2,FALSE))*$C62)</f>
        <v>6.2751346560000016E-3</v>
      </c>
      <c r="Q62" s="173">
        <f ca="1">((VLOOKUP(Q$59,Tabl_B3_Comp!$B$55:$C$65,2,FALSE))*$C62)</f>
        <v>0</v>
      </c>
      <c r="R62" s="173">
        <f ca="1">((VLOOKUP(R$59,Tabl_B3_Comp!$B$55:$C$65,2,FALSE))*$C62)</f>
        <v>0</v>
      </c>
      <c r="S62" s="173">
        <f ca="1">((VLOOKUP(S$59,Tabl_B3_Comp!$B$55:$C$65,2,FALSE))*$C62)</f>
        <v>8.7700677120000018E-4</v>
      </c>
      <c r="T62" s="173">
        <f ca="1">((VLOOKUP(T$59,Tabl_B3_Comp!$B$55:$C$65,2,FALSE))*$C62)</f>
        <v>2.2265387424000005E-3</v>
      </c>
      <c r="U62" s="173">
        <f ca="1">((VLOOKUP(U$59,Tabl_B3_Comp!$B$55:$C$65,2,FALSE))*$C62)</f>
        <v>4.6118459520000008E-4</v>
      </c>
      <c r="V62" s="173">
        <f ca="1">((VLOOKUP(V$59,Tabl_B3_Comp!$B$55:$C$65,2,FALSE))*$C62)</f>
        <v>7.9006213440000004E-3</v>
      </c>
      <c r="W62" s="173">
        <f ca="1">((VLOOKUP(W$59,Tabl_B3_Comp!$B$55:$C$65,2,FALSE))*$C62)</f>
        <v>1.3041695520000002E-3</v>
      </c>
      <c r="X62" s="173">
        <f ca="1">((VLOOKUP(X$59,Tabl_B3_Comp!$B$55:$C$65,2,FALSE))*$C62)</f>
        <v>1.3155101568000002E-2</v>
      </c>
      <c r="Y62" s="173">
        <f ca="1">((VLOOKUP(Y$59,Tabl_B3_Comp!$B$55:$C$65,2,FALSE))*$C62)</f>
        <v>6.4263427200000021E-4</v>
      </c>
    </row>
    <row r="63" spans="1:25" s="14" customFormat="1">
      <c r="A63" s="16" t="s">
        <v>1284</v>
      </c>
      <c r="B63" s="125">
        <f t="shared" ca="1" si="14"/>
        <v>899.13656160000005</v>
      </c>
      <c r="C63" s="125">
        <f t="shared" ca="1" si="15"/>
        <v>2.4671904000000002</v>
      </c>
      <c r="D63" s="173">
        <f ca="1">((VLOOKUP(D$59,Tabl_B3_Comp!$B$55:$C$65,2,FALSE))*$B63)</f>
        <v>2.5715305661760004</v>
      </c>
      <c r="E63" s="173">
        <f ca="1">((VLOOKUP(E$59,Tabl_B3_Comp!$B$55:$C$65,2,FALSE))*$B63)</f>
        <v>1.4925666922560001</v>
      </c>
      <c r="F63" s="173">
        <f ca="1">((VLOOKUP(F$59,Tabl_B3_Comp!$B$55:$C$65,2,FALSE))*$B63)</f>
        <v>0</v>
      </c>
      <c r="G63" s="173">
        <f ca="1">((VLOOKUP(G$59,Tabl_B3_Comp!$B$55:$C$65,2,FALSE))*$B63)</f>
        <v>0</v>
      </c>
      <c r="H63" s="173">
        <f ca="1">((VLOOKUP(H$59,Tabl_B3_Comp!$B$55:$C$65,2,FALSE))*$B63)</f>
        <v>0.20859968229120002</v>
      </c>
      <c r="I63" s="173">
        <f ca="1">((VLOOKUP(I$59,Tabl_B3_Comp!$B$55:$C$65,2,FALSE))*$B63)</f>
        <v>0.52959143478240001</v>
      </c>
      <c r="J63" s="173">
        <f ca="1">((VLOOKUP(J$59,Tabl_B3_Comp!$B$55:$C$65,2,FALSE))*$B63)</f>
        <v>0.10969466051520001</v>
      </c>
      <c r="K63" s="173">
        <f ca="1">((VLOOKUP(K$59,Tabl_B3_Comp!$B$55:$C$65,2,FALSE))*$B63)</f>
        <v>1.8791954137439999</v>
      </c>
      <c r="L63" s="173">
        <f ca="1">((VLOOKUP(L$59,Tabl_B3_Comp!$B$55:$C$65,2,FALSE))*$B63)</f>
        <v>0.31020211375200002</v>
      </c>
      <c r="M63" s="173">
        <f ca="1">((VLOOKUP(M$59,Tabl_B3_Comp!$B$55:$C$65,2,FALSE))*$B63)</f>
        <v>3.1289952343680003</v>
      </c>
      <c r="N63" s="173">
        <f ca="1">((VLOOKUP(N$59,Tabl_B3_Comp!$B$55:$C$65,2,FALSE))*$B63)</f>
        <v>0.15285321547200001</v>
      </c>
      <c r="O63" s="174">
        <f ca="1">((VLOOKUP(O$59,Tabl_B3_Comp!$B$55:$C$65,2,FALSE))*$C63)</f>
        <v>7.0561645440000006E-3</v>
      </c>
      <c r="P63" s="173">
        <f ca="1">((VLOOKUP(P$59,Tabl_B3_Comp!$B$55:$C$65,2,FALSE))*$C63)</f>
        <v>4.0955360640000001E-3</v>
      </c>
      <c r="Q63" s="173">
        <f ca="1">((VLOOKUP(Q$59,Tabl_B3_Comp!$B$55:$C$65,2,FALSE))*$C63)</f>
        <v>0</v>
      </c>
      <c r="R63" s="173">
        <f ca="1">((VLOOKUP(R$59,Tabl_B3_Comp!$B$55:$C$65,2,FALSE))*$C63)</f>
        <v>0</v>
      </c>
      <c r="S63" s="173">
        <f ca="1">((VLOOKUP(S$59,Tabl_B3_Comp!$B$55:$C$65,2,FALSE))*$C63)</f>
        <v>5.7238817280000007E-4</v>
      </c>
      <c r="T63" s="173">
        <f ca="1">((VLOOKUP(T$59,Tabl_B3_Comp!$B$55:$C$65,2,FALSE))*$C63)</f>
        <v>1.4531751456000001E-3</v>
      </c>
      <c r="U63" s="173">
        <f ca="1">((VLOOKUP(U$59,Tabl_B3_Comp!$B$55:$C$65,2,FALSE))*$C63)</f>
        <v>3.009972288E-4</v>
      </c>
      <c r="V63" s="173">
        <f ca="1">((VLOOKUP(V$59,Tabl_B3_Comp!$B$55:$C$65,2,FALSE))*$C63)</f>
        <v>5.1564279360000005E-3</v>
      </c>
      <c r="W63" s="173">
        <f ca="1">((VLOOKUP(W$59,Tabl_B3_Comp!$B$55:$C$65,2,FALSE))*$C63)</f>
        <v>8.5118068800000006E-4</v>
      </c>
      <c r="X63" s="173">
        <f ca="1">((VLOOKUP(X$59,Tabl_B3_Comp!$B$55:$C$65,2,FALSE))*$C63)</f>
        <v>8.585822592000001E-3</v>
      </c>
      <c r="Y63" s="173">
        <f ca="1">((VLOOKUP(Y$59,Tabl_B3_Comp!$B$55:$C$65,2,FALSE))*$C63)</f>
        <v>4.1942236800000007E-4</v>
      </c>
    </row>
    <row r="64" spans="1:25" s="14" customFormat="1">
      <c r="A64" s="16" t="s">
        <v>1285</v>
      </c>
      <c r="B64" s="125">
        <f t="shared" ca="1" si="14"/>
        <v>329.94066960000004</v>
      </c>
      <c r="C64" s="125">
        <f t="shared" ca="1" si="15"/>
        <v>0.9053424000000001</v>
      </c>
      <c r="D64" s="173">
        <f ca="1">((VLOOKUP(D$59,Tabl_B3_Comp!$B$55:$C$65,2,FALSE))*$B64)</f>
        <v>0.94363031505600015</v>
      </c>
      <c r="E64" s="173">
        <f ca="1">((VLOOKUP(E$59,Tabl_B3_Comp!$B$55:$C$65,2,FALSE))*$B64)</f>
        <v>0.54770151153600011</v>
      </c>
      <c r="F64" s="173">
        <f ca="1">((VLOOKUP(F$59,Tabl_B3_Comp!$B$55:$C$65,2,FALSE))*$B64)</f>
        <v>0</v>
      </c>
      <c r="G64" s="173">
        <f ca="1">((VLOOKUP(G$59,Tabl_B3_Comp!$B$55:$C$65,2,FALSE))*$B64)</f>
        <v>0</v>
      </c>
      <c r="H64" s="173">
        <f ca="1">((VLOOKUP(H$59,Tabl_B3_Comp!$B$55:$C$65,2,FALSE))*$B64)</f>
        <v>7.6546235347200009E-2</v>
      </c>
      <c r="I64" s="173">
        <f ca="1">((VLOOKUP(I$59,Tabl_B3_Comp!$B$55:$C$65,2,FALSE))*$B64)</f>
        <v>0.19433505439440002</v>
      </c>
      <c r="J64" s="173">
        <f ca="1">((VLOOKUP(J$59,Tabl_B3_Comp!$B$55:$C$65,2,FALSE))*$B64)</f>
        <v>4.0252761691200005E-2</v>
      </c>
      <c r="K64" s="173">
        <f ca="1">((VLOOKUP(K$59,Tabl_B3_Comp!$B$55:$C$65,2,FALSE))*$B64)</f>
        <v>0.68957599946400006</v>
      </c>
      <c r="L64" s="173">
        <f ca="1">((VLOOKUP(L$59,Tabl_B3_Comp!$B$55:$C$65,2,FALSE))*$B64)</f>
        <v>0.11382953101200001</v>
      </c>
      <c r="M64" s="173">
        <f ca="1">((VLOOKUP(M$59,Tabl_B3_Comp!$B$55:$C$65,2,FALSE))*$B64)</f>
        <v>1.1481935302080002</v>
      </c>
      <c r="N64" s="173">
        <f ca="1">((VLOOKUP(N$59,Tabl_B3_Comp!$B$55:$C$65,2,FALSE))*$B64)</f>
        <v>5.6089913832000009E-2</v>
      </c>
      <c r="O64" s="174">
        <f ca="1">((VLOOKUP(O$59,Tabl_B3_Comp!$B$55:$C$65,2,FALSE))*$C64)</f>
        <v>2.5892792640000006E-3</v>
      </c>
      <c r="P64" s="173">
        <f ca="1">((VLOOKUP(P$59,Tabl_B3_Comp!$B$55:$C$65,2,FALSE))*$C64)</f>
        <v>1.5028683840000003E-3</v>
      </c>
      <c r="Q64" s="173">
        <f ca="1">((VLOOKUP(Q$59,Tabl_B3_Comp!$B$55:$C$65,2,FALSE))*$C64)</f>
        <v>0</v>
      </c>
      <c r="R64" s="173">
        <f ca="1">((VLOOKUP(R$59,Tabl_B3_Comp!$B$55:$C$65,2,FALSE))*$C64)</f>
        <v>0</v>
      </c>
      <c r="S64" s="173">
        <f ca="1">((VLOOKUP(S$59,Tabl_B3_Comp!$B$55:$C$65,2,FALSE))*$C64)</f>
        <v>2.1003943680000003E-4</v>
      </c>
      <c r="T64" s="173">
        <f ca="1">((VLOOKUP(T$59,Tabl_B3_Comp!$B$55:$C$65,2,FALSE))*$C64)</f>
        <v>5.3324667360000002E-4</v>
      </c>
      <c r="U64" s="173">
        <f ca="1">((VLOOKUP(U$59,Tabl_B3_Comp!$B$55:$C$65,2,FALSE))*$C64)</f>
        <v>1.1045177280000001E-4</v>
      </c>
      <c r="V64" s="173">
        <f ca="1">((VLOOKUP(V$59,Tabl_B3_Comp!$B$55:$C$65,2,FALSE))*$C64)</f>
        <v>1.892165616E-3</v>
      </c>
      <c r="W64" s="173">
        <f ca="1">((VLOOKUP(W$59,Tabl_B3_Comp!$B$55:$C$65,2,FALSE))*$C64)</f>
        <v>3.12343128E-4</v>
      </c>
      <c r="X64" s="173">
        <f ca="1">((VLOOKUP(X$59,Tabl_B3_Comp!$B$55:$C$65,2,FALSE))*$C64)</f>
        <v>3.1505915520000003E-3</v>
      </c>
      <c r="Y64" s="173">
        <f ca="1">((VLOOKUP(Y$59,Tabl_B3_Comp!$B$55:$C$65,2,FALSE))*$C64)</f>
        <v>1.5390820800000003E-4</v>
      </c>
    </row>
    <row r="65" spans="1:25" s="14" customFormat="1">
      <c r="A65" s="16" t="s">
        <v>1286</v>
      </c>
      <c r="B65" s="125">
        <f t="shared" ca="1" si="14"/>
        <v>1559.0179008000002</v>
      </c>
      <c r="C65" s="125">
        <f t="shared" ca="1" si="15"/>
        <v>4.2778752000000004</v>
      </c>
      <c r="D65" s="173">
        <f ca="1">((VLOOKUP(D$59,Tabl_B3_Comp!$B$55:$C$65,2,FALSE))*$B65)</f>
        <v>4.4587911962880007</v>
      </c>
      <c r="E65" s="173">
        <f ca="1">((VLOOKUP(E$59,Tabl_B3_Comp!$B$55:$C$65,2,FALSE))*$B65)</f>
        <v>2.5879697153280006</v>
      </c>
      <c r="F65" s="173">
        <f ca="1">((VLOOKUP(F$59,Tabl_B3_Comp!$B$55:$C$65,2,FALSE))*$B65)</f>
        <v>0</v>
      </c>
      <c r="G65" s="173">
        <f ca="1">((VLOOKUP(G$59,Tabl_B3_Comp!$B$55:$C$65,2,FALSE))*$B65)</f>
        <v>0</v>
      </c>
      <c r="H65" s="173">
        <f ca="1">((VLOOKUP(H$59,Tabl_B3_Comp!$B$55:$C$65,2,FALSE))*$B65)</f>
        <v>0.36169215298560004</v>
      </c>
      <c r="I65" s="173">
        <f ca="1">((VLOOKUP(I$59,Tabl_B3_Comp!$B$55:$C$65,2,FALSE))*$B65)</f>
        <v>0.91826154357120016</v>
      </c>
      <c r="J65" s="173">
        <f ca="1">((VLOOKUP(J$59,Tabl_B3_Comp!$B$55:$C$65,2,FALSE))*$B65)</f>
        <v>0.19020018389760002</v>
      </c>
      <c r="K65" s="173">
        <f ca="1">((VLOOKUP(K$59,Tabl_B3_Comp!$B$55:$C$65,2,FALSE))*$B65)</f>
        <v>3.2583474126720002</v>
      </c>
      <c r="L65" s="173">
        <f ca="1">((VLOOKUP(L$59,Tabl_B3_Comp!$B$55:$C$65,2,FALSE))*$B65)</f>
        <v>0.53786117577600001</v>
      </c>
      <c r="M65" s="173">
        <f ca="1">((VLOOKUP(M$59,Tabl_B3_Comp!$B$55:$C$65,2,FALSE))*$B65)</f>
        <v>5.4253822947840007</v>
      </c>
      <c r="N65" s="173">
        <f ca="1">((VLOOKUP(N$59,Tabl_B3_Comp!$B$55:$C$65,2,FALSE))*$B65)</f>
        <v>0.26503304313600007</v>
      </c>
      <c r="O65" s="174">
        <f ca="1">((VLOOKUP(O$59,Tabl_B3_Comp!$B$55:$C$65,2,FALSE))*$C65)</f>
        <v>1.2234723072000003E-2</v>
      </c>
      <c r="P65" s="173">
        <f ca="1">((VLOOKUP(P$59,Tabl_B3_Comp!$B$55:$C$65,2,FALSE))*$C65)</f>
        <v>7.1012728320000006E-3</v>
      </c>
      <c r="Q65" s="173">
        <f ca="1">((VLOOKUP(Q$59,Tabl_B3_Comp!$B$55:$C$65,2,FALSE))*$C65)</f>
        <v>0</v>
      </c>
      <c r="R65" s="173">
        <f ca="1">((VLOOKUP(R$59,Tabl_B3_Comp!$B$55:$C$65,2,FALSE))*$C65)</f>
        <v>0</v>
      </c>
      <c r="S65" s="173">
        <f ca="1">((VLOOKUP(S$59,Tabl_B3_Comp!$B$55:$C$65,2,FALSE))*$C65)</f>
        <v>9.9246704640000008E-4</v>
      </c>
      <c r="T65" s="173">
        <f ca="1">((VLOOKUP(T$59,Tabl_B3_Comp!$B$55:$C$65,2,FALSE))*$C65)</f>
        <v>2.5196684928000001E-3</v>
      </c>
      <c r="U65" s="173">
        <f ca="1">((VLOOKUP(U$59,Tabl_B3_Comp!$B$55:$C$65,2,FALSE))*$C65)</f>
        <v>5.2190077440000002E-4</v>
      </c>
      <c r="V65" s="173">
        <f ca="1">((VLOOKUP(V$59,Tabl_B3_Comp!$B$55:$C$65,2,FALSE))*$C65)</f>
        <v>8.9407591680000006E-3</v>
      </c>
      <c r="W65" s="173">
        <f ca="1">((VLOOKUP(W$59,Tabl_B3_Comp!$B$55:$C$65,2,FALSE))*$C65)</f>
        <v>1.4758669440000001E-3</v>
      </c>
      <c r="X65" s="173">
        <f ca="1">((VLOOKUP(X$59,Tabl_B3_Comp!$B$55:$C$65,2,FALSE))*$C65)</f>
        <v>1.4887005696000002E-2</v>
      </c>
      <c r="Y65" s="173">
        <f ca="1">((VLOOKUP(Y$59,Tabl_B3_Comp!$B$55:$C$65,2,FALSE))*$C65)</f>
        <v>7.2723878400000018E-4</v>
      </c>
    </row>
    <row r="66" spans="1:25" s="14" customFormat="1">
      <c r="A66" s="16" t="s">
        <v>1287</v>
      </c>
      <c r="B66" s="125">
        <f t="shared" ca="1" si="14"/>
        <v>2209.2518520000003</v>
      </c>
      <c r="C66" s="125">
        <f t="shared" ca="1" si="15"/>
        <v>6.0620880000000001</v>
      </c>
      <c r="D66" s="173">
        <f ca="1">((VLOOKUP(D$59,Tabl_B3_Comp!$B$55:$C$65,2,FALSE))*$B66)</f>
        <v>6.3184602967200014</v>
      </c>
      <c r="E66" s="173">
        <f ca="1">((VLOOKUP(E$59,Tabl_B3_Comp!$B$55:$C$65,2,FALSE))*$B66)</f>
        <v>3.6673580743200005</v>
      </c>
      <c r="F66" s="173">
        <f ca="1">((VLOOKUP(F$59,Tabl_B3_Comp!$B$55:$C$65,2,FALSE))*$B66)</f>
        <v>0</v>
      </c>
      <c r="G66" s="173">
        <f ca="1">((VLOOKUP(G$59,Tabl_B3_Comp!$B$55:$C$65,2,FALSE))*$B66)</f>
        <v>0</v>
      </c>
      <c r="H66" s="173">
        <f ca="1">((VLOOKUP(H$59,Tabl_B3_Comp!$B$55:$C$65,2,FALSE))*$B66)</f>
        <v>0.5125464296640001</v>
      </c>
      <c r="I66" s="173">
        <f ca="1">((VLOOKUP(I$59,Tabl_B3_Comp!$B$55:$C$65,2,FALSE))*$B66)</f>
        <v>1.3012493408280001</v>
      </c>
      <c r="J66" s="173">
        <f ca="1">((VLOOKUP(J$59,Tabl_B3_Comp!$B$55:$C$65,2,FALSE))*$B66)</f>
        <v>0.26952872594400001</v>
      </c>
      <c r="K66" s="173">
        <f ca="1">((VLOOKUP(K$59,Tabl_B3_Comp!$B$55:$C$65,2,FALSE))*$B66)</f>
        <v>4.6173363706800004</v>
      </c>
      <c r="L66" s="173">
        <f ca="1">((VLOOKUP(L$59,Tabl_B3_Comp!$B$55:$C$65,2,FALSE))*$B66)</f>
        <v>0.76219188894000012</v>
      </c>
      <c r="M66" s="173">
        <f ca="1">((VLOOKUP(M$59,Tabl_B3_Comp!$B$55:$C$65,2,FALSE))*$B66)</f>
        <v>7.6881964449600009</v>
      </c>
      <c r="N66" s="173">
        <f ca="1">((VLOOKUP(N$59,Tabl_B3_Comp!$B$55:$C$65,2,FALSE))*$B66)</f>
        <v>0.3755728148400001</v>
      </c>
      <c r="O66" s="174">
        <f ca="1">((VLOOKUP(O$59,Tabl_B3_Comp!$B$55:$C$65,2,FALSE))*$C66)</f>
        <v>1.733757168E-2</v>
      </c>
      <c r="P66" s="173">
        <f ca="1">((VLOOKUP(P$59,Tabl_B3_Comp!$B$55:$C$65,2,FALSE))*$C66)</f>
        <v>1.006306608E-2</v>
      </c>
      <c r="Q66" s="173">
        <f ca="1">((VLOOKUP(Q$59,Tabl_B3_Comp!$B$55:$C$65,2,FALSE))*$C66)</f>
        <v>0</v>
      </c>
      <c r="R66" s="173">
        <f ca="1">((VLOOKUP(R$59,Tabl_B3_Comp!$B$55:$C$65,2,FALSE))*$C66)</f>
        <v>0</v>
      </c>
      <c r="S66" s="173">
        <f ca="1">((VLOOKUP(S$59,Tabl_B3_Comp!$B$55:$C$65,2,FALSE))*$C66)</f>
        <v>1.4064044160000001E-3</v>
      </c>
      <c r="T66" s="173">
        <f ca="1">((VLOOKUP(T$59,Tabl_B3_Comp!$B$55:$C$65,2,FALSE))*$C66)</f>
        <v>3.5705698320000001E-3</v>
      </c>
      <c r="U66" s="173">
        <f ca="1">((VLOOKUP(U$59,Tabl_B3_Comp!$B$55:$C$65,2,FALSE))*$C66)</f>
        <v>7.3957473599999999E-4</v>
      </c>
      <c r="V66" s="173">
        <f ca="1">((VLOOKUP(V$59,Tabl_B3_Comp!$B$55:$C$65,2,FALSE))*$C66)</f>
        <v>1.2669763919999999E-2</v>
      </c>
      <c r="W66" s="173">
        <f ca="1">((VLOOKUP(W$59,Tabl_B3_Comp!$B$55:$C$65,2,FALSE))*$C66)</f>
        <v>2.0914203599999999E-3</v>
      </c>
      <c r="X66" s="173">
        <f ca="1">((VLOOKUP(X$59,Tabl_B3_Comp!$B$55:$C$65,2,FALSE))*$C66)</f>
        <v>2.1096066239999999E-2</v>
      </c>
      <c r="Y66" s="173">
        <f ca="1">((VLOOKUP(Y$59,Tabl_B3_Comp!$B$55:$C$65,2,FALSE))*$C66)</f>
        <v>1.03055496E-3</v>
      </c>
    </row>
    <row r="67" spans="1:25" s="14" customFormat="1">
      <c r="A67" s="16" t="s">
        <v>1288</v>
      </c>
      <c r="B67" s="125">
        <f t="shared" ca="1" si="14"/>
        <v>1769.3309592000001</v>
      </c>
      <c r="C67" s="125">
        <f t="shared" ca="1" si="15"/>
        <v>4.8549648000000003</v>
      </c>
      <c r="D67" s="173">
        <f ca="1">((VLOOKUP(D$59,Tabl_B3_Comp!$B$55:$C$65,2,FALSE))*$B67)</f>
        <v>5.0602865433120003</v>
      </c>
      <c r="E67" s="173">
        <f ca="1">((VLOOKUP(E$59,Tabl_B3_Comp!$B$55:$C$65,2,FALSE))*$B67)</f>
        <v>2.9370893922720001</v>
      </c>
      <c r="F67" s="173">
        <f ca="1">((VLOOKUP(F$59,Tabl_B3_Comp!$B$55:$C$65,2,FALSE))*$B67)</f>
        <v>0</v>
      </c>
      <c r="G67" s="173">
        <f ca="1">((VLOOKUP(G$59,Tabl_B3_Comp!$B$55:$C$65,2,FALSE))*$B67)</f>
        <v>0</v>
      </c>
      <c r="H67" s="173">
        <f ca="1">((VLOOKUP(H$59,Tabl_B3_Comp!$B$55:$C$65,2,FALSE))*$B67)</f>
        <v>0.41048478253440002</v>
      </c>
      <c r="I67" s="173">
        <f ca="1">((VLOOKUP(I$59,Tabl_B3_Comp!$B$55:$C$65,2,FALSE))*$B67)</f>
        <v>1.0421359349688</v>
      </c>
      <c r="J67" s="173">
        <f ca="1">((VLOOKUP(J$59,Tabl_B3_Comp!$B$55:$C$65,2,FALSE))*$B67)</f>
        <v>0.21585837702239999</v>
      </c>
      <c r="K67" s="173">
        <f ca="1">((VLOOKUP(K$59,Tabl_B3_Comp!$B$55:$C$65,2,FALSE))*$B67)</f>
        <v>3.6979017047279998</v>
      </c>
      <c r="L67" s="173">
        <f ca="1">((VLOOKUP(L$59,Tabl_B3_Comp!$B$55:$C$65,2,FALSE))*$B67)</f>
        <v>0.61041918092399994</v>
      </c>
      <c r="M67" s="173">
        <f ca="1">((VLOOKUP(M$59,Tabl_B3_Comp!$B$55:$C$65,2,FALSE))*$B67)</f>
        <v>6.157271738016</v>
      </c>
      <c r="N67" s="173">
        <f ca="1">((VLOOKUP(N$59,Tabl_B3_Comp!$B$55:$C$65,2,FALSE))*$B67)</f>
        <v>0.30078626306400003</v>
      </c>
      <c r="O67" s="174">
        <f ca="1">((VLOOKUP(O$59,Tabl_B3_Comp!$B$55:$C$65,2,FALSE))*$C67)</f>
        <v>1.3885199328000001E-2</v>
      </c>
      <c r="P67" s="173">
        <f ca="1">((VLOOKUP(P$59,Tabl_B3_Comp!$B$55:$C$65,2,FALSE))*$C67)</f>
        <v>8.0592415680000012E-3</v>
      </c>
      <c r="Q67" s="173">
        <f ca="1">((VLOOKUP(Q$59,Tabl_B3_Comp!$B$55:$C$65,2,FALSE))*$C67)</f>
        <v>0</v>
      </c>
      <c r="R67" s="173">
        <f ca="1">((VLOOKUP(R$59,Tabl_B3_Comp!$B$55:$C$65,2,FALSE))*$C67)</f>
        <v>0</v>
      </c>
      <c r="S67" s="173">
        <f ca="1">((VLOOKUP(S$59,Tabl_B3_Comp!$B$55:$C$65,2,FALSE))*$C67)</f>
        <v>1.1263518336000001E-3</v>
      </c>
      <c r="T67" s="173">
        <f ca="1">((VLOOKUP(T$59,Tabl_B3_Comp!$B$55:$C$65,2,FALSE))*$C67)</f>
        <v>2.8595742672000001E-3</v>
      </c>
      <c r="U67" s="173">
        <f ca="1">((VLOOKUP(U$59,Tabl_B3_Comp!$B$55:$C$65,2,FALSE))*$C67)</f>
        <v>5.9230570559999998E-4</v>
      </c>
      <c r="V67" s="173">
        <f ca="1">((VLOOKUP(V$59,Tabl_B3_Comp!$B$55:$C$65,2,FALSE))*$C67)</f>
        <v>1.0146876431999999E-2</v>
      </c>
      <c r="W67" s="173">
        <f ca="1">((VLOOKUP(W$59,Tabl_B3_Comp!$B$55:$C$65,2,FALSE))*$C67)</f>
        <v>1.6749628559999999E-3</v>
      </c>
      <c r="X67" s="173">
        <f ca="1">((VLOOKUP(X$59,Tabl_B3_Comp!$B$55:$C$65,2,FALSE))*$C67)</f>
        <v>1.6895277504000002E-2</v>
      </c>
      <c r="Y67" s="173">
        <f ca="1">((VLOOKUP(Y$59,Tabl_B3_Comp!$B$55:$C$65,2,FALSE))*$C67)</f>
        <v>8.2534401600000014E-4</v>
      </c>
    </row>
    <row r="68" spans="1:25" s="14" customFormat="1">
      <c r="A68" s="16" t="s">
        <v>1289</v>
      </c>
      <c r="B68" s="125">
        <f t="shared" ca="1" si="14"/>
        <v>19476.146894400001</v>
      </c>
      <c r="C68" s="125">
        <f t="shared" ca="1" si="15"/>
        <v>106.8833472</v>
      </c>
      <c r="D68" s="173">
        <f ca="1">((VLOOKUP(D$59,Tabl_B3_Comp!$B$55:$C$65,2,FALSE))*$B68)</f>
        <v>55.701780117984008</v>
      </c>
      <c r="E68" s="173">
        <f ca="1">((VLOOKUP(E$59,Tabl_B3_Comp!$B$55:$C$65,2,FALSE))*$B68)</f>
        <v>32.330403844704001</v>
      </c>
      <c r="F68" s="173">
        <f ca="1">((VLOOKUP(F$59,Tabl_B3_Comp!$B$55:$C$65,2,FALSE))*$B68)</f>
        <v>0</v>
      </c>
      <c r="G68" s="173">
        <f ca="1">((VLOOKUP(G$59,Tabl_B3_Comp!$B$55:$C$65,2,FALSE))*$B68)</f>
        <v>0</v>
      </c>
      <c r="H68" s="173">
        <f ca="1">((VLOOKUP(H$59,Tabl_B3_Comp!$B$55:$C$65,2,FALSE))*$B68)</f>
        <v>4.5184660795007998</v>
      </c>
      <c r="I68" s="173">
        <f ca="1">((VLOOKUP(I$59,Tabl_B3_Comp!$B$55:$C$65,2,FALSE))*$B68)</f>
        <v>11.4714505208016</v>
      </c>
      <c r="J68" s="173">
        <f ca="1">((VLOOKUP(J$59,Tabl_B3_Comp!$B$55:$C$65,2,FALSE))*$B68)</f>
        <v>2.3760899211168001</v>
      </c>
      <c r="K68" s="173">
        <f ca="1">((VLOOKUP(K$59,Tabl_B3_Comp!$B$55:$C$65,2,FALSE))*$B68)</f>
        <v>40.705147009295999</v>
      </c>
      <c r="L68" s="173">
        <f ca="1">((VLOOKUP(L$59,Tabl_B3_Comp!$B$55:$C$65,2,FALSE))*$B68)</f>
        <v>6.7192706785679999</v>
      </c>
      <c r="M68" s="173">
        <f ca="1">((VLOOKUP(M$59,Tabl_B3_Comp!$B$55:$C$65,2,FALSE))*$B68)</f>
        <v>67.776991192512</v>
      </c>
      <c r="N68" s="173">
        <f ca="1">((VLOOKUP(N$59,Tabl_B3_Comp!$B$55:$C$65,2,FALSE))*$B68)</f>
        <v>3.3109449720480004</v>
      </c>
      <c r="O68" s="174">
        <f ca="1">((VLOOKUP(O$59,Tabl_B3_Comp!$B$55:$C$65,2,FALSE))*$C68)</f>
        <v>0.30568637299200002</v>
      </c>
      <c r="P68" s="173">
        <f ca="1">((VLOOKUP(P$59,Tabl_B3_Comp!$B$55:$C$65,2,FALSE))*$C68)</f>
        <v>0.17742635635200002</v>
      </c>
      <c r="Q68" s="173">
        <f ca="1">((VLOOKUP(Q$59,Tabl_B3_Comp!$B$55:$C$65,2,FALSE))*$C68)</f>
        <v>0</v>
      </c>
      <c r="R68" s="173">
        <f ca="1">((VLOOKUP(R$59,Tabl_B3_Comp!$B$55:$C$65,2,FALSE))*$C68)</f>
        <v>0</v>
      </c>
      <c r="S68" s="173">
        <f ca="1">((VLOOKUP(S$59,Tabl_B3_Comp!$B$55:$C$65,2,FALSE))*$C68)</f>
        <v>2.4796936550400002E-2</v>
      </c>
      <c r="T68" s="173">
        <f ca="1">((VLOOKUP(T$59,Tabl_B3_Comp!$B$55:$C$65,2,FALSE))*$C68)</f>
        <v>6.2954291500800008E-2</v>
      </c>
      <c r="U68" s="173">
        <f ca="1">((VLOOKUP(U$59,Tabl_B3_Comp!$B$55:$C$65,2,FALSE))*$C68)</f>
        <v>1.3039768358400001E-2</v>
      </c>
      <c r="V68" s="173">
        <f ca="1">((VLOOKUP(V$59,Tabl_B3_Comp!$B$55:$C$65,2,FALSE))*$C68)</f>
        <v>0.223386195648</v>
      </c>
      <c r="W68" s="173">
        <f ca="1">((VLOOKUP(W$59,Tabl_B3_Comp!$B$55:$C$65,2,FALSE))*$C68)</f>
        <v>3.6874754784E-2</v>
      </c>
      <c r="X68" s="173">
        <f ca="1">((VLOOKUP(X$59,Tabl_B3_Comp!$B$55:$C$65,2,FALSE))*$C68)</f>
        <v>0.37195404825600004</v>
      </c>
      <c r="Y68" s="173">
        <f ca="1">((VLOOKUP(Y$59,Tabl_B3_Comp!$B$55:$C$65,2,FALSE))*$C68)</f>
        <v>1.8170169024000003E-2</v>
      </c>
    </row>
    <row r="69" spans="1:25" s="14" customFormat="1">
      <c r="A69" s="16" t="s">
        <v>1290</v>
      </c>
      <c r="B69" s="125">
        <f t="shared" ca="1" si="14"/>
        <v>2556.0754506000003</v>
      </c>
      <c r="C69" s="125">
        <f t="shared" ca="1" si="15"/>
        <v>9.1990200000000009</v>
      </c>
      <c r="D69" s="173">
        <f ca="1">((VLOOKUP(D$59,Tabl_B3_Comp!$B$55:$C$65,2,FALSE))*$B69)</f>
        <v>7.3103757887160015</v>
      </c>
      <c r="E69" s="173">
        <f ca="1">((VLOOKUP(E$59,Tabl_B3_Comp!$B$55:$C$65,2,FALSE))*$B69)</f>
        <v>4.2430852479960004</v>
      </c>
      <c r="F69" s="173">
        <f ca="1">((VLOOKUP(F$59,Tabl_B3_Comp!$B$55:$C$65,2,FALSE))*$B69)</f>
        <v>0</v>
      </c>
      <c r="G69" s="173">
        <f ca="1">((VLOOKUP(G$59,Tabl_B3_Comp!$B$55:$C$65,2,FALSE))*$B69)</f>
        <v>0</v>
      </c>
      <c r="H69" s="173">
        <f ca="1">((VLOOKUP(H$59,Tabl_B3_Comp!$B$55:$C$65,2,FALSE))*$B69)</f>
        <v>0.59300950453920009</v>
      </c>
      <c r="I69" s="173">
        <f ca="1">((VLOOKUP(I$59,Tabl_B3_Comp!$B$55:$C$65,2,FALSE))*$B69)</f>
        <v>1.5055284404034002</v>
      </c>
      <c r="J69" s="173">
        <f ca="1">((VLOOKUP(J$59,Tabl_B3_Comp!$B$55:$C$65,2,FALSE))*$B69)</f>
        <v>0.3118412049732</v>
      </c>
      <c r="K69" s="173">
        <f ca="1">((VLOOKUP(K$59,Tabl_B3_Comp!$B$55:$C$65,2,FALSE))*$B69)</f>
        <v>5.3421976917540004</v>
      </c>
      <c r="L69" s="173">
        <f ca="1">((VLOOKUP(L$59,Tabl_B3_Comp!$B$55:$C$65,2,FALSE))*$B69)</f>
        <v>0.88184603045700005</v>
      </c>
      <c r="M69" s="173">
        <f ca="1">((VLOOKUP(M$59,Tabl_B3_Comp!$B$55:$C$65,2,FALSE))*$B69)</f>
        <v>8.8951425680880014</v>
      </c>
      <c r="N69" s="173">
        <f ca="1">((VLOOKUP(N$59,Tabl_B3_Comp!$B$55:$C$65,2,FALSE))*$B69)</f>
        <v>0.4345328266020001</v>
      </c>
      <c r="O69" s="174">
        <f ca="1">((VLOOKUP(O$59,Tabl_B3_Comp!$B$55:$C$65,2,FALSE))*$C69)</f>
        <v>2.6309197200000002E-2</v>
      </c>
      <c r="P69" s="173">
        <f ca="1">((VLOOKUP(P$59,Tabl_B3_Comp!$B$55:$C$65,2,FALSE))*$C69)</f>
        <v>1.5270373200000001E-2</v>
      </c>
      <c r="Q69" s="173">
        <f ca="1">((VLOOKUP(Q$59,Tabl_B3_Comp!$B$55:$C$65,2,FALSE))*$C69)</f>
        <v>0</v>
      </c>
      <c r="R69" s="173">
        <f ca="1">((VLOOKUP(R$59,Tabl_B3_Comp!$B$55:$C$65,2,FALSE))*$C69)</f>
        <v>0</v>
      </c>
      <c r="S69" s="173">
        <f ca="1">((VLOOKUP(S$59,Tabl_B3_Comp!$B$55:$C$65,2,FALSE))*$C69)</f>
        <v>2.1341726400000002E-3</v>
      </c>
      <c r="T69" s="173">
        <f ca="1">((VLOOKUP(T$59,Tabl_B3_Comp!$B$55:$C$65,2,FALSE))*$C69)</f>
        <v>5.4182227800000007E-3</v>
      </c>
      <c r="U69" s="173">
        <f ca="1">((VLOOKUP(U$59,Tabl_B3_Comp!$B$55:$C$65,2,FALSE))*$C69)</f>
        <v>1.12228044E-3</v>
      </c>
      <c r="V69" s="173">
        <f ca="1">((VLOOKUP(V$59,Tabl_B3_Comp!$B$55:$C$65,2,FALSE))*$C69)</f>
        <v>1.9225951800000002E-2</v>
      </c>
      <c r="W69" s="173">
        <f ca="1">((VLOOKUP(W$59,Tabl_B3_Comp!$B$55:$C$65,2,FALSE))*$C69)</f>
        <v>3.1736619000000002E-3</v>
      </c>
      <c r="X69" s="173">
        <f ca="1">((VLOOKUP(X$59,Tabl_B3_Comp!$B$55:$C$65,2,FALSE))*$C69)</f>
        <v>3.2012589600000002E-2</v>
      </c>
      <c r="Y69" s="173">
        <f ca="1">((VLOOKUP(Y$59,Tabl_B3_Comp!$B$55:$C$65,2,FALSE))*$C69)</f>
        <v>1.5638334000000003E-3</v>
      </c>
    </row>
    <row r="70" spans="1:25">
      <c r="A70" s="16" t="s">
        <v>1513</v>
      </c>
      <c r="B70" s="125">
        <f t="shared" ref="B70" ca="1" si="16">SUMIF($A$12:$I$42,A70,$H$12:$H$42)</f>
        <v>2.6096184539999996</v>
      </c>
      <c r="C70" s="125">
        <f t="shared" ref="C70" ca="1" si="17">SUMIF($A$12:$I$42,A70,$I$12:$I$42)</f>
        <v>7.1606759999999995E-3</v>
      </c>
      <c r="D70" s="173">
        <f ca="1">((VLOOKUP(D$59,Tabl_B3_Comp!$B$55:$C$65,2,FALSE))*$B70)</f>
        <v>7.4635087784399989E-3</v>
      </c>
      <c r="E70" s="173">
        <f ca="1">((VLOOKUP(E$59,Tabl_B3_Comp!$B$55:$C$65,2,FALSE))*$B70)</f>
        <v>4.3319666336399994E-3</v>
      </c>
      <c r="F70" s="173">
        <f ca="1">((VLOOKUP(F$59,Tabl_B3_Comp!$B$55:$C$65,2,FALSE))*$B70)</f>
        <v>0</v>
      </c>
      <c r="G70" s="173">
        <f ca="1">((VLOOKUP(G$59,Tabl_B3_Comp!$B$55:$C$65,2,FALSE))*$B70)</f>
        <v>0</v>
      </c>
      <c r="H70" s="173">
        <f ca="1">((VLOOKUP(H$59,Tabl_B3_Comp!$B$55:$C$65,2,FALSE))*$B70)</f>
        <v>6.0543148132799994E-4</v>
      </c>
      <c r="I70" s="173">
        <f ca="1">((VLOOKUP(I$59,Tabl_B3_Comp!$B$55:$C$65,2,FALSE))*$B70)</f>
        <v>1.5370652694059997E-3</v>
      </c>
      <c r="J70" s="173">
        <f ca="1">((VLOOKUP(J$59,Tabl_B3_Comp!$B$55:$C$65,2,FALSE))*$B70)</f>
        <v>3.1837345138799994E-4</v>
      </c>
      <c r="K70" s="173">
        <f ca="1">((VLOOKUP(K$59,Tabl_B3_Comp!$B$55:$C$65,2,FALSE))*$B70)</f>
        <v>5.4541025688599988E-3</v>
      </c>
      <c r="L70" s="173">
        <f ca="1">((VLOOKUP(L$59,Tabl_B3_Comp!$B$55:$C$65,2,FALSE))*$B70)</f>
        <v>9.0031836662999979E-4</v>
      </c>
      <c r="M70" s="173">
        <f ca="1">((VLOOKUP(M$59,Tabl_B3_Comp!$B$55:$C$65,2,FALSE))*$B70)</f>
        <v>9.081472219919999E-3</v>
      </c>
      <c r="N70" s="173">
        <f ca="1">((VLOOKUP(N$59,Tabl_B3_Comp!$B$55:$C$65,2,FALSE))*$B70)</f>
        <v>4.4363513717999995E-4</v>
      </c>
      <c r="O70" s="174">
        <f ca="1">((VLOOKUP(O$59,Tabl_B3_Comp!$B$55:$C$65,2,FALSE))*$C70)</f>
        <v>2.047953336E-5</v>
      </c>
      <c r="P70" s="173">
        <f ca="1">((VLOOKUP(P$59,Tabl_B3_Comp!$B$55:$C$65,2,FALSE))*$C70)</f>
        <v>1.188672216E-5</v>
      </c>
      <c r="Q70" s="173">
        <f ca="1">((VLOOKUP(Q$59,Tabl_B3_Comp!$B$55:$C$65,2,FALSE))*$C70)</f>
        <v>0</v>
      </c>
      <c r="R70" s="173">
        <f ca="1">((VLOOKUP(R$59,Tabl_B3_Comp!$B$55:$C$65,2,FALSE))*$C70)</f>
        <v>0</v>
      </c>
      <c r="S70" s="173">
        <f ca="1">((VLOOKUP(S$59,Tabl_B3_Comp!$B$55:$C$65,2,FALSE))*$C70)</f>
        <v>1.6612768319999999E-6</v>
      </c>
      <c r="T70" s="173">
        <f ca="1">((VLOOKUP(T$59,Tabl_B3_Comp!$B$55:$C$65,2,FALSE))*$C70)</f>
        <v>4.217638164E-6</v>
      </c>
      <c r="U70" s="173">
        <f ca="1">((VLOOKUP(U$59,Tabl_B3_Comp!$B$55:$C$65,2,FALSE))*$C70)</f>
        <v>8.7360247199999996E-7</v>
      </c>
      <c r="V70" s="173">
        <f ca="1">((VLOOKUP(V$59,Tabl_B3_Comp!$B$55:$C$65,2,FALSE))*$C70)</f>
        <v>1.4965812839999998E-5</v>
      </c>
      <c r="W70" s="173">
        <f ca="1">((VLOOKUP(W$59,Tabl_B3_Comp!$B$55:$C$65,2,FALSE))*$C70)</f>
        <v>2.4704332199999999E-6</v>
      </c>
      <c r="X70" s="173">
        <f ca="1">((VLOOKUP(X$59,Tabl_B3_Comp!$B$55:$C$65,2,FALSE))*$C70)</f>
        <v>2.4919152479999997E-5</v>
      </c>
      <c r="Y70" s="173">
        <f ca="1">((VLOOKUP(Y$59,Tabl_B3_Comp!$B$55:$C$65,2,FALSE))*$C70)</f>
        <v>1.2173149200000001E-6</v>
      </c>
    </row>
    <row r="71" spans="1:25">
      <c r="A71" s="16" t="s">
        <v>1514</v>
      </c>
      <c r="B71" s="125">
        <f ca="1">SUMIF($A$12:$I$42,A71,$H$12:$H$42)</f>
        <v>3.6382229625600004</v>
      </c>
      <c r="C71" s="125">
        <f ca="1">SUMIF($A$12:$I$42,A71,$I$12:$I$42)</f>
        <v>9.983120639999999E-3</v>
      </c>
      <c r="D71" s="173">
        <f ca="1">((VLOOKUP(D$59,Tabl_B3_Comp!$B$55:$C$65,2,FALSE))*$B71)</f>
        <v>1.0405317672921601E-2</v>
      </c>
      <c r="E71" s="173">
        <f ca="1">((VLOOKUP(E$59,Tabl_B3_Comp!$B$55:$C$65,2,FALSE))*$B71)</f>
        <v>6.0394501178496008E-3</v>
      </c>
      <c r="F71" s="173">
        <f ca="1">((VLOOKUP(F$59,Tabl_B3_Comp!$B$55:$C$65,2,FALSE))*$B71)</f>
        <v>0</v>
      </c>
      <c r="G71" s="173">
        <f ca="1">((VLOOKUP(G$59,Tabl_B3_Comp!$B$55:$C$65,2,FALSE))*$B71)</f>
        <v>0</v>
      </c>
      <c r="H71" s="173">
        <f ca="1">((VLOOKUP(H$59,Tabl_B3_Comp!$B$55:$C$65,2,FALSE))*$B71)</f>
        <v>8.4406772731392013E-4</v>
      </c>
      <c r="I71" s="173">
        <f ca="1">((VLOOKUP(I$59,Tabl_B3_Comp!$B$55:$C$65,2,FALSE))*$B71)</f>
        <v>2.1429133249478401E-3</v>
      </c>
      <c r="J71" s="173">
        <f ca="1">((VLOOKUP(J$59,Tabl_B3_Comp!$B$55:$C$65,2,FALSE))*$B71)</f>
        <v>4.4386320143232006E-4</v>
      </c>
      <c r="K71" s="173">
        <f ca="1">((VLOOKUP(K$59,Tabl_B3_Comp!$B$55:$C$65,2,FALSE))*$B71)</f>
        <v>7.6038859917504E-3</v>
      </c>
      <c r="L71" s="173">
        <f ca="1">((VLOOKUP(L$59,Tabl_B3_Comp!$B$55:$C$65,2,FALSE))*$B71)</f>
        <v>1.2551869220832001E-3</v>
      </c>
      <c r="M71" s="173">
        <f ca="1">((VLOOKUP(M$59,Tabl_B3_Comp!$B$55:$C$65,2,FALSE))*$B71)</f>
        <v>1.2661015909708801E-2</v>
      </c>
      <c r="N71" s="173">
        <f ca="1">((VLOOKUP(N$59,Tabl_B3_Comp!$B$55:$C$65,2,FALSE))*$B71)</f>
        <v>6.1849790363520017E-4</v>
      </c>
      <c r="O71" s="174">
        <f ca="1">((VLOOKUP(O$59,Tabl_B3_Comp!$B$55:$C$65,2,FALSE))*$C71)</f>
        <v>2.8551725030399997E-5</v>
      </c>
      <c r="P71" s="173">
        <f ca="1">((VLOOKUP(P$59,Tabl_B3_Comp!$B$55:$C$65,2,FALSE))*$C71)</f>
        <v>1.6571980262399997E-5</v>
      </c>
      <c r="Q71" s="173">
        <f ca="1">((VLOOKUP(Q$59,Tabl_B3_Comp!$B$55:$C$65,2,FALSE))*$C71)</f>
        <v>0</v>
      </c>
      <c r="R71" s="173">
        <f ca="1">((VLOOKUP(R$59,Tabl_B3_Comp!$B$55:$C$65,2,FALSE))*$C71)</f>
        <v>0</v>
      </c>
      <c r="S71" s="173">
        <f ca="1">((VLOOKUP(S$59,Tabl_B3_Comp!$B$55:$C$65,2,FALSE))*$C71)</f>
        <v>2.3160839884799997E-6</v>
      </c>
      <c r="T71" s="173">
        <f ca="1">((VLOOKUP(T$59,Tabl_B3_Comp!$B$55:$C$65,2,FALSE))*$C71)</f>
        <v>5.8800580569599993E-6</v>
      </c>
      <c r="U71" s="173">
        <f ca="1">((VLOOKUP(U$59,Tabl_B3_Comp!$B$55:$C$65,2,FALSE))*$C71)</f>
        <v>1.2179407180799998E-6</v>
      </c>
      <c r="V71" s="173">
        <f ca="1">((VLOOKUP(V$59,Tabl_B3_Comp!$B$55:$C$65,2,FALSE))*$C71)</f>
        <v>2.0864722137599998E-5</v>
      </c>
      <c r="W71" s="173">
        <f ca="1">((VLOOKUP(W$59,Tabl_B3_Comp!$B$55:$C$65,2,FALSE))*$C71)</f>
        <v>3.4441766207999996E-6</v>
      </c>
      <c r="X71" s="173">
        <f ca="1">((VLOOKUP(X$59,Tabl_B3_Comp!$B$55:$C$65,2,FALSE))*$C71)</f>
        <v>3.4741259827199996E-5</v>
      </c>
      <c r="Y71" s="173">
        <f ca="1">((VLOOKUP(Y$59,Tabl_B3_Comp!$B$55:$C$65,2,FALSE))*$C71)</f>
        <v>1.6971305087999999E-6</v>
      </c>
    </row>
    <row r="72" spans="1:25">
      <c r="A72" s="16"/>
      <c r="B72" s="381" t="s">
        <v>1559</v>
      </c>
      <c r="C72" s="381"/>
      <c r="D72" s="173">
        <f ca="1">SUM(D61:D71)</f>
        <v>88.593576981671376</v>
      </c>
      <c r="E72" s="173">
        <f t="shared" ref="E72:Y72" ca="1" si="18">SUM(E61:E71)</f>
        <v>51.42144677957149</v>
      </c>
      <c r="F72" s="173">
        <f t="shared" ca="1" si="18"/>
        <v>0</v>
      </c>
      <c r="G72" s="173">
        <f t="shared" ca="1" si="18"/>
        <v>0</v>
      </c>
      <c r="H72" s="173">
        <f t="shared" ca="1" si="18"/>
        <v>7.1866118390726426</v>
      </c>
      <c r="I72" s="173">
        <f t="shared" ca="1" si="18"/>
        <v>18.245320574197354</v>
      </c>
      <c r="J72" s="173">
        <f t="shared" ca="1" si="18"/>
        <v>3.7791665705468205</v>
      </c>
      <c r="K72" s="173">
        <f t="shared" ca="1" si="18"/>
        <v>64.741460101990612</v>
      </c>
      <c r="L72" s="173">
        <f t="shared" ca="1" si="18"/>
        <v>10.686987433103715</v>
      </c>
      <c r="M72" s="173">
        <f t="shared" ca="1" si="18"/>
        <v>107.79917758608964</v>
      </c>
      <c r="N72" s="173">
        <f t="shared" ca="1" si="18"/>
        <v>5.2660517786308159</v>
      </c>
      <c r="O72" s="174">
        <f t="shared" ca="1" si="18"/>
        <v>0.40218984233039046</v>
      </c>
      <c r="P72" s="173">
        <f t="shared" ca="1" si="18"/>
        <v>0.23343885953442239</v>
      </c>
      <c r="Q72" s="173">
        <f t="shared" ca="1" si="18"/>
        <v>0</v>
      </c>
      <c r="R72" s="173">
        <f t="shared" ca="1" si="18"/>
        <v>0</v>
      </c>
      <c r="S72" s="173">
        <f t="shared" ca="1" si="18"/>
        <v>3.262519000722048E-2</v>
      </c>
      <c r="T72" s="173">
        <f t="shared" ca="1" si="18"/>
        <v>8.2828607389020967E-2</v>
      </c>
      <c r="U72" s="173">
        <f t="shared" ca="1" si="18"/>
        <v>1.7156349917590085E-2</v>
      </c>
      <c r="V72" s="173">
        <f t="shared" ca="1" si="18"/>
        <v>0.29390796170297762</v>
      </c>
      <c r="W72" s="173">
        <f t="shared" ca="1" si="18"/>
        <v>4.8515907553840797E-2</v>
      </c>
      <c r="X72" s="173">
        <f t="shared" ca="1" si="18"/>
        <v>0.48937785010830726</v>
      </c>
      <c r="Y72" s="173">
        <f t="shared" ca="1" si="18"/>
        <v>2.3906389229428806E-2</v>
      </c>
    </row>
    <row r="74" spans="1:25">
      <c r="D74" s="5">
        <f ca="1">SUM(D61:N71)</f>
        <v>357.7197996448744</v>
      </c>
    </row>
    <row r="75" spans="1:25">
      <c r="A75" s="137"/>
      <c r="B75" s="139"/>
      <c r="C75" s="122"/>
    </row>
    <row r="76" spans="1:25">
      <c r="A76" s="122"/>
      <c r="B76" s="138"/>
      <c r="C76" s="122"/>
    </row>
  </sheetData>
  <mergeCells count="3">
    <mergeCell ref="D58:N58"/>
    <mergeCell ref="O58:Y58"/>
    <mergeCell ref="B72:C72"/>
  </mergeCells>
  <phoneticPr fontId="6"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BAE4-CA00-414C-912D-1619AA3AD002}">
  <sheetPr codeName="Sheet12"/>
  <dimension ref="A1:W67"/>
  <sheetViews>
    <sheetView zoomScale="120" zoomScaleNormal="120" workbookViewId="0">
      <selection activeCell="A69" sqref="A69"/>
    </sheetView>
  </sheetViews>
  <sheetFormatPr defaultColWidth="11" defaultRowHeight="15.6"/>
  <cols>
    <col min="1" max="1" width="49" customWidth="1"/>
    <col min="2" max="14" width="13" customWidth="1"/>
  </cols>
  <sheetData>
    <row r="1" spans="1:15" ht="18">
      <c r="A1" s="157" t="s">
        <v>1526</v>
      </c>
      <c r="C1" s="33"/>
    </row>
    <row r="2" spans="1:15" ht="18">
      <c r="A2" s="157" t="s">
        <v>1533</v>
      </c>
    </row>
    <row r="4" spans="1:15">
      <c r="B4" s="369" t="s">
        <v>1419</v>
      </c>
      <c r="C4" s="369"/>
      <c r="D4" s="369"/>
      <c r="E4" s="369"/>
      <c r="F4" s="369"/>
      <c r="G4" s="369"/>
      <c r="H4" s="369" t="s">
        <v>1407</v>
      </c>
      <c r="I4" s="369"/>
      <c r="J4" s="369"/>
      <c r="K4" s="369"/>
      <c r="L4" s="369"/>
      <c r="M4" s="369"/>
      <c r="N4" s="369"/>
    </row>
    <row r="5" spans="1:15" ht="31.2">
      <c r="A5" s="1" t="s">
        <v>1402</v>
      </c>
      <c r="B5" s="1" t="s">
        <v>1349</v>
      </c>
      <c r="C5" s="1" t="s">
        <v>1350</v>
      </c>
      <c r="D5" s="1" t="s">
        <v>1404</v>
      </c>
      <c r="E5" s="1" t="s">
        <v>1405</v>
      </c>
      <c r="F5" s="1" t="s">
        <v>1406</v>
      </c>
      <c r="G5" s="1" t="s">
        <v>1403</v>
      </c>
      <c r="H5" s="1" t="s">
        <v>1349</v>
      </c>
      <c r="I5" s="1" t="s">
        <v>1350</v>
      </c>
      <c r="J5" s="1" t="s">
        <v>1404</v>
      </c>
      <c r="K5" s="1" t="s">
        <v>1405</v>
      </c>
      <c r="L5" s="1" t="s">
        <v>1406</v>
      </c>
      <c r="M5" s="315" t="s">
        <v>1671</v>
      </c>
      <c r="N5" s="315" t="s">
        <v>1670</v>
      </c>
      <c r="O5" s="1"/>
    </row>
    <row r="6" spans="1:15" ht="18" customHeight="1">
      <c r="A6" t="s">
        <v>418</v>
      </c>
      <c r="B6" s="2" t="s">
        <v>1418</v>
      </c>
      <c r="C6" s="2" t="s">
        <v>1418</v>
      </c>
      <c r="D6" s="2" t="s">
        <v>1418</v>
      </c>
      <c r="E6" s="2" t="s">
        <v>1418</v>
      </c>
      <c r="F6" s="2" t="s">
        <v>1418</v>
      </c>
      <c r="G6" s="2" t="s">
        <v>1418</v>
      </c>
      <c r="H6" s="2">
        <f t="shared" ref="H6:H47" si="0">IF(B6="ND",0,B6/1000000)</f>
        <v>0</v>
      </c>
      <c r="I6" s="2">
        <f t="shared" ref="I6:I47" si="1">IF(C6="ND",0,C6/1000000)</f>
        <v>0</v>
      </c>
      <c r="J6" s="2">
        <f t="shared" ref="J6:J47" si="2">IF(D6="ND",0,D6/1000000)</f>
        <v>0</v>
      </c>
      <c r="K6" s="2">
        <f t="shared" ref="K6:K47" si="3">IF(E6="ND",0,E6/1000000)</f>
        <v>0</v>
      </c>
      <c r="L6" s="2">
        <f t="shared" ref="L6:L47" si="4">IF(F6="ND",0,F6/1000000)</f>
        <v>0</v>
      </c>
      <c r="M6" s="316">
        <f>MAX(H6:L6)</f>
        <v>0</v>
      </c>
      <c r="N6" s="316">
        <f t="shared" ref="N6:N47" si="5">IF(G6="ND",0,G6/1000000)</f>
        <v>0</v>
      </c>
    </row>
    <row r="7" spans="1:15" ht="18" customHeight="1">
      <c r="A7" t="s">
        <v>1179</v>
      </c>
      <c r="B7" s="2" t="s">
        <v>1418</v>
      </c>
      <c r="C7" s="2" t="s">
        <v>1418</v>
      </c>
      <c r="D7" s="2" t="s">
        <v>1418</v>
      </c>
      <c r="E7" s="2" t="s">
        <v>1418</v>
      </c>
      <c r="F7" s="2" t="s">
        <v>1418</v>
      </c>
      <c r="G7" s="2" t="s">
        <v>1418</v>
      </c>
      <c r="H7" s="2">
        <f t="shared" si="0"/>
        <v>0</v>
      </c>
      <c r="I7" s="2">
        <f t="shared" si="1"/>
        <v>0</v>
      </c>
      <c r="J7" s="2">
        <f t="shared" si="2"/>
        <v>0</v>
      </c>
      <c r="K7" s="2">
        <f t="shared" si="3"/>
        <v>0</v>
      </c>
      <c r="L7" s="2">
        <f t="shared" si="4"/>
        <v>0</v>
      </c>
      <c r="M7" s="316">
        <f t="shared" ref="M7:M47" si="6">MAX(H7:L7)</f>
        <v>0</v>
      </c>
      <c r="N7" s="316">
        <f t="shared" si="5"/>
        <v>0</v>
      </c>
    </row>
    <row r="8" spans="1:15" ht="18" customHeight="1">
      <c r="A8" t="s">
        <v>69</v>
      </c>
      <c r="B8" s="2" t="s">
        <v>1418</v>
      </c>
      <c r="C8" s="2" t="s">
        <v>1418</v>
      </c>
      <c r="D8" s="2" t="s">
        <v>1418</v>
      </c>
      <c r="E8" s="2" t="s">
        <v>1418</v>
      </c>
      <c r="F8" s="2" t="s">
        <v>1418</v>
      </c>
      <c r="G8" s="2" t="s">
        <v>1418</v>
      </c>
      <c r="H8" s="2">
        <f t="shared" si="0"/>
        <v>0</v>
      </c>
      <c r="I8" s="2">
        <f t="shared" si="1"/>
        <v>0</v>
      </c>
      <c r="J8" s="2">
        <f t="shared" si="2"/>
        <v>0</v>
      </c>
      <c r="K8" s="2">
        <f t="shared" si="3"/>
        <v>0</v>
      </c>
      <c r="L8" s="2">
        <f t="shared" si="4"/>
        <v>0</v>
      </c>
      <c r="M8" s="316">
        <f t="shared" si="6"/>
        <v>0</v>
      </c>
      <c r="N8" s="316">
        <f t="shared" si="5"/>
        <v>0</v>
      </c>
    </row>
    <row r="9" spans="1:15" ht="18" customHeight="1">
      <c r="A9" t="s">
        <v>88</v>
      </c>
      <c r="B9" s="2" t="s">
        <v>1418</v>
      </c>
      <c r="C9" s="2" t="s">
        <v>1418</v>
      </c>
      <c r="D9" s="2" t="s">
        <v>1418</v>
      </c>
      <c r="E9" s="2" t="s">
        <v>1418</v>
      </c>
      <c r="F9" s="2" t="s">
        <v>1418</v>
      </c>
      <c r="G9" s="2">
        <v>2860</v>
      </c>
      <c r="H9" s="2">
        <f t="shared" si="0"/>
        <v>0</v>
      </c>
      <c r="I9" s="2">
        <f t="shared" si="1"/>
        <v>0</v>
      </c>
      <c r="J9" s="2">
        <f t="shared" si="2"/>
        <v>0</v>
      </c>
      <c r="K9" s="2">
        <f t="shared" si="3"/>
        <v>0</v>
      </c>
      <c r="L9" s="2">
        <f t="shared" si="4"/>
        <v>0</v>
      </c>
      <c r="M9" s="316">
        <f t="shared" si="6"/>
        <v>0</v>
      </c>
      <c r="N9" s="317">
        <f t="shared" si="5"/>
        <v>2.8600000000000001E-3</v>
      </c>
      <c r="O9" s="120"/>
    </row>
    <row r="10" spans="1:15" ht="18" customHeight="1">
      <c r="A10" t="s">
        <v>42</v>
      </c>
      <c r="B10" s="2" t="s">
        <v>1418</v>
      </c>
      <c r="C10" s="2" t="s">
        <v>1418</v>
      </c>
      <c r="D10" s="2" t="s">
        <v>1418</v>
      </c>
      <c r="E10" s="2" t="s">
        <v>1418</v>
      </c>
      <c r="F10" s="2" t="s">
        <v>1418</v>
      </c>
      <c r="G10" s="2" t="s">
        <v>1418</v>
      </c>
      <c r="H10" s="2">
        <f t="shared" si="0"/>
        <v>0</v>
      </c>
      <c r="I10" s="2">
        <f t="shared" si="1"/>
        <v>0</v>
      </c>
      <c r="J10" s="2">
        <f t="shared" si="2"/>
        <v>0</v>
      </c>
      <c r="K10" s="2">
        <f t="shared" si="3"/>
        <v>0</v>
      </c>
      <c r="L10" s="2">
        <f t="shared" si="4"/>
        <v>0</v>
      </c>
      <c r="M10" s="316">
        <f t="shared" si="6"/>
        <v>0</v>
      </c>
      <c r="N10" s="316">
        <f t="shared" si="5"/>
        <v>0</v>
      </c>
    </row>
    <row r="11" spans="1:15" ht="18" customHeight="1">
      <c r="A11" t="s">
        <v>45</v>
      </c>
      <c r="B11" s="2" t="s">
        <v>1418</v>
      </c>
      <c r="C11" s="2" t="s">
        <v>1418</v>
      </c>
      <c r="D11" s="2" t="s">
        <v>1418</v>
      </c>
      <c r="E11" s="2" t="s">
        <v>1418</v>
      </c>
      <c r="F11" s="2" t="s">
        <v>1418</v>
      </c>
      <c r="G11" s="2" t="s">
        <v>1418</v>
      </c>
      <c r="H11" s="2">
        <f t="shared" si="0"/>
        <v>0</v>
      </c>
      <c r="I11" s="2">
        <f t="shared" si="1"/>
        <v>0</v>
      </c>
      <c r="J11" s="2">
        <f t="shared" si="2"/>
        <v>0</v>
      </c>
      <c r="K11" s="2">
        <f t="shared" si="3"/>
        <v>0</v>
      </c>
      <c r="L11" s="2">
        <f t="shared" si="4"/>
        <v>0</v>
      </c>
      <c r="M11" s="316">
        <f t="shared" si="6"/>
        <v>0</v>
      </c>
      <c r="N11" s="316">
        <f t="shared" si="5"/>
        <v>0</v>
      </c>
    </row>
    <row r="12" spans="1:15" ht="18" customHeight="1">
      <c r="A12" t="s">
        <v>48</v>
      </c>
      <c r="B12" s="2" t="s">
        <v>1418</v>
      </c>
      <c r="C12" s="2" t="s">
        <v>1418</v>
      </c>
      <c r="D12" s="2" t="s">
        <v>1418</v>
      </c>
      <c r="E12" s="2" t="s">
        <v>1418</v>
      </c>
      <c r="F12" s="2" t="s">
        <v>1418</v>
      </c>
      <c r="G12" s="2" t="s">
        <v>1418</v>
      </c>
      <c r="H12" s="2">
        <f t="shared" si="0"/>
        <v>0</v>
      </c>
      <c r="I12" s="2">
        <f t="shared" si="1"/>
        <v>0</v>
      </c>
      <c r="J12" s="2">
        <f t="shared" si="2"/>
        <v>0</v>
      </c>
      <c r="K12" s="2">
        <f t="shared" si="3"/>
        <v>0</v>
      </c>
      <c r="L12" s="2">
        <f t="shared" si="4"/>
        <v>0</v>
      </c>
      <c r="M12" s="316">
        <f t="shared" si="6"/>
        <v>0</v>
      </c>
      <c r="N12" s="316">
        <f t="shared" si="5"/>
        <v>0</v>
      </c>
    </row>
    <row r="13" spans="1:15" ht="18" customHeight="1">
      <c r="A13" t="s">
        <v>1408</v>
      </c>
      <c r="B13" s="2" t="s">
        <v>1418</v>
      </c>
      <c r="C13" s="2" t="s">
        <v>1418</v>
      </c>
      <c r="D13" s="2" t="s">
        <v>1418</v>
      </c>
      <c r="E13" s="2" t="s">
        <v>1418</v>
      </c>
      <c r="F13" s="2" t="s">
        <v>1418</v>
      </c>
      <c r="G13" s="2" t="s">
        <v>1418</v>
      </c>
      <c r="H13" s="2">
        <f t="shared" si="0"/>
        <v>0</v>
      </c>
      <c r="I13" s="2">
        <f t="shared" si="1"/>
        <v>0</v>
      </c>
      <c r="J13" s="2">
        <f t="shared" si="2"/>
        <v>0</v>
      </c>
      <c r="K13" s="2">
        <f t="shared" si="3"/>
        <v>0</v>
      </c>
      <c r="L13" s="2">
        <f t="shared" si="4"/>
        <v>0</v>
      </c>
      <c r="M13" s="316">
        <f t="shared" si="6"/>
        <v>0</v>
      </c>
      <c r="N13" s="316">
        <f t="shared" si="5"/>
        <v>0</v>
      </c>
    </row>
    <row r="14" spans="1:15" ht="18" customHeight="1">
      <c r="A14" t="s">
        <v>1409</v>
      </c>
      <c r="B14" s="2" t="s">
        <v>1418</v>
      </c>
      <c r="C14" s="2" t="s">
        <v>1418</v>
      </c>
      <c r="D14" s="2" t="s">
        <v>1418</v>
      </c>
      <c r="E14" s="2" t="s">
        <v>1418</v>
      </c>
      <c r="F14" s="2" t="s">
        <v>1418</v>
      </c>
      <c r="G14" s="2" t="s">
        <v>1418</v>
      </c>
      <c r="H14" s="2">
        <f t="shared" si="0"/>
        <v>0</v>
      </c>
      <c r="I14" s="2">
        <f t="shared" si="1"/>
        <v>0</v>
      </c>
      <c r="J14" s="2">
        <f t="shared" si="2"/>
        <v>0</v>
      </c>
      <c r="K14" s="2">
        <f t="shared" si="3"/>
        <v>0</v>
      </c>
      <c r="L14" s="2">
        <f t="shared" si="4"/>
        <v>0</v>
      </c>
      <c r="M14" s="316">
        <f t="shared" si="6"/>
        <v>0</v>
      </c>
      <c r="N14" s="316">
        <f t="shared" si="5"/>
        <v>0</v>
      </c>
    </row>
    <row r="15" spans="1:15" ht="18" customHeight="1">
      <c r="A15" t="s">
        <v>1410</v>
      </c>
      <c r="B15" s="2" t="s">
        <v>1418</v>
      </c>
      <c r="C15" s="2" t="s">
        <v>1418</v>
      </c>
      <c r="D15" s="2" t="s">
        <v>1418</v>
      </c>
      <c r="E15" s="2" t="s">
        <v>1418</v>
      </c>
      <c r="F15" s="2" t="s">
        <v>1418</v>
      </c>
      <c r="G15" s="2" t="s">
        <v>1418</v>
      </c>
      <c r="H15" s="2">
        <f t="shared" si="0"/>
        <v>0</v>
      </c>
      <c r="I15" s="2">
        <f t="shared" si="1"/>
        <v>0</v>
      </c>
      <c r="J15" s="2">
        <f t="shared" si="2"/>
        <v>0</v>
      </c>
      <c r="K15" s="2">
        <f t="shared" si="3"/>
        <v>0</v>
      </c>
      <c r="L15" s="2">
        <f t="shared" si="4"/>
        <v>0</v>
      </c>
      <c r="M15" s="316">
        <f t="shared" si="6"/>
        <v>0</v>
      </c>
      <c r="N15" s="316">
        <f t="shared" si="5"/>
        <v>0</v>
      </c>
    </row>
    <row r="16" spans="1:15" ht="18" customHeight="1">
      <c r="A16" t="s">
        <v>1411</v>
      </c>
      <c r="B16" s="2" t="s">
        <v>1418</v>
      </c>
      <c r="C16" s="2" t="s">
        <v>1418</v>
      </c>
      <c r="D16" s="2" t="s">
        <v>1418</v>
      </c>
      <c r="E16" s="2" t="s">
        <v>1418</v>
      </c>
      <c r="F16" s="2" t="s">
        <v>1418</v>
      </c>
      <c r="G16" s="2" t="s">
        <v>1418</v>
      </c>
      <c r="H16" s="2">
        <f t="shared" si="0"/>
        <v>0</v>
      </c>
      <c r="I16" s="2">
        <f t="shared" si="1"/>
        <v>0</v>
      </c>
      <c r="J16" s="2">
        <f t="shared" si="2"/>
        <v>0</v>
      </c>
      <c r="K16" s="2">
        <f t="shared" si="3"/>
        <v>0</v>
      </c>
      <c r="L16" s="2">
        <f t="shared" si="4"/>
        <v>0</v>
      </c>
      <c r="M16" s="316">
        <f t="shared" si="6"/>
        <v>0</v>
      </c>
      <c r="N16" s="316">
        <f t="shared" si="5"/>
        <v>0</v>
      </c>
    </row>
    <row r="17" spans="1:15" ht="18" customHeight="1">
      <c r="A17" t="s">
        <v>1412</v>
      </c>
      <c r="B17" s="2" t="s">
        <v>1418</v>
      </c>
      <c r="C17" s="2" t="s">
        <v>1418</v>
      </c>
      <c r="D17" s="2" t="s">
        <v>1418</v>
      </c>
      <c r="E17" s="2" t="s">
        <v>1418</v>
      </c>
      <c r="F17" s="2" t="s">
        <v>1418</v>
      </c>
      <c r="G17" s="2" t="s">
        <v>1418</v>
      </c>
      <c r="H17" s="2">
        <f t="shared" si="0"/>
        <v>0</v>
      </c>
      <c r="I17" s="2">
        <f t="shared" si="1"/>
        <v>0</v>
      </c>
      <c r="J17" s="2">
        <f t="shared" si="2"/>
        <v>0</v>
      </c>
      <c r="K17" s="2">
        <f t="shared" si="3"/>
        <v>0</v>
      </c>
      <c r="L17" s="2">
        <f t="shared" si="4"/>
        <v>0</v>
      </c>
      <c r="M17" s="316">
        <f t="shared" si="6"/>
        <v>0</v>
      </c>
      <c r="N17" s="316">
        <f t="shared" si="5"/>
        <v>0</v>
      </c>
    </row>
    <row r="18" spans="1:15" ht="18" customHeight="1">
      <c r="A18" t="s">
        <v>73</v>
      </c>
      <c r="B18" s="2" t="s">
        <v>1418</v>
      </c>
      <c r="C18" s="2" t="s">
        <v>1418</v>
      </c>
      <c r="D18" s="2" t="s">
        <v>1418</v>
      </c>
      <c r="E18" s="2" t="s">
        <v>1418</v>
      </c>
      <c r="F18" s="2" t="s">
        <v>1418</v>
      </c>
      <c r="G18" s="2" t="s">
        <v>1418</v>
      </c>
      <c r="H18" s="2">
        <f t="shared" si="0"/>
        <v>0</v>
      </c>
      <c r="I18" s="2">
        <f t="shared" si="1"/>
        <v>0</v>
      </c>
      <c r="J18" s="2">
        <f t="shared" si="2"/>
        <v>0</v>
      </c>
      <c r="K18" s="2">
        <f t="shared" si="3"/>
        <v>0</v>
      </c>
      <c r="L18" s="2">
        <f t="shared" si="4"/>
        <v>0</v>
      </c>
      <c r="M18" s="316">
        <f t="shared" si="6"/>
        <v>0</v>
      </c>
      <c r="N18" s="316">
        <f t="shared" si="5"/>
        <v>0</v>
      </c>
    </row>
    <row r="19" spans="1:15" ht="18" customHeight="1">
      <c r="A19" t="s">
        <v>1413</v>
      </c>
      <c r="B19" s="2" t="s">
        <v>1418</v>
      </c>
      <c r="C19" s="2" t="s">
        <v>1418</v>
      </c>
      <c r="D19" s="2" t="s">
        <v>1418</v>
      </c>
      <c r="E19" s="2" t="s">
        <v>1418</v>
      </c>
      <c r="F19" s="2" t="s">
        <v>1418</v>
      </c>
      <c r="G19" s="2" t="s">
        <v>1418</v>
      </c>
      <c r="H19" s="2">
        <f t="shared" si="0"/>
        <v>0</v>
      </c>
      <c r="I19" s="2">
        <f t="shared" si="1"/>
        <v>0</v>
      </c>
      <c r="J19" s="2">
        <f t="shared" si="2"/>
        <v>0</v>
      </c>
      <c r="K19" s="2">
        <f t="shared" si="3"/>
        <v>0</v>
      </c>
      <c r="L19" s="2">
        <f t="shared" si="4"/>
        <v>0</v>
      </c>
      <c r="M19" s="316">
        <f t="shared" si="6"/>
        <v>0</v>
      </c>
      <c r="N19" s="316">
        <f t="shared" si="5"/>
        <v>0</v>
      </c>
    </row>
    <row r="20" spans="1:15" ht="18" customHeight="1">
      <c r="A20" t="s">
        <v>79</v>
      </c>
      <c r="B20" s="2" t="s">
        <v>1418</v>
      </c>
      <c r="C20" s="2" t="s">
        <v>1418</v>
      </c>
      <c r="D20" s="2" t="s">
        <v>1418</v>
      </c>
      <c r="E20" s="2" t="s">
        <v>1418</v>
      </c>
      <c r="F20" s="2" t="s">
        <v>1418</v>
      </c>
      <c r="G20" s="2" t="s">
        <v>1418</v>
      </c>
      <c r="H20" s="2">
        <f t="shared" si="0"/>
        <v>0</v>
      </c>
      <c r="I20" s="2">
        <f t="shared" si="1"/>
        <v>0</v>
      </c>
      <c r="J20" s="2">
        <f t="shared" si="2"/>
        <v>0</v>
      </c>
      <c r="K20" s="2">
        <f t="shared" si="3"/>
        <v>0</v>
      </c>
      <c r="L20" s="2">
        <f t="shared" si="4"/>
        <v>0</v>
      </c>
      <c r="M20" s="316">
        <f t="shared" si="6"/>
        <v>0</v>
      </c>
      <c r="N20" s="316">
        <f t="shared" si="5"/>
        <v>0</v>
      </c>
    </row>
    <row r="21" spans="1:15" ht="18" customHeight="1">
      <c r="A21" t="s">
        <v>82</v>
      </c>
      <c r="B21" s="2" t="s">
        <v>1418</v>
      </c>
      <c r="C21" s="2" t="s">
        <v>1418</v>
      </c>
      <c r="D21" s="2" t="s">
        <v>1418</v>
      </c>
      <c r="E21" s="2" t="s">
        <v>1418</v>
      </c>
      <c r="F21" s="2" t="s">
        <v>1418</v>
      </c>
      <c r="G21" s="2" t="s">
        <v>1418</v>
      </c>
      <c r="H21" s="2">
        <f t="shared" si="0"/>
        <v>0</v>
      </c>
      <c r="I21" s="2">
        <f t="shared" si="1"/>
        <v>0</v>
      </c>
      <c r="J21" s="2">
        <f t="shared" si="2"/>
        <v>0</v>
      </c>
      <c r="K21" s="2">
        <f t="shared" si="3"/>
        <v>0</v>
      </c>
      <c r="L21" s="2">
        <f t="shared" si="4"/>
        <v>0</v>
      </c>
      <c r="M21" s="316">
        <f t="shared" si="6"/>
        <v>0</v>
      </c>
      <c r="N21" s="316">
        <f t="shared" si="5"/>
        <v>0</v>
      </c>
    </row>
    <row r="22" spans="1:15" ht="18" customHeight="1">
      <c r="A22" t="s">
        <v>1414</v>
      </c>
      <c r="B22" s="2" t="s">
        <v>1418</v>
      </c>
      <c r="C22" s="2" t="s">
        <v>1418</v>
      </c>
      <c r="D22" s="2" t="s">
        <v>1418</v>
      </c>
      <c r="E22" s="2" t="s">
        <v>1418</v>
      </c>
      <c r="F22" s="2" t="s">
        <v>1418</v>
      </c>
      <c r="G22" s="2" t="s">
        <v>1418</v>
      </c>
      <c r="H22" s="2">
        <f t="shared" si="0"/>
        <v>0</v>
      </c>
      <c r="I22" s="2">
        <f t="shared" si="1"/>
        <v>0</v>
      </c>
      <c r="J22" s="2">
        <f t="shared" si="2"/>
        <v>0</v>
      </c>
      <c r="K22" s="2">
        <f t="shared" si="3"/>
        <v>0</v>
      </c>
      <c r="L22" s="2">
        <f t="shared" si="4"/>
        <v>0</v>
      </c>
      <c r="M22" s="316">
        <f t="shared" si="6"/>
        <v>0</v>
      </c>
      <c r="N22" s="316">
        <f t="shared" si="5"/>
        <v>0</v>
      </c>
    </row>
    <row r="23" spans="1:15" ht="18" customHeight="1">
      <c r="A23" t="s">
        <v>693</v>
      </c>
      <c r="B23" s="2" t="s">
        <v>1418</v>
      </c>
      <c r="C23" s="2" t="s">
        <v>1418</v>
      </c>
      <c r="D23" s="2" t="s">
        <v>1418</v>
      </c>
      <c r="E23" s="2" t="s">
        <v>1418</v>
      </c>
      <c r="F23" s="2" t="s">
        <v>1418</v>
      </c>
      <c r="G23" s="2">
        <v>1660</v>
      </c>
      <c r="H23" s="2">
        <f t="shared" si="0"/>
        <v>0</v>
      </c>
      <c r="I23" s="2">
        <f t="shared" si="1"/>
        <v>0</v>
      </c>
      <c r="J23" s="2">
        <f t="shared" si="2"/>
        <v>0</v>
      </c>
      <c r="K23" s="2">
        <f t="shared" si="3"/>
        <v>0</v>
      </c>
      <c r="L23" s="2">
        <f t="shared" si="4"/>
        <v>0</v>
      </c>
      <c r="M23" s="316">
        <f t="shared" si="6"/>
        <v>0</v>
      </c>
      <c r="N23" s="317">
        <f t="shared" si="5"/>
        <v>1.66E-3</v>
      </c>
      <c r="O23" s="120"/>
    </row>
    <row r="24" spans="1:15" ht="18" customHeight="1">
      <c r="A24" t="s">
        <v>94</v>
      </c>
      <c r="B24" s="2" t="s">
        <v>1418</v>
      </c>
      <c r="C24" s="2" t="s">
        <v>1418</v>
      </c>
      <c r="D24" s="2" t="s">
        <v>1418</v>
      </c>
      <c r="E24" s="2" t="s">
        <v>1418</v>
      </c>
      <c r="F24" s="2" t="s">
        <v>1418</v>
      </c>
      <c r="G24" s="2" t="s">
        <v>1418</v>
      </c>
      <c r="H24" s="2">
        <f t="shared" si="0"/>
        <v>0</v>
      </c>
      <c r="I24" s="2">
        <f t="shared" si="1"/>
        <v>0</v>
      </c>
      <c r="J24" s="2">
        <f t="shared" si="2"/>
        <v>0</v>
      </c>
      <c r="K24" s="2">
        <f t="shared" si="3"/>
        <v>0</v>
      </c>
      <c r="L24" s="2">
        <f t="shared" si="4"/>
        <v>0</v>
      </c>
      <c r="M24" s="316">
        <f t="shared" si="6"/>
        <v>0</v>
      </c>
      <c r="N24" s="316">
        <f t="shared" si="5"/>
        <v>0</v>
      </c>
    </row>
    <row r="25" spans="1:15" ht="18" customHeight="1">
      <c r="A25" t="s">
        <v>814</v>
      </c>
      <c r="B25" s="2" t="s">
        <v>1418</v>
      </c>
      <c r="C25" s="2" t="s">
        <v>1418</v>
      </c>
      <c r="D25" s="2">
        <v>34.9</v>
      </c>
      <c r="E25" s="2" t="s">
        <v>1418</v>
      </c>
      <c r="F25" s="2" t="s">
        <v>1418</v>
      </c>
      <c r="G25" s="2" t="s">
        <v>1418</v>
      </c>
      <c r="H25" s="2">
        <f t="shared" si="0"/>
        <v>0</v>
      </c>
      <c r="I25" s="2">
        <f t="shared" si="1"/>
        <v>0</v>
      </c>
      <c r="J25" s="268">
        <f t="shared" si="2"/>
        <v>3.4900000000000001E-5</v>
      </c>
      <c r="K25" s="2">
        <f t="shared" si="3"/>
        <v>0</v>
      </c>
      <c r="L25" s="2">
        <f t="shared" si="4"/>
        <v>0</v>
      </c>
      <c r="M25" s="317">
        <f t="shared" si="6"/>
        <v>3.4900000000000001E-5</v>
      </c>
      <c r="N25" s="316">
        <f t="shared" si="5"/>
        <v>0</v>
      </c>
      <c r="O25" s="120"/>
    </row>
    <row r="26" spans="1:15" ht="18" customHeight="1">
      <c r="A26" t="s">
        <v>97</v>
      </c>
      <c r="B26" s="2" t="s">
        <v>1418</v>
      </c>
      <c r="C26" s="2" t="s">
        <v>1418</v>
      </c>
      <c r="D26" s="2" t="s">
        <v>1418</v>
      </c>
      <c r="E26" s="2" t="s">
        <v>1418</v>
      </c>
      <c r="F26" s="2" t="s">
        <v>1418</v>
      </c>
      <c r="G26" s="2" t="s">
        <v>1418</v>
      </c>
      <c r="H26" s="2">
        <f t="shared" si="0"/>
        <v>0</v>
      </c>
      <c r="I26" s="2">
        <f t="shared" si="1"/>
        <v>0</v>
      </c>
      <c r="J26" s="2">
        <f t="shared" si="2"/>
        <v>0</v>
      </c>
      <c r="K26" s="2">
        <f t="shared" si="3"/>
        <v>0</v>
      </c>
      <c r="L26" s="2">
        <f t="shared" si="4"/>
        <v>0</v>
      </c>
      <c r="M26" s="316">
        <f t="shared" si="6"/>
        <v>0</v>
      </c>
      <c r="N26" s="316">
        <f t="shared" si="5"/>
        <v>0</v>
      </c>
    </row>
    <row r="27" spans="1:15" ht="18" customHeight="1">
      <c r="A27" t="s">
        <v>313</v>
      </c>
      <c r="B27" s="2" t="s">
        <v>1418</v>
      </c>
      <c r="C27" s="2" t="s">
        <v>1418</v>
      </c>
      <c r="D27" s="2">
        <v>13</v>
      </c>
      <c r="E27" s="2" t="s">
        <v>1418</v>
      </c>
      <c r="F27" s="2" t="s">
        <v>1418</v>
      </c>
      <c r="G27" s="2" t="s">
        <v>1418</v>
      </c>
      <c r="H27" s="2">
        <f t="shared" si="0"/>
        <v>0</v>
      </c>
      <c r="I27" s="2">
        <f t="shared" si="1"/>
        <v>0</v>
      </c>
      <c r="J27" s="268">
        <f t="shared" si="2"/>
        <v>1.2999999999999999E-5</v>
      </c>
      <c r="K27" s="2">
        <f t="shared" si="3"/>
        <v>0</v>
      </c>
      <c r="L27" s="2">
        <f t="shared" si="4"/>
        <v>0</v>
      </c>
      <c r="M27" s="317">
        <f t="shared" si="6"/>
        <v>1.2999999999999999E-5</v>
      </c>
      <c r="N27" s="316">
        <f t="shared" si="5"/>
        <v>0</v>
      </c>
      <c r="O27" s="120"/>
    </row>
    <row r="28" spans="1:15" ht="18" customHeight="1">
      <c r="A28" t="s">
        <v>317</v>
      </c>
      <c r="B28" s="2" t="s">
        <v>1418</v>
      </c>
      <c r="C28" s="2" t="s">
        <v>1418</v>
      </c>
      <c r="D28" s="2" t="s">
        <v>1418</v>
      </c>
      <c r="E28" s="2" t="s">
        <v>1418</v>
      </c>
      <c r="F28" s="2" t="s">
        <v>1418</v>
      </c>
      <c r="G28" s="2" t="s">
        <v>1418</v>
      </c>
      <c r="H28" s="2">
        <f t="shared" si="0"/>
        <v>0</v>
      </c>
      <c r="I28" s="2">
        <f t="shared" si="1"/>
        <v>0</v>
      </c>
      <c r="J28" s="2">
        <f t="shared" si="2"/>
        <v>0</v>
      </c>
      <c r="K28" s="2">
        <f t="shared" si="3"/>
        <v>0</v>
      </c>
      <c r="L28" s="2">
        <f t="shared" si="4"/>
        <v>0</v>
      </c>
      <c r="M28" s="316">
        <f t="shared" si="6"/>
        <v>0</v>
      </c>
      <c r="N28" s="316">
        <f t="shared" si="5"/>
        <v>0</v>
      </c>
    </row>
    <row r="29" spans="1:15" ht="18" customHeight="1">
      <c r="A29" t="s">
        <v>1415</v>
      </c>
      <c r="B29" s="2" t="s">
        <v>1418</v>
      </c>
      <c r="C29" s="2" t="s">
        <v>1418</v>
      </c>
      <c r="D29" s="2" t="s">
        <v>1418</v>
      </c>
      <c r="E29" s="2" t="s">
        <v>1418</v>
      </c>
      <c r="F29" s="2" t="s">
        <v>1418</v>
      </c>
      <c r="G29" s="2" t="s">
        <v>1418</v>
      </c>
      <c r="H29" s="2">
        <f t="shared" si="0"/>
        <v>0</v>
      </c>
      <c r="I29" s="2">
        <f t="shared" si="1"/>
        <v>0</v>
      </c>
      <c r="J29" s="2">
        <f t="shared" si="2"/>
        <v>0</v>
      </c>
      <c r="K29" s="2">
        <f t="shared" si="3"/>
        <v>0</v>
      </c>
      <c r="L29" s="2">
        <f t="shared" si="4"/>
        <v>0</v>
      </c>
      <c r="M29" s="316">
        <f t="shared" si="6"/>
        <v>0</v>
      </c>
      <c r="N29" s="316">
        <f t="shared" si="5"/>
        <v>0</v>
      </c>
    </row>
    <row r="30" spans="1:15" ht="18" customHeight="1">
      <c r="A30" t="s">
        <v>1420</v>
      </c>
      <c r="B30" s="2" t="s">
        <v>1418</v>
      </c>
      <c r="C30" s="2" t="s">
        <v>1418</v>
      </c>
      <c r="D30" s="2" t="s">
        <v>1418</v>
      </c>
      <c r="E30" s="2" t="s">
        <v>1418</v>
      </c>
      <c r="F30" s="2" t="s">
        <v>1418</v>
      </c>
      <c r="G30" s="2" t="s">
        <v>1418</v>
      </c>
      <c r="H30" s="2">
        <f t="shared" si="0"/>
        <v>0</v>
      </c>
      <c r="I30" s="2">
        <f t="shared" si="1"/>
        <v>0</v>
      </c>
      <c r="J30" s="2">
        <f t="shared" si="2"/>
        <v>0</v>
      </c>
      <c r="K30" s="2">
        <f t="shared" si="3"/>
        <v>0</v>
      </c>
      <c r="L30" s="2">
        <f t="shared" si="4"/>
        <v>0</v>
      </c>
      <c r="M30" s="316">
        <f t="shared" si="6"/>
        <v>0</v>
      </c>
      <c r="N30" s="316">
        <f t="shared" si="5"/>
        <v>0</v>
      </c>
    </row>
    <row r="31" spans="1:15" ht="18" customHeight="1">
      <c r="A31" t="s">
        <v>106</v>
      </c>
      <c r="B31" s="2" t="s">
        <v>1418</v>
      </c>
      <c r="C31" s="2" t="s">
        <v>1418</v>
      </c>
      <c r="D31" s="2" t="s">
        <v>1418</v>
      </c>
      <c r="E31" s="2" t="s">
        <v>1418</v>
      </c>
      <c r="F31" s="2" t="s">
        <v>1418</v>
      </c>
      <c r="G31" s="2" t="s">
        <v>1418</v>
      </c>
      <c r="H31" s="2">
        <f t="shared" si="0"/>
        <v>0</v>
      </c>
      <c r="I31" s="2">
        <f t="shared" si="1"/>
        <v>0</v>
      </c>
      <c r="J31" s="2">
        <f t="shared" si="2"/>
        <v>0</v>
      </c>
      <c r="K31" s="2">
        <f t="shared" si="3"/>
        <v>0</v>
      </c>
      <c r="L31" s="2">
        <f t="shared" si="4"/>
        <v>0</v>
      </c>
      <c r="M31" s="316">
        <f t="shared" si="6"/>
        <v>0</v>
      </c>
      <c r="N31" s="316">
        <f t="shared" si="5"/>
        <v>0</v>
      </c>
    </row>
    <row r="32" spans="1:15" ht="18" customHeight="1">
      <c r="A32" s="121" t="s">
        <v>1421</v>
      </c>
      <c r="B32" s="2" t="s">
        <v>1418</v>
      </c>
      <c r="C32" s="2" t="s">
        <v>1418</v>
      </c>
      <c r="D32" s="2" t="s">
        <v>1418</v>
      </c>
      <c r="E32" s="2" t="s">
        <v>1418</v>
      </c>
      <c r="F32" s="2" t="s">
        <v>1418</v>
      </c>
      <c r="G32" s="2" t="s">
        <v>1418</v>
      </c>
      <c r="H32" s="2">
        <f t="shared" si="0"/>
        <v>0</v>
      </c>
      <c r="I32" s="2">
        <f t="shared" si="1"/>
        <v>0</v>
      </c>
      <c r="J32" s="2">
        <f t="shared" si="2"/>
        <v>0</v>
      </c>
      <c r="K32" s="2">
        <f t="shared" si="3"/>
        <v>0</v>
      </c>
      <c r="L32" s="2">
        <f t="shared" si="4"/>
        <v>0</v>
      </c>
      <c r="M32" s="316">
        <f t="shared" si="6"/>
        <v>0</v>
      </c>
      <c r="N32" s="316">
        <f t="shared" si="5"/>
        <v>0</v>
      </c>
    </row>
    <row r="33" spans="1:15" ht="18" customHeight="1">
      <c r="A33" t="s">
        <v>1422</v>
      </c>
      <c r="B33" s="2" t="s">
        <v>1418</v>
      </c>
      <c r="C33" s="2" t="s">
        <v>1418</v>
      </c>
      <c r="D33" s="2" t="s">
        <v>1418</v>
      </c>
      <c r="E33" s="2" t="s">
        <v>1418</v>
      </c>
      <c r="F33" s="2" t="s">
        <v>1418</v>
      </c>
      <c r="G33" s="2" t="s">
        <v>1418</v>
      </c>
      <c r="H33" s="2">
        <f t="shared" si="0"/>
        <v>0</v>
      </c>
      <c r="I33" s="2">
        <f t="shared" si="1"/>
        <v>0</v>
      </c>
      <c r="J33" s="2">
        <f t="shared" si="2"/>
        <v>0</v>
      </c>
      <c r="K33" s="2">
        <f t="shared" si="3"/>
        <v>0</v>
      </c>
      <c r="L33" s="2">
        <f t="shared" si="4"/>
        <v>0</v>
      </c>
      <c r="M33" s="316">
        <f t="shared" si="6"/>
        <v>0</v>
      </c>
      <c r="N33" s="316">
        <f t="shared" si="5"/>
        <v>0</v>
      </c>
    </row>
    <row r="34" spans="1:15" ht="18" customHeight="1">
      <c r="A34" t="s">
        <v>91</v>
      </c>
      <c r="B34" s="2" t="s">
        <v>1418</v>
      </c>
      <c r="C34" s="2" t="s">
        <v>1418</v>
      </c>
      <c r="D34" s="2" t="s">
        <v>1418</v>
      </c>
      <c r="E34" s="2" t="s">
        <v>1418</v>
      </c>
      <c r="F34" s="2" t="s">
        <v>1418</v>
      </c>
      <c r="G34" s="2" t="s">
        <v>1418</v>
      </c>
      <c r="H34" s="2">
        <f t="shared" si="0"/>
        <v>0</v>
      </c>
      <c r="I34" s="2">
        <f t="shared" si="1"/>
        <v>0</v>
      </c>
      <c r="J34" s="2">
        <f t="shared" si="2"/>
        <v>0</v>
      </c>
      <c r="K34" s="2">
        <f t="shared" si="3"/>
        <v>0</v>
      </c>
      <c r="L34" s="2">
        <f t="shared" si="4"/>
        <v>0</v>
      </c>
      <c r="M34" s="316">
        <f t="shared" si="6"/>
        <v>0</v>
      </c>
      <c r="N34" s="316">
        <f t="shared" si="5"/>
        <v>0</v>
      </c>
    </row>
    <row r="35" spans="1:15" ht="18" customHeight="1">
      <c r="A35" t="s">
        <v>148</v>
      </c>
      <c r="B35" s="2" t="s">
        <v>1418</v>
      </c>
      <c r="C35" s="2" t="s">
        <v>1418</v>
      </c>
      <c r="D35" s="2" t="s">
        <v>1418</v>
      </c>
      <c r="E35" s="2">
        <v>38.6</v>
      </c>
      <c r="F35" s="2" t="s">
        <v>1418</v>
      </c>
      <c r="G35" s="2">
        <v>232</v>
      </c>
      <c r="H35" s="2">
        <f t="shared" si="0"/>
        <v>0</v>
      </c>
      <c r="I35" s="2">
        <f t="shared" si="1"/>
        <v>0</v>
      </c>
      <c r="J35" s="2">
        <f t="shared" si="2"/>
        <v>0</v>
      </c>
      <c r="K35" s="268">
        <f t="shared" si="3"/>
        <v>3.8600000000000003E-5</v>
      </c>
      <c r="L35" s="2">
        <f t="shared" si="4"/>
        <v>0</v>
      </c>
      <c r="M35" s="317">
        <f t="shared" si="6"/>
        <v>3.8600000000000003E-5</v>
      </c>
      <c r="N35" s="317">
        <f t="shared" si="5"/>
        <v>2.32E-4</v>
      </c>
      <c r="O35" s="120"/>
    </row>
    <row r="36" spans="1:15" ht="18" customHeight="1">
      <c r="A36" t="s">
        <v>499</v>
      </c>
      <c r="B36" s="2" t="s">
        <v>1418</v>
      </c>
      <c r="C36" s="2" t="s">
        <v>1418</v>
      </c>
      <c r="D36" s="2" t="s">
        <v>1418</v>
      </c>
      <c r="E36" s="2">
        <v>148</v>
      </c>
      <c r="F36" s="2" t="s">
        <v>1418</v>
      </c>
      <c r="G36" s="2">
        <v>589</v>
      </c>
      <c r="H36" s="2">
        <f t="shared" si="0"/>
        <v>0</v>
      </c>
      <c r="I36" s="2">
        <f t="shared" si="1"/>
        <v>0</v>
      </c>
      <c r="J36" s="2">
        <f t="shared" si="2"/>
        <v>0</v>
      </c>
      <c r="K36" s="268">
        <f t="shared" si="3"/>
        <v>1.4799999999999999E-4</v>
      </c>
      <c r="L36" s="2">
        <f t="shared" si="4"/>
        <v>0</v>
      </c>
      <c r="M36" s="317">
        <f t="shared" si="6"/>
        <v>1.4799999999999999E-4</v>
      </c>
      <c r="N36" s="317">
        <f t="shared" si="5"/>
        <v>5.8900000000000001E-4</v>
      </c>
      <c r="O36" s="120"/>
    </row>
    <row r="37" spans="1:15" ht="18" customHeight="1">
      <c r="A37" t="s">
        <v>605</v>
      </c>
      <c r="B37" s="2" t="s">
        <v>1418</v>
      </c>
      <c r="C37" s="2" t="s">
        <v>1418</v>
      </c>
      <c r="D37" s="2" t="s">
        <v>1418</v>
      </c>
      <c r="E37" s="2" t="s">
        <v>1418</v>
      </c>
      <c r="F37" s="2" t="s">
        <v>1418</v>
      </c>
      <c r="G37" s="2">
        <v>122</v>
      </c>
      <c r="H37" s="2">
        <f t="shared" si="0"/>
        <v>0</v>
      </c>
      <c r="I37" s="2">
        <f t="shared" si="1"/>
        <v>0</v>
      </c>
      <c r="J37" s="2">
        <f t="shared" si="2"/>
        <v>0</v>
      </c>
      <c r="K37" s="2">
        <f t="shared" si="3"/>
        <v>0</v>
      </c>
      <c r="L37" s="2">
        <f t="shared" si="4"/>
        <v>0</v>
      </c>
      <c r="M37" s="316">
        <f t="shared" si="6"/>
        <v>0</v>
      </c>
      <c r="N37" s="317">
        <f t="shared" si="5"/>
        <v>1.22E-4</v>
      </c>
      <c r="O37" s="120"/>
    </row>
    <row r="38" spans="1:15" ht="18" customHeight="1">
      <c r="A38" t="s">
        <v>1416</v>
      </c>
      <c r="B38" s="2" t="s">
        <v>1418</v>
      </c>
      <c r="C38" s="2" t="s">
        <v>1418</v>
      </c>
      <c r="D38" s="2" t="s">
        <v>1418</v>
      </c>
      <c r="E38" s="2">
        <v>564</v>
      </c>
      <c r="F38" s="2" t="s">
        <v>1418</v>
      </c>
      <c r="G38" s="2">
        <v>2500</v>
      </c>
      <c r="H38" s="2">
        <f t="shared" si="0"/>
        <v>0</v>
      </c>
      <c r="I38" s="2">
        <f t="shared" si="1"/>
        <v>0</v>
      </c>
      <c r="J38" s="2">
        <f t="shared" si="2"/>
        <v>0</v>
      </c>
      <c r="K38" s="268">
        <f t="shared" si="3"/>
        <v>5.6400000000000005E-4</v>
      </c>
      <c r="L38" s="2">
        <f t="shared" si="4"/>
        <v>0</v>
      </c>
      <c r="M38" s="317">
        <f t="shared" si="6"/>
        <v>5.6400000000000005E-4</v>
      </c>
      <c r="N38" s="317">
        <f t="shared" si="5"/>
        <v>2.5000000000000001E-3</v>
      </c>
      <c r="O38" s="120"/>
    </row>
    <row r="39" spans="1:15" ht="18" customHeight="1">
      <c r="A39" t="s">
        <v>1227</v>
      </c>
      <c r="B39" s="2" t="s">
        <v>1418</v>
      </c>
      <c r="C39" s="2" t="s">
        <v>1418</v>
      </c>
      <c r="D39" s="2" t="s">
        <v>1418</v>
      </c>
      <c r="E39" s="2">
        <v>251</v>
      </c>
      <c r="F39" s="2" t="s">
        <v>1418</v>
      </c>
      <c r="G39" s="2">
        <v>1360</v>
      </c>
      <c r="H39" s="2">
        <f t="shared" si="0"/>
        <v>0</v>
      </c>
      <c r="I39" s="2">
        <f t="shared" si="1"/>
        <v>0</v>
      </c>
      <c r="J39" s="2">
        <f t="shared" si="2"/>
        <v>0</v>
      </c>
      <c r="K39" s="268">
        <f t="shared" si="3"/>
        <v>2.5099999999999998E-4</v>
      </c>
      <c r="L39" s="2">
        <f t="shared" si="4"/>
        <v>0</v>
      </c>
      <c r="M39" s="317">
        <f t="shared" si="6"/>
        <v>2.5099999999999998E-4</v>
      </c>
      <c r="N39" s="317">
        <f t="shared" si="5"/>
        <v>1.3600000000000001E-3</v>
      </c>
      <c r="O39" s="120"/>
    </row>
    <row r="40" spans="1:15" ht="18" customHeight="1">
      <c r="A40" t="s">
        <v>1092</v>
      </c>
      <c r="B40" s="2" t="s">
        <v>1418</v>
      </c>
      <c r="C40" s="2" t="s">
        <v>1418</v>
      </c>
      <c r="D40" s="2" t="s">
        <v>1418</v>
      </c>
      <c r="E40" s="2" t="s">
        <v>1418</v>
      </c>
      <c r="F40" s="2" t="s">
        <v>1418</v>
      </c>
      <c r="G40" s="2" t="s">
        <v>1418</v>
      </c>
      <c r="H40" s="2">
        <f t="shared" si="0"/>
        <v>0</v>
      </c>
      <c r="I40" s="2">
        <f t="shared" si="1"/>
        <v>0</v>
      </c>
      <c r="J40" s="2">
        <f t="shared" si="2"/>
        <v>0</v>
      </c>
      <c r="K40" s="2">
        <f t="shared" si="3"/>
        <v>0</v>
      </c>
      <c r="L40" s="2">
        <f t="shared" si="4"/>
        <v>0</v>
      </c>
      <c r="M40" s="316">
        <f t="shared" si="6"/>
        <v>0</v>
      </c>
      <c r="N40" s="316">
        <f t="shared" si="5"/>
        <v>0</v>
      </c>
    </row>
    <row r="41" spans="1:15" ht="18" customHeight="1">
      <c r="A41" t="s">
        <v>1129</v>
      </c>
      <c r="B41" s="2" t="s">
        <v>1418</v>
      </c>
      <c r="C41" s="2" t="s">
        <v>1418</v>
      </c>
      <c r="D41" s="2" t="s">
        <v>1418</v>
      </c>
      <c r="E41" s="2">
        <v>508</v>
      </c>
      <c r="F41" s="2" t="s">
        <v>1418</v>
      </c>
      <c r="G41" s="2">
        <v>2090</v>
      </c>
      <c r="H41" s="2">
        <f t="shared" si="0"/>
        <v>0</v>
      </c>
      <c r="I41" s="2">
        <f t="shared" si="1"/>
        <v>0</v>
      </c>
      <c r="J41" s="2">
        <f t="shared" si="2"/>
        <v>0</v>
      </c>
      <c r="K41" s="268">
        <f t="shared" si="3"/>
        <v>5.0799999999999999E-4</v>
      </c>
      <c r="L41" s="2">
        <f t="shared" si="4"/>
        <v>0</v>
      </c>
      <c r="M41" s="317">
        <f t="shared" si="6"/>
        <v>5.0799999999999999E-4</v>
      </c>
      <c r="N41" s="317">
        <f t="shared" si="5"/>
        <v>2.0899999999999998E-3</v>
      </c>
      <c r="O41" s="120"/>
    </row>
    <row r="42" spans="1:15" ht="18" customHeight="1">
      <c r="A42" t="s">
        <v>194</v>
      </c>
      <c r="B42" s="2" t="s">
        <v>1418</v>
      </c>
      <c r="C42" s="2" t="s">
        <v>1418</v>
      </c>
      <c r="D42" s="2" t="s">
        <v>1418</v>
      </c>
      <c r="E42" s="2" t="s">
        <v>1418</v>
      </c>
      <c r="F42" s="2" t="s">
        <v>1418</v>
      </c>
      <c r="G42" s="2" t="s">
        <v>1418</v>
      </c>
      <c r="H42" s="2">
        <f t="shared" si="0"/>
        <v>0</v>
      </c>
      <c r="I42" s="2">
        <f t="shared" si="1"/>
        <v>0</v>
      </c>
      <c r="J42" s="2">
        <f t="shared" si="2"/>
        <v>0</v>
      </c>
      <c r="K42" s="2">
        <f t="shared" si="3"/>
        <v>0</v>
      </c>
      <c r="L42" s="2">
        <f t="shared" si="4"/>
        <v>0</v>
      </c>
      <c r="M42" s="316">
        <f t="shared" si="6"/>
        <v>0</v>
      </c>
      <c r="N42" s="316">
        <f t="shared" si="5"/>
        <v>0</v>
      </c>
    </row>
    <row r="43" spans="1:15" ht="18" customHeight="1">
      <c r="A43" t="s">
        <v>579</v>
      </c>
      <c r="B43" s="2" t="s">
        <v>1418</v>
      </c>
      <c r="C43" s="2" t="s">
        <v>1418</v>
      </c>
      <c r="D43" s="2" t="s">
        <v>1418</v>
      </c>
      <c r="E43" s="2">
        <v>57</v>
      </c>
      <c r="F43" s="2" t="s">
        <v>1418</v>
      </c>
      <c r="G43" s="2">
        <v>345</v>
      </c>
      <c r="H43" s="2">
        <f t="shared" si="0"/>
        <v>0</v>
      </c>
      <c r="I43" s="2">
        <f t="shared" si="1"/>
        <v>0</v>
      </c>
      <c r="J43" s="2">
        <f t="shared" si="2"/>
        <v>0</v>
      </c>
      <c r="K43" s="268">
        <f t="shared" si="3"/>
        <v>5.7000000000000003E-5</v>
      </c>
      <c r="L43" s="2">
        <f t="shared" si="4"/>
        <v>0</v>
      </c>
      <c r="M43" s="317">
        <f t="shared" si="6"/>
        <v>5.7000000000000003E-5</v>
      </c>
      <c r="N43" s="317">
        <f t="shared" si="5"/>
        <v>3.4499999999999998E-4</v>
      </c>
      <c r="O43" s="120"/>
    </row>
    <row r="44" spans="1:15" ht="18" customHeight="1">
      <c r="A44" t="s">
        <v>1417</v>
      </c>
      <c r="B44" s="2" t="s">
        <v>1418</v>
      </c>
      <c r="C44" s="2" t="s">
        <v>1418</v>
      </c>
      <c r="D44" s="2" t="s">
        <v>1418</v>
      </c>
      <c r="E44" s="2" t="s">
        <v>1418</v>
      </c>
      <c r="F44" s="2" t="s">
        <v>1418</v>
      </c>
      <c r="G44" s="2" t="s">
        <v>1418</v>
      </c>
      <c r="H44" s="2">
        <f t="shared" si="0"/>
        <v>0</v>
      </c>
      <c r="I44" s="2">
        <f t="shared" si="1"/>
        <v>0</v>
      </c>
      <c r="J44" s="2">
        <f t="shared" si="2"/>
        <v>0</v>
      </c>
      <c r="K44" s="2">
        <f t="shared" si="3"/>
        <v>0</v>
      </c>
      <c r="L44" s="2">
        <f t="shared" si="4"/>
        <v>0</v>
      </c>
      <c r="M44" s="316">
        <f t="shared" si="6"/>
        <v>0</v>
      </c>
      <c r="N44" s="316">
        <f t="shared" si="5"/>
        <v>0</v>
      </c>
    </row>
    <row r="45" spans="1:15" ht="18" customHeight="1">
      <c r="A45" t="s">
        <v>1223</v>
      </c>
      <c r="B45" s="2" t="s">
        <v>1418</v>
      </c>
      <c r="C45" s="2" t="s">
        <v>1418</v>
      </c>
      <c r="D45" s="2" t="s">
        <v>1418</v>
      </c>
      <c r="E45" s="2">
        <v>815</v>
      </c>
      <c r="F45" s="2" t="s">
        <v>1418</v>
      </c>
      <c r="G45" s="2">
        <v>3480</v>
      </c>
      <c r="H45" s="2">
        <f t="shared" si="0"/>
        <v>0</v>
      </c>
      <c r="I45" s="2">
        <f t="shared" si="1"/>
        <v>0</v>
      </c>
      <c r="J45" s="2">
        <f t="shared" si="2"/>
        <v>0</v>
      </c>
      <c r="K45" s="268">
        <f t="shared" si="3"/>
        <v>8.1499999999999997E-4</v>
      </c>
      <c r="L45" s="2">
        <f t="shared" si="4"/>
        <v>0</v>
      </c>
      <c r="M45" s="317">
        <f t="shared" si="6"/>
        <v>8.1499999999999997E-4</v>
      </c>
      <c r="N45" s="317">
        <f t="shared" si="5"/>
        <v>3.48E-3</v>
      </c>
      <c r="O45" s="120"/>
    </row>
    <row r="46" spans="1:15" ht="18" customHeight="1">
      <c r="A46" t="s">
        <v>1199</v>
      </c>
      <c r="B46" s="2" t="s">
        <v>1418</v>
      </c>
      <c r="C46" s="2" t="s">
        <v>1418</v>
      </c>
      <c r="D46" s="2" t="s">
        <v>1418</v>
      </c>
      <c r="E46" s="2" t="s">
        <v>1418</v>
      </c>
      <c r="F46" s="2" t="s">
        <v>1418</v>
      </c>
      <c r="G46" s="2" t="s">
        <v>1418</v>
      </c>
      <c r="H46" s="2">
        <f t="shared" si="0"/>
        <v>0</v>
      </c>
      <c r="I46" s="2">
        <f t="shared" si="1"/>
        <v>0</v>
      </c>
      <c r="J46" s="2">
        <f t="shared" si="2"/>
        <v>0</v>
      </c>
      <c r="K46" s="2">
        <f t="shared" si="3"/>
        <v>0</v>
      </c>
      <c r="L46" s="2">
        <f t="shared" si="4"/>
        <v>0</v>
      </c>
      <c r="M46" s="316">
        <f t="shared" si="6"/>
        <v>0</v>
      </c>
      <c r="N46" s="316">
        <f t="shared" si="5"/>
        <v>0</v>
      </c>
    </row>
    <row r="47" spans="1:15" ht="18" customHeight="1">
      <c r="A47" t="s">
        <v>591</v>
      </c>
      <c r="B47" s="2" t="s">
        <v>1418</v>
      </c>
      <c r="C47" s="2" t="s">
        <v>1418</v>
      </c>
      <c r="D47" s="2" t="s">
        <v>1418</v>
      </c>
      <c r="E47" s="2" t="s">
        <v>1418</v>
      </c>
      <c r="F47" s="2" t="s">
        <v>1418</v>
      </c>
      <c r="G47" s="2">
        <v>170</v>
      </c>
      <c r="H47" s="2">
        <f t="shared" si="0"/>
        <v>0</v>
      </c>
      <c r="I47" s="2">
        <f t="shared" si="1"/>
        <v>0</v>
      </c>
      <c r="J47" s="2">
        <f t="shared" si="2"/>
        <v>0</v>
      </c>
      <c r="K47" s="2">
        <f t="shared" si="3"/>
        <v>0</v>
      </c>
      <c r="L47" s="2">
        <f t="shared" si="4"/>
        <v>0</v>
      </c>
      <c r="M47" s="316">
        <f t="shared" si="6"/>
        <v>0</v>
      </c>
      <c r="N47" s="317">
        <f t="shared" si="5"/>
        <v>1.7000000000000001E-4</v>
      </c>
      <c r="O47" s="120"/>
    </row>
    <row r="48" spans="1:15" ht="18" customHeight="1">
      <c r="B48" s="2"/>
      <c r="C48" s="2"/>
      <c r="D48" s="2"/>
      <c r="E48" s="2"/>
      <c r="F48" s="2"/>
      <c r="G48" s="2"/>
      <c r="J48" s="120"/>
      <c r="O48" s="120"/>
    </row>
    <row r="49" spans="1:23">
      <c r="A49" t="s">
        <v>1423</v>
      </c>
    </row>
    <row r="50" spans="1:23">
      <c r="A50" t="s">
        <v>1424</v>
      </c>
    </row>
    <row r="52" spans="1:23">
      <c r="A52" s="122"/>
      <c r="G52" s="383" t="s">
        <v>1668</v>
      </c>
      <c r="H52" s="383"/>
      <c r="I52" s="383"/>
      <c r="J52" s="383"/>
    </row>
    <row r="53" spans="1:23">
      <c r="A53" s="122" t="s">
        <v>1679</v>
      </c>
      <c r="G53" s="382" t="s">
        <v>1664</v>
      </c>
      <c r="H53" s="382"/>
      <c r="I53" s="382" t="s">
        <v>1663</v>
      </c>
      <c r="J53" s="382"/>
    </row>
    <row r="54" spans="1:23">
      <c r="A54" s="1" t="s">
        <v>1402</v>
      </c>
      <c r="B54" s="1" t="s">
        <v>24</v>
      </c>
      <c r="G54" s="214" t="s">
        <v>1657</v>
      </c>
      <c r="H54" s="214" t="s">
        <v>1662</v>
      </c>
      <c r="I54" s="214" t="s">
        <v>1657</v>
      </c>
      <c r="J54" s="214" t="s">
        <v>1662</v>
      </c>
      <c r="N54" s="121"/>
    </row>
    <row r="55" spans="1:23">
      <c r="A55" t="s">
        <v>88</v>
      </c>
      <c r="B55" t="s">
        <v>998</v>
      </c>
      <c r="C55" s="265">
        <f>VLOOKUP(A55,$A$6:$N$47,14,FALSE)</f>
        <v>2.8600000000000001E-3</v>
      </c>
      <c r="G55" s="267">
        <f>'Vapor Calcs Distillate'!BD5</f>
        <v>3.0947456878669421E-6</v>
      </c>
      <c r="H55" s="267">
        <f>'Vapor Calcs Distillate'!BH5</f>
        <v>6.2850511846573002E-6</v>
      </c>
      <c r="I55" s="290">
        <f>'Vapor Calcs Non-Distillate'!BD5</f>
        <v>0</v>
      </c>
      <c r="J55" s="290">
        <f>'Vapor Calcs Non-Distillate'!BH5</f>
        <v>0</v>
      </c>
      <c r="V55" s="264"/>
      <c r="W55" s="267"/>
    </row>
    <row r="56" spans="1:23">
      <c r="A56" t="s">
        <v>693</v>
      </c>
      <c r="B56" t="s">
        <v>692</v>
      </c>
      <c r="C56" s="265">
        <f t="shared" ref="C56:C64" si="7">VLOOKUP(A56,$A$6:$N$47,14,FALSE)</f>
        <v>1.66E-3</v>
      </c>
      <c r="G56" s="267">
        <f>'Vapor Calcs Distillate'!BD6</f>
        <v>7.1827721532323718E-6</v>
      </c>
      <c r="H56" s="268">
        <f>'Vapor Calcs Distillate'!BH6</f>
        <v>1.269230519771E-5</v>
      </c>
      <c r="I56" s="290">
        <f>'Vapor Calcs Non-Distillate'!BD6</f>
        <v>0</v>
      </c>
      <c r="J56" s="290">
        <f>'Vapor Calcs Non-Distillate'!BH6</f>
        <v>0</v>
      </c>
      <c r="V56" s="264"/>
      <c r="W56" s="268"/>
    </row>
    <row r="57" spans="1:23">
      <c r="A57" t="s">
        <v>814</v>
      </c>
      <c r="B57" t="s">
        <v>813</v>
      </c>
      <c r="C57" s="265">
        <f t="shared" si="7"/>
        <v>0</v>
      </c>
      <c r="G57" s="290">
        <f>'Vapor Calcs Distillate'!BD7</f>
        <v>0</v>
      </c>
      <c r="H57" s="290">
        <f>'Vapor Calcs Distillate'!BH7</f>
        <v>0</v>
      </c>
      <c r="I57" s="215">
        <f>'Vapor Calcs Non-Distillate'!BD7</f>
        <v>1.8064206547713523E-7</v>
      </c>
      <c r="J57" s="215">
        <f>'Vapor Calcs Non-Distillate'!BH7</f>
        <v>3.7737848348368637E-7</v>
      </c>
      <c r="V57" s="265"/>
      <c r="W57" s="215"/>
    </row>
    <row r="58" spans="1:23">
      <c r="A58" t="s">
        <v>313</v>
      </c>
      <c r="B58" t="s">
        <v>312</v>
      </c>
      <c r="C58" s="265">
        <f t="shared" si="7"/>
        <v>0</v>
      </c>
      <c r="G58" s="290">
        <f>'Vapor Calcs Distillate'!BD8</f>
        <v>0</v>
      </c>
      <c r="H58" s="290">
        <f>'Vapor Calcs Distillate'!BH8</f>
        <v>0</v>
      </c>
      <c r="I58" s="215">
        <f>'Vapor Calcs Non-Distillate'!BD8</f>
        <v>3.9971777174964013E-8</v>
      </c>
      <c r="J58" s="215">
        <f>'Vapor Calcs Non-Distillate'!BH8</f>
        <v>9.0602967865745354E-8</v>
      </c>
      <c r="V58" s="266"/>
      <c r="W58" s="215"/>
    </row>
    <row r="59" spans="1:23">
      <c r="A59" t="s">
        <v>148</v>
      </c>
      <c r="B59" t="s">
        <v>147</v>
      </c>
      <c r="C59" s="265">
        <f t="shared" si="7"/>
        <v>2.32E-4</v>
      </c>
      <c r="G59" s="269">
        <f>'Vapor Calcs Distillate'!BD9</f>
        <v>4.2713771804770659E-4</v>
      </c>
      <c r="H59" s="269">
        <f>'Vapor Calcs Distillate'!BH9</f>
        <v>4.9586160900607973E-4</v>
      </c>
      <c r="I59" s="268">
        <f>'Vapor Calcs Non-Distillate'!BD9</f>
        <v>6.6866767195818057E-5</v>
      </c>
      <c r="J59" s="268">
        <f>'Vapor Calcs Non-Distillate'!BH9</f>
        <v>7.7041691797183473E-5</v>
      </c>
      <c r="V59" s="120"/>
      <c r="W59" s="269"/>
    </row>
    <row r="60" spans="1:23">
      <c r="A60" t="s">
        <v>499</v>
      </c>
      <c r="B60" t="s">
        <v>498</v>
      </c>
      <c r="C60" s="265">
        <f t="shared" si="7"/>
        <v>5.8900000000000001E-4</v>
      </c>
      <c r="G60" s="269">
        <f>'Vapor Calcs Distillate'!BD10</f>
        <v>1.0185249275637735E-4</v>
      </c>
      <c r="H60" s="269">
        <f>'Vapor Calcs Distillate'!BH10</f>
        <v>1.4006908567337157E-4</v>
      </c>
      <c r="I60" s="268">
        <f>'Vapor Calcs Non-Distillate'!BD10</f>
        <v>2.408025973733645E-5</v>
      </c>
      <c r="J60" s="268">
        <f>'Vapor Calcs Non-Distillate'!BH10</f>
        <v>3.2866595539888773E-5</v>
      </c>
      <c r="V60" s="263"/>
      <c r="W60" s="269"/>
    </row>
    <row r="61" spans="1:23">
      <c r="A61" t="s">
        <v>605</v>
      </c>
      <c r="B61" t="s">
        <v>604</v>
      </c>
      <c r="C61" s="265">
        <f t="shared" si="7"/>
        <v>1.22E-4</v>
      </c>
      <c r="G61" s="268">
        <f>'Vapor Calcs Distillate'!BD11</f>
        <v>9.9469685382486438E-6</v>
      </c>
      <c r="H61" s="268">
        <f>'Vapor Calcs Distillate'!BH11</f>
        <v>1.4549557986698346E-5</v>
      </c>
      <c r="I61" s="290">
        <f>'Vapor Calcs Non-Distillate'!BD11</f>
        <v>0</v>
      </c>
      <c r="J61" s="290">
        <f>'Vapor Calcs Non-Distillate'!BH11</f>
        <v>0</v>
      </c>
      <c r="V61" s="120"/>
      <c r="W61" s="268"/>
    </row>
    <row r="62" spans="1:23">
      <c r="A62" t="s">
        <v>1129</v>
      </c>
      <c r="B62" t="s">
        <v>1128</v>
      </c>
      <c r="C62" s="265">
        <f t="shared" si="7"/>
        <v>2.0899999999999998E-3</v>
      </c>
      <c r="G62" s="270">
        <f>'Vapor Calcs Distillate'!BD12</f>
        <v>1.1181185342515698E-3</v>
      </c>
      <c r="H62" s="270">
        <f>'Vapor Calcs Distillate'!BH12</f>
        <v>1.407263348640867E-3</v>
      </c>
      <c r="I62" s="269">
        <f>'Vapor Calcs Non-Distillate'!BD12</f>
        <v>2.5571037944410881E-4</v>
      </c>
      <c r="J62" s="269">
        <f>'Vapor Calcs Non-Distillate'!BH12</f>
        <v>3.1941757562673216E-4</v>
      </c>
      <c r="V62" s="262"/>
      <c r="W62" s="270"/>
    </row>
    <row r="63" spans="1:23">
      <c r="A63" t="s">
        <v>579</v>
      </c>
      <c r="B63" t="s">
        <v>578</v>
      </c>
      <c r="C63" s="265">
        <f t="shared" si="7"/>
        <v>3.4499999999999998E-4</v>
      </c>
      <c r="G63" s="270">
        <f>'Vapor Calcs Distillate'!BD13</f>
        <v>1.0231753720457801E-3</v>
      </c>
      <c r="H63" s="270">
        <f>'Vapor Calcs Distillate'!BH13</f>
        <v>1.1411176393586566E-3</v>
      </c>
      <c r="I63" s="269">
        <f>'Vapor Calcs Non-Distillate'!BD13</f>
        <v>1.5905558475590479E-4</v>
      </c>
      <c r="J63" s="269">
        <f>'Vapor Calcs Non-Distillate'!BH13</f>
        <v>1.7605654926367736E-4</v>
      </c>
      <c r="V63" s="262"/>
      <c r="W63" s="270"/>
    </row>
    <row r="64" spans="1:23">
      <c r="A64" t="s">
        <v>1223</v>
      </c>
      <c r="B64" t="s">
        <v>1222</v>
      </c>
      <c r="C64" s="265">
        <f t="shared" si="7"/>
        <v>3.48E-3</v>
      </c>
      <c r="G64" s="269">
        <f>'Vapor Calcs Distillate'!BD14</f>
        <v>5.2537593025594217E-4</v>
      </c>
      <c r="H64" s="269">
        <f>'Vapor Calcs Distillate'!BH14</f>
        <v>7.2807590530868805E-4</v>
      </c>
      <c r="I64" s="269">
        <f>'Vapor Calcs Non-Distillate'!BD14</f>
        <v>1.1576882375733557E-4</v>
      </c>
      <c r="J64" s="269">
        <f>'Vapor Calcs Non-Distillate'!BH14</f>
        <v>1.5922858280122194E-4</v>
      </c>
      <c r="V64" s="263"/>
      <c r="W64" s="269"/>
    </row>
    <row r="65" spans="1:23">
      <c r="A65" t="s">
        <v>591</v>
      </c>
      <c r="B65" t="s">
        <v>590</v>
      </c>
      <c r="C65" s="265">
        <f>VLOOKUP(A65,$A$6:$N$47,14,FALSE)</f>
        <v>1.7000000000000001E-4</v>
      </c>
      <c r="G65" s="270">
        <f>'Vapor Calcs Distillate'!BD15</f>
        <v>6.6225545334124003E-2</v>
      </c>
      <c r="H65" s="270">
        <f>'Vapor Calcs Distillate'!BH15</f>
        <v>4.7468938016422005E-2</v>
      </c>
      <c r="I65" s="290">
        <f>'Vapor Calcs Non-Distillate'!BD15</f>
        <v>0</v>
      </c>
      <c r="J65" s="290">
        <f>'Vapor Calcs Non-Distillate'!BH15</f>
        <v>0</v>
      </c>
      <c r="V65" s="262"/>
      <c r="W65" s="270"/>
    </row>
    <row r="67" spans="1:23">
      <c r="J67" s="216"/>
    </row>
  </sheetData>
  <mergeCells count="5">
    <mergeCell ref="B4:G4"/>
    <mergeCell ref="G53:H53"/>
    <mergeCell ref="I53:J53"/>
    <mergeCell ref="G52:J52"/>
    <mergeCell ref="H4:N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C238-6931-2B46-8614-A9DBA8A53CEA}">
  <sheetPr codeName="Sheet18">
    <tabColor theme="0" tint="-0.249977111117893"/>
  </sheetPr>
  <dimension ref="A1:BH49"/>
  <sheetViews>
    <sheetView zoomScale="130" zoomScaleNormal="130" workbookViewId="0">
      <pane xSplit="2" topLeftCell="C1" activePane="topRight" state="frozen"/>
      <selection activeCell="K4" sqref="K4:K14"/>
      <selection pane="topRight" activeCell="C20" sqref="C20"/>
    </sheetView>
  </sheetViews>
  <sheetFormatPr defaultColWidth="7.69921875" defaultRowHeight="15.6"/>
  <cols>
    <col min="1" max="1" width="12.796875" style="277" customWidth="1"/>
    <col min="2" max="2" width="42" style="277" customWidth="1"/>
    <col min="3" max="7" width="11.19921875" style="277" customWidth="1"/>
    <col min="8" max="14" width="10.296875" style="221" customWidth="1"/>
    <col min="15" max="55" width="10.296875" style="277" customWidth="1"/>
    <col min="56" max="56" width="10.296875" style="289" customWidth="1"/>
    <col min="57" max="57" width="10.296875" style="277" customWidth="1"/>
    <col min="58" max="60" width="10.296875" customWidth="1"/>
    <col min="63" max="63" width="9" bestFit="1" customWidth="1"/>
    <col min="258" max="258" width="7.69921875" customWidth="1"/>
    <col min="259" max="259" width="32.5" customWidth="1"/>
    <col min="260" max="260" width="15.5" customWidth="1"/>
    <col min="261" max="261" width="13.5" customWidth="1"/>
    <col min="262" max="262" width="14.796875" customWidth="1"/>
    <col min="263" max="264" width="14" customWidth="1"/>
    <col min="265" max="265" width="12" customWidth="1"/>
    <col min="266" max="266" width="5.796875" customWidth="1"/>
    <col min="267" max="268" width="7.69921875" customWidth="1"/>
    <col min="269" max="269" width="13.5" customWidth="1"/>
    <col min="270" max="270" width="7.69921875" customWidth="1"/>
    <col min="271" max="271" width="10.19921875" customWidth="1"/>
    <col min="272" max="272" width="18.796875" customWidth="1"/>
    <col min="514" max="514" width="7.69921875" customWidth="1"/>
    <col min="515" max="515" width="32.5" customWidth="1"/>
    <col min="516" max="516" width="15.5" customWidth="1"/>
    <col min="517" max="517" width="13.5" customWidth="1"/>
    <col min="518" max="518" width="14.796875" customWidth="1"/>
    <col min="519" max="520" width="14" customWidth="1"/>
    <col min="521" max="521" width="12" customWidth="1"/>
    <col min="522" max="522" width="5.796875" customWidth="1"/>
    <col min="523" max="524" width="7.69921875" customWidth="1"/>
    <col min="525" max="525" width="13.5" customWidth="1"/>
    <col min="526" max="526" width="7.69921875" customWidth="1"/>
    <col min="527" max="527" width="10.19921875" customWidth="1"/>
    <col min="528" max="528" width="18.796875" customWidth="1"/>
    <col min="770" max="770" width="7.69921875" customWidth="1"/>
    <col min="771" max="771" width="32.5" customWidth="1"/>
    <col min="772" max="772" width="15.5" customWidth="1"/>
    <col min="773" max="773" width="13.5" customWidth="1"/>
    <col min="774" max="774" width="14.796875" customWidth="1"/>
    <col min="775" max="776" width="14" customWidth="1"/>
    <col min="777" max="777" width="12" customWidth="1"/>
    <col min="778" max="778" width="5.796875" customWidth="1"/>
    <col min="779" max="780" width="7.69921875" customWidth="1"/>
    <col min="781" max="781" width="13.5" customWidth="1"/>
    <col min="782" max="782" width="7.69921875" customWidth="1"/>
    <col min="783" max="783" width="10.19921875" customWidth="1"/>
    <col min="784" max="784" width="18.796875" customWidth="1"/>
    <col min="1026" max="1026" width="7.69921875" customWidth="1"/>
    <col min="1027" max="1027" width="32.5" customWidth="1"/>
    <col min="1028" max="1028" width="15.5" customWidth="1"/>
    <col min="1029" max="1029" width="13.5" customWidth="1"/>
    <col min="1030" max="1030" width="14.796875" customWidth="1"/>
    <col min="1031" max="1032" width="14" customWidth="1"/>
    <col min="1033" max="1033" width="12" customWidth="1"/>
    <col min="1034" max="1034" width="5.796875" customWidth="1"/>
    <col min="1035" max="1036" width="7.69921875" customWidth="1"/>
    <col min="1037" max="1037" width="13.5" customWidth="1"/>
    <col min="1038" max="1038" width="7.69921875" customWidth="1"/>
    <col min="1039" max="1039" width="10.19921875" customWidth="1"/>
    <col min="1040" max="1040" width="18.796875" customWidth="1"/>
    <col min="1282" max="1282" width="7.69921875" customWidth="1"/>
    <col min="1283" max="1283" width="32.5" customWidth="1"/>
    <col min="1284" max="1284" width="15.5" customWidth="1"/>
    <col min="1285" max="1285" width="13.5" customWidth="1"/>
    <col min="1286" max="1286" width="14.796875" customWidth="1"/>
    <col min="1287" max="1288" width="14" customWidth="1"/>
    <col min="1289" max="1289" width="12" customWidth="1"/>
    <col min="1290" max="1290" width="5.796875" customWidth="1"/>
    <col min="1291" max="1292" width="7.69921875" customWidth="1"/>
    <col min="1293" max="1293" width="13.5" customWidth="1"/>
    <col min="1294" max="1294" width="7.69921875" customWidth="1"/>
    <col min="1295" max="1295" width="10.19921875" customWidth="1"/>
    <col min="1296" max="1296" width="18.796875" customWidth="1"/>
    <col min="1538" max="1538" width="7.69921875" customWidth="1"/>
    <col min="1539" max="1539" width="32.5" customWidth="1"/>
    <col min="1540" max="1540" width="15.5" customWidth="1"/>
    <col min="1541" max="1541" width="13.5" customWidth="1"/>
    <col min="1542" max="1542" width="14.796875" customWidth="1"/>
    <col min="1543" max="1544" width="14" customWidth="1"/>
    <col min="1545" max="1545" width="12" customWidth="1"/>
    <col min="1546" max="1546" width="5.796875" customWidth="1"/>
    <col min="1547" max="1548" width="7.69921875" customWidth="1"/>
    <col min="1549" max="1549" width="13.5" customWidth="1"/>
    <col min="1550" max="1550" width="7.69921875" customWidth="1"/>
    <col min="1551" max="1551" width="10.19921875" customWidth="1"/>
    <col min="1552" max="1552" width="18.796875" customWidth="1"/>
    <col min="1794" max="1794" width="7.69921875" customWidth="1"/>
    <col min="1795" max="1795" width="32.5" customWidth="1"/>
    <col min="1796" max="1796" width="15.5" customWidth="1"/>
    <col min="1797" max="1797" width="13.5" customWidth="1"/>
    <col min="1798" max="1798" width="14.796875" customWidth="1"/>
    <col min="1799" max="1800" width="14" customWidth="1"/>
    <col min="1801" max="1801" width="12" customWidth="1"/>
    <col min="1802" max="1802" width="5.796875" customWidth="1"/>
    <col min="1803" max="1804" width="7.69921875" customWidth="1"/>
    <col min="1805" max="1805" width="13.5" customWidth="1"/>
    <col min="1806" max="1806" width="7.69921875" customWidth="1"/>
    <col min="1807" max="1807" width="10.19921875" customWidth="1"/>
    <col min="1808" max="1808" width="18.796875" customWidth="1"/>
    <col min="2050" max="2050" width="7.69921875" customWidth="1"/>
    <col min="2051" max="2051" width="32.5" customWidth="1"/>
    <col min="2052" max="2052" width="15.5" customWidth="1"/>
    <col min="2053" max="2053" width="13.5" customWidth="1"/>
    <col min="2054" max="2054" width="14.796875" customWidth="1"/>
    <col min="2055" max="2056" width="14" customWidth="1"/>
    <col min="2057" max="2057" width="12" customWidth="1"/>
    <col min="2058" max="2058" width="5.796875" customWidth="1"/>
    <col min="2059" max="2060" width="7.69921875" customWidth="1"/>
    <col min="2061" max="2061" width="13.5" customWidth="1"/>
    <col min="2062" max="2062" width="7.69921875" customWidth="1"/>
    <col min="2063" max="2063" width="10.19921875" customWidth="1"/>
    <col min="2064" max="2064" width="18.796875" customWidth="1"/>
    <col min="2306" max="2306" width="7.69921875" customWidth="1"/>
    <col min="2307" max="2307" width="32.5" customWidth="1"/>
    <col min="2308" max="2308" width="15.5" customWidth="1"/>
    <col min="2309" max="2309" width="13.5" customWidth="1"/>
    <col min="2310" max="2310" width="14.796875" customWidth="1"/>
    <col min="2311" max="2312" width="14" customWidth="1"/>
    <col min="2313" max="2313" width="12" customWidth="1"/>
    <col min="2314" max="2314" width="5.796875" customWidth="1"/>
    <col min="2315" max="2316" width="7.69921875" customWidth="1"/>
    <col min="2317" max="2317" width="13.5" customWidth="1"/>
    <col min="2318" max="2318" width="7.69921875" customWidth="1"/>
    <col min="2319" max="2319" width="10.19921875" customWidth="1"/>
    <col min="2320" max="2320" width="18.796875" customWidth="1"/>
    <col min="2562" max="2562" width="7.69921875" customWidth="1"/>
    <col min="2563" max="2563" width="32.5" customWidth="1"/>
    <col min="2564" max="2564" width="15.5" customWidth="1"/>
    <col min="2565" max="2565" width="13.5" customWidth="1"/>
    <col min="2566" max="2566" width="14.796875" customWidth="1"/>
    <col min="2567" max="2568" width="14" customWidth="1"/>
    <col min="2569" max="2569" width="12" customWidth="1"/>
    <col min="2570" max="2570" width="5.796875" customWidth="1"/>
    <col min="2571" max="2572" width="7.69921875" customWidth="1"/>
    <col min="2573" max="2573" width="13.5" customWidth="1"/>
    <col min="2574" max="2574" width="7.69921875" customWidth="1"/>
    <col min="2575" max="2575" width="10.19921875" customWidth="1"/>
    <col min="2576" max="2576" width="18.796875" customWidth="1"/>
    <col min="2818" max="2818" width="7.69921875" customWidth="1"/>
    <col min="2819" max="2819" width="32.5" customWidth="1"/>
    <col min="2820" max="2820" width="15.5" customWidth="1"/>
    <col min="2821" max="2821" width="13.5" customWidth="1"/>
    <col min="2822" max="2822" width="14.796875" customWidth="1"/>
    <col min="2823" max="2824" width="14" customWidth="1"/>
    <col min="2825" max="2825" width="12" customWidth="1"/>
    <col min="2826" max="2826" width="5.796875" customWidth="1"/>
    <col min="2827" max="2828" width="7.69921875" customWidth="1"/>
    <col min="2829" max="2829" width="13.5" customWidth="1"/>
    <col min="2830" max="2830" width="7.69921875" customWidth="1"/>
    <col min="2831" max="2831" width="10.19921875" customWidth="1"/>
    <col min="2832" max="2832" width="18.796875" customWidth="1"/>
    <col min="3074" max="3074" width="7.69921875" customWidth="1"/>
    <col min="3075" max="3075" width="32.5" customWidth="1"/>
    <col min="3076" max="3076" width="15.5" customWidth="1"/>
    <col min="3077" max="3077" width="13.5" customWidth="1"/>
    <col min="3078" max="3078" width="14.796875" customWidth="1"/>
    <col min="3079" max="3080" width="14" customWidth="1"/>
    <col min="3081" max="3081" width="12" customWidth="1"/>
    <col min="3082" max="3082" width="5.796875" customWidth="1"/>
    <col min="3083" max="3084" width="7.69921875" customWidth="1"/>
    <col min="3085" max="3085" width="13.5" customWidth="1"/>
    <col min="3086" max="3086" width="7.69921875" customWidth="1"/>
    <col min="3087" max="3087" width="10.19921875" customWidth="1"/>
    <col min="3088" max="3088" width="18.796875" customWidth="1"/>
    <col min="3330" max="3330" width="7.69921875" customWidth="1"/>
    <col min="3331" max="3331" width="32.5" customWidth="1"/>
    <col min="3332" max="3332" width="15.5" customWidth="1"/>
    <col min="3333" max="3333" width="13.5" customWidth="1"/>
    <col min="3334" max="3334" width="14.796875" customWidth="1"/>
    <col min="3335" max="3336" width="14" customWidth="1"/>
    <col min="3337" max="3337" width="12" customWidth="1"/>
    <col min="3338" max="3338" width="5.796875" customWidth="1"/>
    <col min="3339" max="3340" width="7.69921875" customWidth="1"/>
    <col min="3341" max="3341" width="13.5" customWidth="1"/>
    <col min="3342" max="3342" width="7.69921875" customWidth="1"/>
    <col min="3343" max="3343" width="10.19921875" customWidth="1"/>
    <col min="3344" max="3344" width="18.796875" customWidth="1"/>
    <col min="3586" max="3586" width="7.69921875" customWidth="1"/>
    <col min="3587" max="3587" width="32.5" customWidth="1"/>
    <col min="3588" max="3588" width="15.5" customWidth="1"/>
    <col min="3589" max="3589" width="13.5" customWidth="1"/>
    <col min="3590" max="3590" width="14.796875" customWidth="1"/>
    <col min="3591" max="3592" width="14" customWidth="1"/>
    <col min="3593" max="3593" width="12" customWidth="1"/>
    <col min="3594" max="3594" width="5.796875" customWidth="1"/>
    <col min="3595" max="3596" width="7.69921875" customWidth="1"/>
    <col min="3597" max="3597" width="13.5" customWidth="1"/>
    <col min="3598" max="3598" width="7.69921875" customWidth="1"/>
    <col min="3599" max="3599" width="10.19921875" customWidth="1"/>
    <col min="3600" max="3600" width="18.796875" customWidth="1"/>
    <col min="3842" max="3842" width="7.69921875" customWidth="1"/>
    <col min="3843" max="3843" width="32.5" customWidth="1"/>
    <col min="3844" max="3844" width="15.5" customWidth="1"/>
    <col min="3845" max="3845" width="13.5" customWidth="1"/>
    <col min="3846" max="3846" width="14.796875" customWidth="1"/>
    <col min="3847" max="3848" width="14" customWidth="1"/>
    <col min="3849" max="3849" width="12" customWidth="1"/>
    <col min="3850" max="3850" width="5.796875" customWidth="1"/>
    <col min="3851" max="3852" width="7.69921875" customWidth="1"/>
    <col min="3853" max="3853" width="13.5" customWidth="1"/>
    <col min="3854" max="3854" width="7.69921875" customWidth="1"/>
    <col min="3855" max="3855" width="10.19921875" customWidth="1"/>
    <col min="3856" max="3856" width="18.796875" customWidth="1"/>
    <col min="4098" max="4098" width="7.69921875" customWidth="1"/>
    <col min="4099" max="4099" width="32.5" customWidth="1"/>
    <col min="4100" max="4100" width="15.5" customWidth="1"/>
    <col min="4101" max="4101" width="13.5" customWidth="1"/>
    <col min="4102" max="4102" width="14.796875" customWidth="1"/>
    <col min="4103" max="4104" width="14" customWidth="1"/>
    <col min="4105" max="4105" width="12" customWidth="1"/>
    <col min="4106" max="4106" width="5.796875" customWidth="1"/>
    <col min="4107" max="4108" width="7.69921875" customWidth="1"/>
    <col min="4109" max="4109" width="13.5" customWidth="1"/>
    <col min="4110" max="4110" width="7.69921875" customWidth="1"/>
    <col min="4111" max="4111" width="10.19921875" customWidth="1"/>
    <col min="4112" max="4112" width="18.796875" customWidth="1"/>
    <col min="4354" max="4354" width="7.69921875" customWidth="1"/>
    <col min="4355" max="4355" width="32.5" customWidth="1"/>
    <col min="4356" max="4356" width="15.5" customWidth="1"/>
    <col min="4357" max="4357" width="13.5" customWidth="1"/>
    <col min="4358" max="4358" width="14.796875" customWidth="1"/>
    <col min="4359" max="4360" width="14" customWidth="1"/>
    <col min="4361" max="4361" width="12" customWidth="1"/>
    <col min="4362" max="4362" width="5.796875" customWidth="1"/>
    <col min="4363" max="4364" width="7.69921875" customWidth="1"/>
    <col min="4365" max="4365" width="13.5" customWidth="1"/>
    <col min="4366" max="4366" width="7.69921875" customWidth="1"/>
    <col min="4367" max="4367" width="10.19921875" customWidth="1"/>
    <col min="4368" max="4368" width="18.796875" customWidth="1"/>
    <col min="4610" max="4610" width="7.69921875" customWidth="1"/>
    <col min="4611" max="4611" width="32.5" customWidth="1"/>
    <col min="4612" max="4612" width="15.5" customWidth="1"/>
    <col min="4613" max="4613" width="13.5" customWidth="1"/>
    <col min="4614" max="4614" width="14.796875" customWidth="1"/>
    <col min="4615" max="4616" width="14" customWidth="1"/>
    <col min="4617" max="4617" width="12" customWidth="1"/>
    <col min="4618" max="4618" width="5.796875" customWidth="1"/>
    <col min="4619" max="4620" width="7.69921875" customWidth="1"/>
    <col min="4621" max="4621" width="13.5" customWidth="1"/>
    <col min="4622" max="4622" width="7.69921875" customWidth="1"/>
    <col min="4623" max="4623" width="10.19921875" customWidth="1"/>
    <col min="4624" max="4624" width="18.796875" customWidth="1"/>
    <col min="4866" max="4866" width="7.69921875" customWidth="1"/>
    <col min="4867" max="4867" width="32.5" customWidth="1"/>
    <col min="4868" max="4868" width="15.5" customWidth="1"/>
    <col min="4869" max="4869" width="13.5" customWidth="1"/>
    <col min="4870" max="4870" width="14.796875" customWidth="1"/>
    <col min="4871" max="4872" width="14" customWidth="1"/>
    <col min="4873" max="4873" width="12" customWidth="1"/>
    <col min="4874" max="4874" width="5.796875" customWidth="1"/>
    <col min="4875" max="4876" width="7.69921875" customWidth="1"/>
    <col min="4877" max="4877" width="13.5" customWidth="1"/>
    <col min="4878" max="4878" width="7.69921875" customWidth="1"/>
    <col min="4879" max="4879" width="10.19921875" customWidth="1"/>
    <col min="4880" max="4880" width="18.796875" customWidth="1"/>
    <col min="5122" max="5122" width="7.69921875" customWidth="1"/>
    <col min="5123" max="5123" width="32.5" customWidth="1"/>
    <col min="5124" max="5124" width="15.5" customWidth="1"/>
    <col min="5125" max="5125" width="13.5" customWidth="1"/>
    <col min="5126" max="5126" width="14.796875" customWidth="1"/>
    <col min="5127" max="5128" width="14" customWidth="1"/>
    <col min="5129" max="5129" width="12" customWidth="1"/>
    <col min="5130" max="5130" width="5.796875" customWidth="1"/>
    <col min="5131" max="5132" width="7.69921875" customWidth="1"/>
    <col min="5133" max="5133" width="13.5" customWidth="1"/>
    <col min="5134" max="5134" width="7.69921875" customWidth="1"/>
    <col min="5135" max="5135" width="10.19921875" customWidth="1"/>
    <col min="5136" max="5136" width="18.796875" customWidth="1"/>
    <col min="5378" max="5378" width="7.69921875" customWidth="1"/>
    <col min="5379" max="5379" width="32.5" customWidth="1"/>
    <col min="5380" max="5380" width="15.5" customWidth="1"/>
    <col min="5381" max="5381" width="13.5" customWidth="1"/>
    <col min="5382" max="5382" width="14.796875" customWidth="1"/>
    <col min="5383" max="5384" width="14" customWidth="1"/>
    <col min="5385" max="5385" width="12" customWidth="1"/>
    <col min="5386" max="5386" width="5.796875" customWidth="1"/>
    <col min="5387" max="5388" width="7.69921875" customWidth="1"/>
    <col min="5389" max="5389" width="13.5" customWidth="1"/>
    <col min="5390" max="5390" width="7.69921875" customWidth="1"/>
    <col min="5391" max="5391" width="10.19921875" customWidth="1"/>
    <col min="5392" max="5392" width="18.796875" customWidth="1"/>
    <col min="5634" max="5634" width="7.69921875" customWidth="1"/>
    <col min="5635" max="5635" width="32.5" customWidth="1"/>
    <col min="5636" max="5636" width="15.5" customWidth="1"/>
    <col min="5637" max="5637" width="13.5" customWidth="1"/>
    <col min="5638" max="5638" width="14.796875" customWidth="1"/>
    <col min="5639" max="5640" width="14" customWidth="1"/>
    <col min="5641" max="5641" width="12" customWidth="1"/>
    <col min="5642" max="5642" width="5.796875" customWidth="1"/>
    <col min="5643" max="5644" width="7.69921875" customWidth="1"/>
    <col min="5645" max="5645" width="13.5" customWidth="1"/>
    <col min="5646" max="5646" width="7.69921875" customWidth="1"/>
    <col min="5647" max="5647" width="10.19921875" customWidth="1"/>
    <col min="5648" max="5648" width="18.796875" customWidth="1"/>
    <col min="5890" max="5890" width="7.69921875" customWidth="1"/>
    <col min="5891" max="5891" width="32.5" customWidth="1"/>
    <col min="5892" max="5892" width="15.5" customWidth="1"/>
    <col min="5893" max="5893" width="13.5" customWidth="1"/>
    <col min="5894" max="5894" width="14.796875" customWidth="1"/>
    <col min="5895" max="5896" width="14" customWidth="1"/>
    <col min="5897" max="5897" width="12" customWidth="1"/>
    <col min="5898" max="5898" width="5.796875" customWidth="1"/>
    <col min="5899" max="5900" width="7.69921875" customWidth="1"/>
    <col min="5901" max="5901" width="13.5" customWidth="1"/>
    <col min="5902" max="5902" width="7.69921875" customWidth="1"/>
    <col min="5903" max="5903" width="10.19921875" customWidth="1"/>
    <col min="5904" max="5904" width="18.796875" customWidth="1"/>
    <col min="6146" max="6146" width="7.69921875" customWidth="1"/>
    <col min="6147" max="6147" width="32.5" customWidth="1"/>
    <col min="6148" max="6148" width="15.5" customWidth="1"/>
    <col min="6149" max="6149" width="13.5" customWidth="1"/>
    <col min="6150" max="6150" width="14.796875" customWidth="1"/>
    <col min="6151" max="6152" width="14" customWidth="1"/>
    <col min="6153" max="6153" width="12" customWidth="1"/>
    <col min="6154" max="6154" width="5.796875" customWidth="1"/>
    <col min="6155" max="6156" width="7.69921875" customWidth="1"/>
    <col min="6157" max="6157" width="13.5" customWidth="1"/>
    <col min="6158" max="6158" width="7.69921875" customWidth="1"/>
    <col min="6159" max="6159" width="10.19921875" customWidth="1"/>
    <col min="6160" max="6160" width="18.796875" customWidth="1"/>
    <col min="6402" max="6402" width="7.69921875" customWidth="1"/>
    <col min="6403" max="6403" width="32.5" customWidth="1"/>
    <col min="6404" max="6404" width="15.5" customWidth="1"/>
    <col min="6405" max="6405" width="13.5" customWidth="1"/>
    <col min="6406" max="6406" width="14.796875" customWidth="1"/>
    <col min="6407" max="6408" width="14" customWidth="1"/>
    <col min="6409" max="6409" width="12" customWidth="1"/>
    <col min="6410" max="6410" width="5.796875" customWidth="1"/>
    <col min="6411" max="6412" width="7.69921875" customWidth="1"/>
    <col min="6413" max="6413" width="13.5" customWidth="1"/>
    <col min="6414" max="6414" width="7.69921875" customWidth="1"/>
    <col min="6415" max="6415" width="10.19921875" customWidth="1"/>
    <col min="6416" max="6416" width="18.796875" customWidth="1"/>
    <col min="6658" max="6658" width="7.69921875" customWidth="1"/>
    <col min="6659" max="6659" width="32.5" customWidth="1"/>
    <col min="6660" max="6660" width="15.5" customWidth="1"/>
    <col min="6661" max="6661" width="13.5" customWidth="1"/>
    <col min="6662" max="6662" width="14.796875" customWidth="1"/>
    <col min="6663" max="6664" width="14" customWidth="1"/>
    <col min="6665" max="6665" width="12" customWidth="1"/>
    <col min="6666" max="6666" width="5.796875" customWidth="1"/>
    <col min="6667" max="6668" width="7.69921875" customWidth="1"/>
    <col min="6669" max="6669" width="13.5" customWidth="1"/>
    <col min="6670" max="6670" width="7.69921875" customWidth="1"/>
    <col min="6671" max="6671" width="10.19921875" customWidth="1"/>
    <col min="6672" max="6672" width="18.796875" customWidth="1"/>
    <col min="6914" max="6914" width="7.69921875" customWidth="1"/>
    <col min="6915" max="6915" width="32.5" customWidth="1"/>
    <col min="6916" max="6916" width="15.5" customWidth="1"/>
    <col min="6917" max="6917" width="13.5" customWidth="1"/>
    <col min="6918" max="6918" width="14.796875" customWidth="1"/>
    <col min="6919" max="6920" width="14" customWidth="1"/>
    <col min="6921" max="6921" width="12" customWidth="1"/>
    <col min="6922" max="6922" width="5.796875" customWidth="1"/>
    <col min="6923" max="6924" width="7.69921875" customWidth="1"/>
    <col min="6925" max="6925" width="13.5" customWidth="1"/>
    <col min="6926" max="6926" width="7.69921875" customWidth="1"/>
    <col min="6927" max="6927" width="10.19921875" customWidth="1"/>
    <col min="6928" max="6928" width="18.796875" customWidth="1"/>
    <col min="7170" max="7170" width="7.69921875" customWidth="1"/>
    <col min="7171" max="7171" width="32.5" customWidth="1"/>
    <col min="7172" max="7172" width="15.5" customWidth="1"/>
    <col min="7173" max="7173" width="13.5" customWidth="1"/>
    <col min="7174" max="7174" width="14.796875" customWidth="1"/>
    <col min="7175" max="7176" width="14" customWidth="1"/>
    <col min="7177" max="7177" width="12" customWidth="1"/>
    <col min="7178" max="7178" width="5.796875" customWidth="1"/>
    <col min="7179" max="7180" width="7.69921875" customWidth="1"/>
    <col min="7181" max="7181" width="13.5" customWidth="1"/>
    <col min="7182" max="7182" width="7.69921875" customWidth="1"/>
    <col min="7183" max="7183" width="10.19921875" customWidth="1"/>
    <col min="7184" max="7184" width="18.796875" customWidth="1"/>
    <col min="7426" max="7426" width="7.69921875" customWidth="1"/>
    <col min="7427" max="7427" width="32.5" customWidth="1"/>
    <col min="7428" max="7428" width="15.5" customWidth="1"/>
    <col min="7429" max="7429" width="13.5" customWidth="1"/>
    <col min="7430" max="7430" width="14.796875" customWidth="1"/>
    <col min="7431" max="7432" width="14" customWidth="1"/>
    <col min="7433" max="7433" width="12" customWidth="1"/>
    <col min="7434" max="7434" width="5.796875" customWidth="1"/>
    <col min="7435" max="7436" width="7.69921875" customWidth="1"/>
    <col min="7437" max="7437" width="13.5" customWidth="1"/>
    <col min="7438" max="7438" width="7.69921875" customWidth="1"/>
    <col min="7439" max="7439" width="10.19921875" customWidth="1"/>
    <col min="7440" max="7440" width="18.796875" customWidth="1"/>
    <col min="7682" max="7682" width="7.69921875" customWidth="1"/>
    <col min="7683" max="7683" width="32.5" customWidth="1"/>
    <col min="7684" max="7684" width="15.5" customWidth="1"/>
    <col min="7685" max="7685" width="13.5" customWidth="1"/>
    <col min="7686" max="7686" width="14.796875" customWidth="1"/>
    <col min="7687" max="7688" width="14" customWidth="1"/>
    <col min="7689" max="7689" width="12" customWidth="1"/>
    <col min="7690" max="7690" width="5.796875" customWidth="1"/>
    <col min="7691" max="7692" width="7.69921875" customWidth="1"/>
    <col min="7693" max="7693" width="13.5" customWidth="1"/>
    <col min="7694" max="7694" width="7.69921875" customWidth="1"/>
    <col min="7695" max="7695" width="10.19921875" customWidth="1"/>
    <col min="7696" max="7696" width="18.796875" customWidth="1"/>
    <col min="7938" max="7938" width="7.69921875" customWidth="1"/>
    <col min="7939" max="7939" width="32.5" customWidth="1"/>
    <col min="7940" max="7940" width="15.5" customWidth="1"/>
    <col min="7941" max="7941" width="13.5" customWidth="1"/>
    <col min="7942" max="7942" width="14.796875" customWidth="1"/>
    <col min="7943" max="7944" width="14" customWidth="1"/>
    <col min="7945" max="7945" width="12" customWidth="1"/>
    <col min="7946" max="7946" width="5.796875" customWidth="1"/>
    <col min="7947" max="7948" width="7.69921875" customWidth="1"/>
    <col min="7949" max="7949" width="13.5" customWidth="1"/>
    <col min="7950" max="7950" width="7.69921875" customWidth="1"/>
    <col min="7951" max="7951" width="10.19921875" customWidth="1"/>
    <col min="7952" max="7952" width="18.796875" customWidth="1"/>
    <col min="8194" max="8194" width="7.69921875" customWidth="1"/>
    <col min="8195" max="8195" width="32.5" customWidth="1"/>
    <col min="8196" max="8196" width="15.5" customWidth="1"/>
    <col min="8197" max="8197" width="13.5" customWidth="1"/>
    <col min="8198" max="8198" width="14.796875" customWidth="1"/>
    <col min="8199" max="8200" width="14" customWidth="1"/>
    <col min="8201" max="8201" width="12" customWidth="1"/>
    <col min="8202" max="8202" width="5.796875" customWidth="1"/>
    <col min="8203" max="8204" width="7.69921875" customWidth="1"/>
    <col min="8205" max="8205" width="13.5" customWidth="1"/>
    <col min="8206" max="8206" width="7.69921875" customWidth="1"/>
    <col min="8207" max="8207" width="10.19921875" customWidth="1"/>
    <col min="8208" max="8208" width="18.796875" customWidth="1"/>
    <col min="8450" max="8450" width="7.69921875" customWidth="1"/>
    <col min="8451" max="8451" width="32.5" customWidth="1"/>
    <col min="8452" max="8452" width="15.5" customWidth="1"/>
    <col min="8453" max="8453" width="13.5" customWidth="1"/>
    <col min="8454" max="8454" width="14.796875" customWidth="1"/>
    <col min="8455" max="8456" width="14" customWidth="1"/>
    <col min="8457" max="8457" width="12" customWidth="1"/>
    <col min="8458" max="8458" width="5.796875" customWidth="1"/>
    <col min="8459" max="8460" width="7.69921875" customWidth="1"/>
    <col min="8461" max="8461" width="13.5" customWidth="1"/>
    <col min="8462" max="8462" width="7.69921875" customWidth="1"/>
    <col min="8463" max="8463" width="10.19921875" customWidth="1"/>
    <col min="8464" max="8464" width="18.796875" customWidth="1"/>
    <col min="8706" max="8706" width="7.69921875" customWidth="1"/>
    <col min="8707" max="8707" width="32.5" customWidth="1"/>
    <col min="8708" max="8708" width="15.5" customWidth="1"/>
    <col min="8709" max="8709" width="13.5" customWidth="1"/>
    <col min="8710" max="8710" width="14.796875" customWidth="1"/>
    <col min="8711" max="8712" width="14" customWidth="1"/>
    <col min="8713" max="8713" width="12" customWidth="1"/>
    <col min="8714" max="8714" width="5.796875" customWidth="1"/>
    <col min="8715" max="8716" width="7.69921875" customWidth="1"/>
    <col min="8717" max="8717" width="13.5" customWidth="1"/>
    <col min="8718" max="8718" width="7.69921875" customWidth="1"/>
    <col min="8719" max="8719" width="10.19921875" customWidth="1"/>
    <col min="8720" max="8720" width="18.796875" customWidth="1"/>
    <col min="8962" max="8962" width="7.69921875" customWidth="1"/>
    <col min="8963" max="8963" width="32.5" customWidth="1"/>
    <col min="8964" max="8964" width="15.5" customWidth="1"/>
    <col min="8965" max="8965" width="13.5" customWidth="1"/>
    <col min="8966" max="8966" width="14.796875" customWidth="1"/>
    <col min="8967" max="8968" width="14" customWidth="1"/>
    <col min="8969" max="8969" width="12" customWidth="1"/>
    <col min="8970" max="8970" width="5.796875" customWidth="1"/>
    <col min="8971" max="8972" width="7.69921875" customWidth="1"/>
    <col min="8973" max="8973" width="13.5" customWidth="1"/>
    <col min="8974" max="8974" width="7.69921875" customWidth="1"/>
    <col min="8975" max="8975" width="10.19921875" customWidth="1"/>
    <col min="8976" max="8976" width="18.796875" customWidth="1"/>
    <col min="9218" max="9218" width="7.69921875" customWidth="1"/>
    <col min="9219" max="9219" width="32.5" customWidth="1"/>
    <col min="9220" max="9220" width="15.5" customWidth="1"/>
    <col min="9221" max="9221" width="13.5" customWidth="1"/>
    <col min="9222" max="9222" width="14.796875" customWidth="1"/>
    <col min="9223" max="9224" width="14" customWidth="1"/>
    <col min="9225" max="9225" width="12" customWidth="1"/>
    <col min="9226" max="9226" width="5.796875" customWidth="1"/>
    <col min="9227" max="9228" width="7.69921875" customWidth="1"/>
    <col min="9229" max="9229" width="13.5" customWidth="1"/>
    <col min="9230" max="9230" width="7.69921875" customWidth="1"/>
    <col min="9231" max="9231" width="10.19921875" customWidth="1"/>
    <col min="9232" max="9232" width="18.796875" customWidth="1"/>
    <col min="9474" max="9474" width="7.69921875" customWidth="1"/>
    <col min="9475" max="9475" width="32.5" customWidth="1"/>
    <col min="9476" max="9476" width="15.5" customWidth="1"/>
    <col min="9477" max="9477" width="13.5" customWidth="1"/>
    <col min="9478" max="9478" width="14.796875" customWidth="1"/>
    <col min="9479" max="9480" width="14" customWidth="1"/>
    <col min="9481" max="9481" width="12" customWidth="1"/>
    <col min="9482" max="9482" width="5.796875" customWidth="1"/>
    <col min="9483" max="9484" width="7.69921875" customWidth="1"/>
    <col min="9485" max="9485" width="13.5" customWidth="1"/>
    <col min="9486" max="9486" width="7.69921875" customWidth="1"/>
    <col min="9487" max="9487" width="10.19921875" customWidth="1"/>
    <col min="9488" max="9488" width="18.796875" customWidth="1"/>
    <col min="9730" max="9730" width="7.69921875" customWidth="1"/>
    <col min="9731" max="9731" width="32.5" customWidth="1"/>
    <col min="9732" max="9732" width="15.5" customWidth="1"/>
    <col min="9733" max="9733" width="13.5" customWidth="1"/>
    <col min="9734" max="9734" width="14.796875" customWidth="1"/>
    <col min="9735" max="9736" width="14" customWidth="1"/>
    <col min="9737" max="9737" width="12" customWidth="1"/>
    <col min="9738" max="9738" width="5.796875" customWidth="1"/>
    <col min="9739" max="9740" width="7.69921875" customWidth="1"/>
    <col min="9741" max="9741" width="13.5" customWidth="1"/>
    <col min="9742" max="9742" width="7.69921875" customWidth="1"/>
    <col min="9743" max="9743" width="10.19921875" customWidth="1"/>
    <col min="9744" max="9744" width="18.796875" customWidth="1"/>
    <col min="9986" max="9986" width="7.69921875" customWidth="1"/>
    <col min="9987" max="9987" width="32.5" customWidth="1"/>
    <col min="9988" max="9988" width="15.5" customWidth="1"/>
    <col min="9989" max="9989" width="13.5" customWidth="1"/>
    <col min="9990" max="9990" width="14.796875" customWidth="1"/>
    <col min="9991" max="9992" width="14" customWidth="1"/>
    <col min="9993" max="9993" width="12" customWidth="1"/>
    <col min="9994" max="9994" width="5.796875" customWidth="1"/>
    <col min="9995" max="9996" width="7.69921875" customWidth="1"/>
    <col min="9997" max="9997" width="13.5" customWidth="1"/>
    <col min="9998" max="9998" width="7.69921875" customWidth="1"/>
    <col min="9999" max="9999" width="10.19921875" customWidth="1"/>
    <col min="10000" max="10000" width="18.796875" customWidth="1"/>
    <col min="10242" max="10242" width="7.69921875" customWidth="1"/>
    <col min="10243" max="10243" width="32.5" customWidth="1"/>
    <col min="10244" max="10244" width="15.5" customWidth="1"/>
    <col min="10245" max="10245" width="13.5" customWidth="1"/>
    <col min="10246" max="10246" width="14.796875" customWidth="1"/>
    <col min="10247" max="10248" width="14" customWidth="1"/>
    <col min="10249" max="10249" width="12" customWidth="1"/>
    <col min="10250" max="10250" width="5.796875" customWidth="1"/>
    <col min="10251" max="10252" width="7.69921875" customWidth="1"/>
    <col min="10253" max="10253" width="13.5" customWidth="1"/>
    <col min="10254" max="10254" width="7.69921875" customWidth="1"/>
    <col min="10255" max="10255" width="10.19921875" customWidth="1"/>
    <col min="10256" max="10256" width="18.796875" customWidth="1"/>
    <col min="10498" max="10498" width="7.69921875" customWidth="1"/>
    <col min="10499" max="10499" width="32.5" customWidth="1"/>
    <col min="10500" max="10500" width="15.5" customWidth="1"/>
    <col min="10501" max="10501" width="13.5" customWidth="1"/>
    <col min="10502" max="10502" width="14.796875" customWidth="1"/>
    <col min="10503" max="10504" width="14" customWidth="1"/>
    <col min="10505" max="10505" width="12" customWidth="1"/>
    <col min="10506" max="10506" width="5.796875" customWidth="1"/>
    <col min="10507" max="10508" width="7.69921875" customWidth="1"/>
    <col min="10509" max="10509" width="13.5" customWidth="1"/>
    <col min="10510" max="10510" width="7.69921875" customWidth="1"/>
    <col min="10511" max="10511" width="10.19921875" customWidth="1"/>
    <col min="10512" max="10512" width="18.796875" customWidth="1"/>
    <col min="10754" max="10754" width="7.69921875" customWidth="1"/>
    <col min="10755" max="10755" width="32.5" customWidth="1"/>
    <col min="10756" max="10756" width="15.5" customWidth="1"/>
    <col min="10757" max="10757" width="13.5" customWidth="1"/>
    <col min="10758" max="10758" width="14.796875" customWidth="1"/>
    <col min="10759" max="10760" width="14" customWidth="1"/>
    <col min="10761" max="10761" width="12" customWidth="1"/>
    <col min="10762" max="10762" width="5.796875" customWidth="1"/>
    <col min="10763" max="10764" width="7.69921875" customWidth="1"/>
    <col min="10765" max="10765" width="13.5" customWidth="1"/>
    <col min="10766" max="10766" width="7.69921875" customWidth="1"/>
    <col min="10767" max="10767" width="10.19921875" customWidth="1"/>
    <col min="10768" max="10768" width="18.796875" customWidth="1"/>
    <col min="11010" max="11010" width="7.69921875" customWidth="1"/>
    <col min="11011" max="11011" width="32.5" customWidth="1"/>
    <col min="11012" max="11012" width="15.5" customWidth="1"/>
    <col min="11013" max="11013" width="13.5" customWidth="1"/>
    <col min="11014" max="11014" width="14.796875" customWidth="1"/>
    <col min="11015" max="11016" width="14" customWidth="1"/>
    <col min="11017" max="11017" width="12" customWidth="1"/>
    <col min="11018" max="11018" width="5.796875" customWidth="1"/>
    <col min="11019" max="11020" width="7.69921875" customWidth="1"/>
    <col min="11021" max="11021" width="13.5" customWidth="1"/>
    <col min="11022" max="11022" width="7.69921875" customWidth="1"/>
    <col min="11023" max="11023" width="10.19921875" customWidth="1"/>
    <col min="11024" max="11024" width="18.796875" customWidth="1"/>
    <col min="11266" max="11266" width="7.69921875" customWidth="1"/>
    <col min="11267" max="11267" width="32.5" customWidth="1"/>
    <col min="11268" max="11268" width="15.5" customWidth="1"/>
    <col min="11269" max="11269" width="13.5" customWidth="1"/>
    <col min="11270" max="11270" width="14.796875" customWidth="1"/>
    <col min="11271" max="11272" width="14" customWidth="1"/>
    <col min="11273" max="11273" width="12" customWidth="1"/>
    <col min="11274" max="11274" width="5.796875" customWidth="1"/>
    <col min="11275" max="11276" width="7.69921875" customWidth="1"/>
    <col min="11277" max="11277" width="13.5" customWidth="1"/>
    <col min="11278" max="11278" width="7.69921875" customWidth="1"/>
    <col min="11279" max="11279" width="10.19921875" customWidth="1"/>
    <col min="11280" max="11280" width="18.796875" customWidth="1"/>
    <col min="11522" max="11522" width="7.69921875" customWidth="1"/>
    <col min="11523" max="11523" width="32.5" customWidth="1"/>
    <col min="11524" max="11524" width="15.5" customWidth="1"/>
    <col min="11525" max="11525" width="13.5" customWidth="1"/>
    <col min="11526" max="11526" width="14.796875" customWidth="1"/>
    <col min="11527" max="11528" width="14" customWidth="1"/>
    <col min="11529" max="11529" width="12" customWidth="1"/>
    <col min="11530" max="11530" width="5.796875" customWidth="1"/>
    <col min="11531" max="11532" width="7.69921875" customWidth="1"/>
    <col min="11533" max="11533" width="13.5" customWidth="1"/>
    <col min="11534" max="11534" width="7.69921875" customWidth="1"/>
    <col min="11535" max="11535" width="10.19921875" customWidth="1"/>
    <col min="11536" max="11536" width="18.796875" customWidth="1"/>
    <col min="11778" max="11778" width="7.69921875" customWidth="1"/>
    <col min="11779" max="11779" width="32.5" customWidth="1"/>
    <col min="11780" max="11780" width="15.5" customWidth="1"/>
    <col min="11781" max="11781" width="13.5" customWidth="1"/>
    <col min="11782" max="11782" width="14.796875" customWidth="1"/>
    <col min="11783" max="11784" width="14" customWidth="1"/>
    <col min="11785" max="11785" width="12" customWidth="1"/>
    <col min="11786" max="11786" width="5.796875" customWidth="1"/>
    <col min="11787" max="11788" width="7.69921875" customWidth="1"/>
    <col min="11789" max="11789" width="13.5" customWidth="1"/>
    <col min="11790" max="11790" width="7.69921875" customWidth="1"/>
    <col min="11791" max="11791" width="10.19921875" customWidth="1"/>
    <col min="11792" max="11792" width="18.796875" customWidth="1"/>
    <col min="12034" max="12034" width="7.69921875" customWidth="1"/>
    <col min="12035" max="12035" width="32.5" customWidth="1"/>
    <col min="12036" max="12036" width="15.5" customWidth="1"/>
    <col min="12037" max="12037" width="13.5" customWidth="1"/>
    <col min="12038" max="12038" width="14.796875" customWidth="1"/>
    <col min="12039" max="12040" width="14" customWidth="1"/>
    <col min="12041" max="12041" width="12" customWidth="1"/>
    <col min="12042" max="12042" width="5.796875" customWidth="1"/>
    <col min="12043" max="12044" width="7.69921875" customWidth="1"/>
    <col min="12045" max="12045" width="13.5" customWidth="1"/>
    <col min="12046" max="12046" width="7.69921875" customWidth="1"/>
    <col min="12047" max="12047" width="10.19921875" customWidth="1"/>
    <col min="12048" max="12048" width="18.796875" customWidth="1"/>
    <col min="12290" max="12290" width="7.69921875" customWidth="1"/>
    <col min="12291" max="12291" width="32.5" customWidth="1"/>
    <col min="12292" max="12292" width="15.5" customWidth="1"/>
    <col min="12293" max="12293" width="13.5" customWidth="1"/>
    <col min="12294" max="12294" width="14.796875" customWidth="1"/>
    <col min="12295" max="12296" width="14" customWidth="1"/>
    <col min="12297" max="12297" width="12" customWidth="1"/>
    <col min="12298" max="12298" width="5.796875" customWidth="1"/>
    <col min="12299" max="12300" width="7.69921875" customWidth="1"/>
    <col min="12301" max="12301" width="13.5" customWidth="1"/>
    <col min="12302" max="12302" width="7.69921875" customWidth="1"/>
    <col min="12303" max="12303" width="10.19921875" customWidth="1"/>
    <col min="12304" max="12304" width="18.796875" customWidth="1"/>
    <col min="12546" max="12546" width="7.69921875" customWidth="1"/>
    <col min="12547" max="12547" width="32.5" customWidth="1"/>
    <col min="12548" max="12548" width="15.5" customWidth="1"/>
    <col min="12549" max="12549" width="13.5" customWidth="1"/>
    <col min="12550" max="12550" width="14.796875" customWidth="1"/>
    <col min="12551" max="12552" width="14" customWidth="1"/>
    <col min="12553" max="12553" width="12" customWidth="1"/>
    <col min="12554" max="12554" width="5.796875" customWidth="1"/>
    <col min="12555" max="12556" width="7.69921875" customWidth="1"/>
    <col min="12557" max="12557" width="13.5" customWidth="1"/>
    <col min="12558" max="12558" width="7.69921875" customWidth="1"/>
    <col min="12559" max="12559" width="10.19921875" customWidth="1"/>
    <col min="12560" max="12560" width="18.796875" customWidth="1"/>
    <col min="12802" max="12802" width="7.69921875" customWidth="1"/>
    <col min="12803" max="12803" width="32.5" customWidth="1"/>
    <col min="12804" max="12804" width="15.5" customWidth="1"/>
    <col min="12805" max="12805" width="13.5" customWidth="1"/>
    <col min="12806" max="12806" width="14.796875" customWidth="1"/>
    <col min="12807" max="12808" width="14" customWidth="1"/>
    <col min="12809" max="12809" width="12" customWidth="1"/>
    <col min="12810" max="12810" width="5.796875" customWidth="1"/>
    <col min="12811" max="12812" width="7.69921875" customWidth="1"/>
    <col min="12813" max="12813" width="13.5" customWidth="1"/>
    <col min="12814" max="12814" width="7.69921875" customWidth="1"/>
    <col min="12815" max="12815" width="10.19921875" customWidth="1"/>
    <col min="12816" max="12816" width="18.796875" customWidth="1"/>
    <col min="13058" max="13058" width="7.69921875" customWidth="1"/>
    <col min="13059" max="13059" width="32.5" customWidth="1"/>
    <col min="13060" max="13060" width="15.5" customWidth="1"/>
    <col min="13061" max="13061" width="13.5" customWidth="1"/>
    <col min="13062" max="13062" width="14.796875" customWidth="1"/>
    <col min="13063" max="13064" width="14" customWidth="1"/>
    <col min="13065" max="13065" width="12" customWidth="1"/>
    <col min="13066" max="13066" width="5.796875" customWidth="1"/>
    <col min="13067" max="13068" width="7.69921875" customWidth="1"/>
    <col min="13069" max="13069" width="13.5" customWidth="1"/>
    <col min="13070" max="13070" width="7.69921875" customWidth="1"/>
    <col min="13071" max="13071" width="10.19921875" customWidth="1"/>
    <col min="13072" max="13072" width="18.796875" customWidth="1"/>
    <col min="13314" max="13314" width="7.69921875" customWidth="1"/>
    <col min="13315" max="13315" width="32.5" customWidth="1"/>
    <col min="13316" max="13316" width="15.5" customWidth="1"/>
    <col min="13317" max="13317" width="13.5" customWidth="1"/>
    <col min="13318" max="13318" width="14.796875" customWidth="1"/>
    <col min="13319" max="13320" width="14" customWidth="1"/>
    <col min="13321" max="13321" width="12" customWidth="1"/>
    <col min="13322" max="13322" width="5.796875" customWidth="1"/>
    <col min="13323" max="13324" width="7.69921875" customWidth="1"/>
    <col min="13325" max="13325" width="13.5" customWidth="1"/>
    <col min="13326" max="13326" width="7.69921875" customWidth="1"/>
    <col min="13327" max="13327" width="10.19921875" customWidth="1"/>
    <col min="13328" max="13328" width="18.796875" customWidth="1"/>
    <col min="13570" max="13570" width="7.69921875" customWidth="1"/>
    <col min="13571" max="13571" width="32.5" customWidth="1"/>
    <col min="13572" max="13572" width="15.5" customWidth="1"/>
    <col min="13573" max="13573" width="13.5" customWidth="1"/>
    <col min="13574" max="13574" width="14.796875" customWidth="1"/>
    <col min="13575" max="13576" width="14" customWidth="1"/>
    <col min="13577" max="13577" width="12" customWidth="1"/>
    <col min="13578" max="13578" width="5.796875" customWidth="1"/>
    <col min="13579" max="13580" width="7.69921875" customWidth="1"/>
    <col min="13581" max="13581" width="13.5" customWidth="1"/>
    <col min="13582" max="13582" width="7.69921875" customWidth="1"/>
    <col min="13583" max="13583" width="10.19921875" customWidth="1"/>
    <col min="13584" max="13584" width="18.796875" customWidth="1"/>
    <col min="13826" max="13826" width="7.69921875" customWidth="1"/>
    <col min="13827" max="13827" width="32.5" customWidth="1"/>
    <col min="13828" max="13828" width="15.5" customWidth="1"/>
    <col min="13829" max="13829" width="13.5" customWidth="1"/>
    <col min="13830" max="13830" width="14.796875" customWidth="1"/>
    <col min="13831" max="13832" width="14" customWidth="1"/>
    <col min="13833" max="13833" width="12" customWidth="1"/>
    <col min="13834" max="13834" width="5.796875" customWidth="1"/>
    <col min="13835" max="13836" width="7.69921875" customWidth="1"/>
    <col min="13837" max="13837" width="13.5" customWidth="1"/>
    <col min="13838" max="13838" width="7.69921875" customWidth="1"/>
    <col min="13839" max="13839" width="10.19921875" customWidth="1"/>
    <col min="13840" max="13840" width="18.796875" customWidth="1"/>
    <col min="14082" max="14082" width="7.69921875" customWidth="1"/>
    <col min="14083" max="14083" width="32.5" customWidth="1"/>
    <col min="14084" max="14084" width="15.5" customWidth="1"/>
    <col min="14085" max="14085" width="13.5" customWidth="1"/>
    <col min="14086" max="14086" width="14.796875" customWidth="1"/>
    <col min="14087" max="14088" width="14" customWidth="1"/>
    <col min="14089" max="14089" width="12" customWidth="1"/>
    <col min="14090" max="14090" width="5.796875" customWidth="1"/>
    <col min="14091" max="14092" width="7.69921875" customWidth="1"/>
    <col min="14093" max="14093" width="13.5" customWidth="1"/>
    <col min="14094" max="14094" width="7.69921875" customWidth="1"/>
    <col min="14095" max="14095" width="10.19921875" customWidth="1"/>
    <col min="14096" max="14096" width="18.796875" customWidth="1"/>
    <col min="14338" max="14338" width="7.69921875" customWidth="1"/>
    <col min="14339" max="14339" width="32.5" customWidth="1"/>
    <col min="14340" max="14340" width="15.5" customWidth="1"/>
    <col min="14341" max="14341" width="13.5" customWidth="1"/>
    <col min="14342" max="14342" width="14.796875" customWidth="1"/>
    <col min="14343" max="14344" width="14" customWidth="1"/>
    <col min="14345" max="14345" width="12" customWidth="1"/>
    <col min="14346" max="14346" width="5.796875" customWidth="1"/>
    <col min="14347" max="14348" width="7.69921875" customWidth="1"/>
    <col min="14349" max="14349" width="13.5" customWidth="1"/>
    <col min="14350" max="14350" width="7.69921875" customWidth="1"/>
    <col min="14351" max="14351" width="10.19921875" customWidth="1"/>
    <col min="14352" max="14352" width="18.796875" customWidth="1"/>
    <col min="14594" max="14594" width="7.69921875" customWidth="1"/>
    <col min="14595" max="14595" width="32.5" customWidth="1"/>
    <col min="14596" max="14596" width="15.5" customWidth="1"/>
    <col min="14597" max="14597" width="13.5" customWidth="1"/>
    <col min="14598" max="14598" width="14.796875" customWidth="1"/>
    <col min="14599" max="14600" width="14" customWidth="1"/>
    <col min="14601" max="14601" width="12" customWidth="1"/>
    <col min="14602" max="14602" width="5.796875" customWidth="1"/>
    <col min="14603" max="14604" width="7.69921875" customWidth="1"/>
    <col min="14605" max="14605" width="13.5" customWidth="1"/>
    <col min="14606" max="14606" width="7.69921875" customWidth="1"/>
    <col min="14607" max="14607" width="10.19921875" customWidth="1"/>
    <col min="14608" max="14608" width="18.796875" customWidth="1"/>
    <col min="14850" max="14850" width="7.69921875" customWidth="1"/>
    <col min="14851" max="14851" width="32.5" customWidth="1"/>
    <col min="14852" max="14852" width="15.5" customWidth="1"/>
    <col min="14853" max="14853" width="13.5" customWidth="1"/>
    <col min="14854" max="14854" width="14.796875" customWidth="1"/>
    <col min="14855" max="14856" width="14" customWidth="1"/>
    <col min="14857" max="14857" width="12" customWidth="1"/>
    <col min="14858" max="14858" width="5.796875" customWidth="1"/>
    <col min="14859" max="14860" width="7.69921875" customWidth="1"/>
    <col min="14861" max="14861" width="13.5" customWidth="1"/>
    <col min="14862" max="14862" width="7.69921875" customWidth="1"/>
    <col min="14863" max="14863" width="10.19921875" customWidth="1"/>
    <col min="14864" max="14864" width="18.796875" customWidth="1"/>
    <col min="15106" max="15106" width="7.69921875" customWidth="1"/>
    <col min="15107" max="15107" width="32.5" customWidth="1"/>
    <col min="15108" max="15108" width="15.5" customWidth="1"/>
    <col min="15109" max="15109" width="13.5" customWidth="1"/>
    <col min="15110" max="15110" width="14.796875" customWidth="1"/>
    <col min="15111" max="15112" width="14" customWidth="1"/>
    <col min="15113" max="15113" width="12" customWidth="1"/>
    <col min="15114" max="15114" width="5.796875" customWidth="1"/>
    <col min="15115" max="15116" width="7.69921875" customWidth="1"/>
    <col min="15117" max="15117" width="13.5" customWidth="1"/>
    <col min="15118" max="15118" width="7.69921875" customWidth="1"/>
    <col min="15119" max="15119" width="10.19921875" customWidth="1"/>
    <col min="15120" max="15120" width="18.796875" customWidth="1"/>
    <col min="15362" max="15362" width="7.69921875" customWidth="1"/>
    <col min="15363" max="15363" width="32.5" customWidth="1"/>
    <col min="15364" max="15364" width="15.5" customWidth="1"/>
    <col min="15365" max="15365" width="13.5" customWidth="1"/>
    <col min="15366" max="15366" width="14.796875" customWidth="1"/>
    <col min="15367" max="15368" width="14" customWidth="1"/>
    <col min="15369" max="15369" width="12" customWidth="1"/>
    <col min="15370" max="15370" width="5.796875" customWidth="1"/>
    <col min="15371" max="15372" width="7.69921875" customWidth="1"/>
    <col min="15373" max="15373" width="13.5" customWidth="1"/>
    <col min="15374" max="15374" width="7.69921875" customWidth="1"/>
    <col min="15375" max="15375" width="10.19921875" customWidth="1"/>
    <col min="15376" max="15376" width="18.796875" customWidth="1"/>
    <col min="15618" max="15618" width="7.69921875" customWidth="1"/>
    <col min="15619" max="15619" width="32.5" customWidth="1"/>
    <col min="15620" max="15620" width="15.5" customWidth="1"/>
    <col min="15621" max="15621" width="13.5" customWidth="1"/>
    <col min="15622" max="15622" width="14.796875" customWidth="1"/>
    <col min="15623" max="15624" width="14" customWidth="1"/>
    <col min="15625" max="15625" width="12" customWidth="1"/>
    <col min="15626" max="15626" width="5.796875" customWidth="1"/>
    <col min="15627" max="15628" width="7.69921875" customWidth="1"/>
    <col min="15629" max="15629" width="13.5" customWidth="1"/>
    <col min="15630" max="15630" width="7.69921875" customWidth="1"/>
    <col min="15631" max="15631" width="10.19921875" customWidth="1"/>
    <col min="15632" max="15632" width="18.796875" customWidth="1"/>
    <col min="15874" max="15874" width="7.69921875" customWidth="1"/>
    <col min="15875" max="15875" width="32.5" customWidth="1"/>
    <col min="15876" max="15876" width="15.5" customWidth="1"/>
    <col min="15877" max="15877" width="13.5" customWidth="1"/>
    <col min="15878" max="15878" width="14.796875" customWidth="1"/>
    <col min="15879" max="15880" width="14" customWidth="1"/>
    <col min="15881" max="15881" width="12" customWidth="1"/>
    <col min="15882" max="15882" width="5.796875" customWidth="1"/>
    <col min="15883" max="15884" width="7.69921875" customWidth="1"/>
    <col min="15885" max="15885" width="13.5" customWidth="1"/>
    <col min="15886" max="15886" width="7.69921875" customWidth="1"/>
    <col min="15887" max="15887" width="10.19921875" customWidth="1"/>
    <col min="15888" max="15888" width="18.796875" customWidth="1"/>
    <col min="16130" max="16130" width="7.69921875" customWidth="1"/>
    <col min="16131" max="16131" width="32.5" customWidth="1"/>
    <col min="16132" max="16132" width="15.5" customWidth="1"/>
    <col min="16133" max="16133" width="13.5" customWidth="1"/>
    <col min="16134" max="16134" width="14.796875" customWidth="1"/>
    <col min="16135" max="16136" width="14" customWidth="1"/>
    <col min="16137" max="16137" width="12" customWidth="1"/>
    <col min="16138" max="16138" width="5.796875" customWidth="1"/>
    <col min="16139" max="16140" width="7.69921875" customWidth="1"/>
    <col min="16141" max="16141" width="13.5" customWidth="1"/>
    <col min="16142" max="16142" width="7.69921875" customWidth="1"/>
    <col min="16143" max="16143" width="10.19921875" customWidth="1"/>
    <col min="16144" max="16144" width="18.796875" customWidth="1"/>
  </cols>
  <sheetData>
    <row r="1" spans="1:60">
      <c r="A1" s="318" t="s">
        <v>1673</v>
      </c>
    </row>
    <row r="2" spans="1:60">
      <c r="A2" s="222" t="s">
        <v>1672</v>
      </c>
      <c r="B2" s="222"/>
      <c r="C2" s="221"/>
      <c r="D2" s="221"/>
      <c r="E2" s="221"/>
      <c r="F2" s="221"/>
      <c r="G2" s="221"/>
      <c r="H2" s="387" t="s">
        <v>1608</v>
      </c>
      <c r="I2" s="388"/>
      <c r="J2" s="388"/>
      <c r="K2" s="389"/>
      <c r="L2" s="387" t="s">
        <v>1609</v>
      </c>
      <c r="M2" s="388"/>
      <c r="N2" s="388"/>
      <c r="O2" s="389"/>
      <c r="P2" s="387" t="s">
        <v>1610</v>
      </c>
      <c r="Q2" s="388"/>
      <c r="R2" s="388"/>
      <c r="S2" s="389"/>
      <c r="T2" s="387" t="s">
        <v>1611</v>
      </c>
      <c r="U2" s="388"/>
      <c r="V2" s="388"/>
      <c r="W2" s="389"/>
      <c r="X2" s="387" t="s">
        <v>1612</v>
      </c>
      <c r="Y2" s="388"/>
      <c r="Z2" s="388"/>
      <c r="AA2" s="389"/>
      <c r="AB2" s="387" t="s">
        <v>1613</v>
      </c>
      <c r="AC2" s="388"/>
      <c r="AD2" s="388"/>
      <c r="AE2" s="389"/>
      <c r="AF2" s="387" t="s">
        <v>1614</v>
      </c>
      <c r="AG2" s="388"/>
      <c r="AH2" s="388"/>
      <c r="AI2" s="389"/>
      <c r="AJ2" s="387" t="s">
        <v>1615</v>
      </c>
      <c r="AK2" s="388"/>
      <c r="AL2" s="388"/>
      <c r="AM2" s="389"/>
      <c r="AN2" s="387" t="s">
        <v>1616</v>
      </c>
      <c r="AO2" s="388"/>
      <c r="AP2" s="388"/>
      <c r="AQ2" s="389"/>
      <c r="AR2" s="387" t="s">
        <v>1617</v>
      </c>
      <c r="AS2" s="388"/>
      <c r="AT2" s="388"/>
      <c r="AU2" s="389"/>
      <c r="AV2" s="387" t="s">
        <v>1618</v>
      </c>
      <c r="AW2" s="388"/>
      <c r="AX2" s="388"/>
      <c r="AY2" s="389"/>
      <c r="AZ2" s="387" t="s">
        <v>1619</v>
      </c>
      <c r="BA2" s="388"/>
      <c r="BB2" s="388"/>
      <c r="BC2" s="389"/>
      <c r="BD2" s="286" t="s">
        <v>1657</v>
      </c>
      <c r="BE2" s="390" t="s">
        <v>1669</v>
      </c>
      <c r="BF2" s="391"/>
      <c r="BG2" s="391"/>
      <c r="BH2" s="392"/>
    </row>
    <row r="3" spans="1:60" ht="18" customHeight="1">
      <c r="A3" s="221"/>
      <c r="B3" s="222" t="s">
        <v>1620</v>
      </c>
      <c r="C3" s="221"/>
      <c r="D3" s="221"/>
      <c r="E3" s="221"/>
      <c r="F3" s="221"/>
      <c r="G3" s="221"/>
      <c r="H3" s="223">
        <f>H23</f>
        <v>501.4</v>
      </c>
      <c r="I3" s="273"/>
      <c r="J3" s="273"/>
      <c r="K3" s="274"/>
      <c r="L3" s="223">
        <f>I23</f>
        <v>503.45</v>
      </c>
      <c r="M3" s="273"/>
      <c r="N3" s="273"/>
      <c r="O3" s="274"/>
      <c r="P3" s="223">
        <f>J23</f>
        <v>506.65</v>
      </c>
      <c r="Q3" s="273"/>
      <c r="R3" s="273"/>
      <c r="S3" s="274"/>
      <c r="T3" s="223">
        <f>K23</f>
        <v>510.09999999999997</v>
      </c>
      <c r="U3" s="273"/>
      <c r="V3" s="273"/>
      <c r="W3" s="274"/>
      <c r="X3" s="223">
        <f>L23</f>
        <v>516.29999999999995</v>
      </c>
      <c r="Y3" s="273"/>
      <c r="Z3" s="273"/>
      <c r="AA3" s="274"/>
      <c r="AB3" s="223">
        <f>M23</f>
        <v>521.15</v>
      </c>
      <c r="AC3" s="273"/>
      <c r="AD3" s="273"/>
      <c r="AE3" s="274"/>
      <c r="AF3" s="223">
        <f>N23</f>
        <v>528.04999999999995</v>
      </c>
      <c r="AG3" s="273"/>
      <c r="AH3" s="273"/>
      <c r="AI3" s="274"/>
      <c r="AJ3" s="223">
        <f>O23</f>
        <v>527.5</v>
      </c>
      <c r="AK3" s="273"/>
      <c r="AL3" s="273"/>
      <c r="AM3" s="274"/>
      <c r="AN3" s="223">
        <f>P23</f>
        <v>522.95000000000005</v>
      </c>
      <c r="AO3" s="273"/>
      <c r="AP3" s="273"/>
      <c r="AQ3" s="274"/>
      <c r="AR3" s="275">
        <f>Q23</f>
        <v>513.25</v>
      </c>
      <c r="AS3" s="273"/>
      <c r="AT3" s="273"/>
      <c r="AU3" s="274"/>
      <c r="AV3" s="275">
        <f>R23</f>
        <v>505.5</v>
      </c>
      <c r="AW3" s="273"/>
      <c r="AX3" s="273"/>
      <c r="AY3" s="274"/>
      <c r="AZ3" s="275">
        <f>S23</f>
        <v>500.85</v>
      </c>
      <c r="BA3" s="273"/>
      <c r="BB3" s="273"/>
      <c r="BC3" s="274"/>
      <c r="BD3" s="287"/>
      <c r="BE3" s="275">
        <f>T23</f>
        <v>554.67000000000007</v>
      </c>
      <c r="BF3" s="273"/>
      <c r="BG3" s="273"/>
      <c r="BH3" s="274"/>
    </row>
    <row r="4" spans="1:60" ht="59.4">
      <c r="A4" s="221"/>
      <c r="B4" s="224" t="s">
        <v>1621</v>
      </c>
      <c r="C4" s="225" t="s">
        <v>1622</v>
      </c>
      <c r="D4" s="225" t="s">
        <v>1623</v>
      </c>
      <c r="E4" s="224" t="s">
        <v>1624</v>
      </c>
      <c r="F4" s="225" t="s">
        <v>1625</v>
      </c>
      <c r="G4" s="225" t="s">
        <v>1626</v>
      </c>
      <c r="H4" s="225" t="s">
        <v>1627</v>
      </c>
      <c r="I4" s="225" t="s">
        <v>1628</v>
      </c>
      <c r="J4" s="225" t="s">
        <v>1629</v>
      </c>
      <c r="K4" s="225" t="s">
        <v>1630</v>
      </c>
      <c r="L4" s="225" t="s">
        <v>1627</v>
      </c>
      <c r="M4" s="225" t="s">
        <v>1628</v>
      </c>
      <c r="N4" s="225" t="s">
        <v>1629</v>
      </c>
      <c r="O4" s="225" t="s">
        <v>1630</v>
      </c>
      <c r="P4" s="225" t="s">
        <v>1627</v>
      </c>
      <c r="Q4" s="225" t="s">
        <v>1628</v>
      </c>
      <c r="R4" s="225" t="s">
        <v>1629</v>
      </c>
      <c r="S4" s="225" t="s">
        <v>1630</v>
      </c>
      <c r="T4" s="225" t="s">
        <v>1627</v>
      </c>
      <c r="U4" s="225" t="s">
        <v>1628</v>
      </c>
      <c r="V4" s="225" t="s">
        <v>1629</v>
      </c>
      <c r="W4" s="225" t="s">
        <v>1630</v>
      </c>
      <c r="X4" s="225" t="s">
        <v>1627</v>
      </c>
      <c r="Y4" s="225" t="s">
        <v>1628</v>
      </c>
      <c r="Z4" s="225" t="s">
        <v>1629</v>
      </c>
      <c r="AA4" s="225" t="s">
        <v>1630</v>
      </c>
      <c r="AB4" s="225" t="s">
        <v>1627</v>
      </c>
      <c r="AC4" s="225" t="s">
        <v>1628</v>
      </c>
      <c r="AD4" s="225" t="s">
        <v>1629</v>
      </c>
      <c r="AE4" s="225" t="s">
        <v>1630</v>
      </c>
      <c r="AF4" s="225" t="s">
        <v>1627</v>
      </c>
      <c r="AG4" s="225" t="s">
        <v>1628</v>
      </c>
      <c r="AH4" s="225" t="s">
        <v>1629</v>
      </c>
      <c r="AI4" s="225" t="s">
        <v>1630</v>
      </c>
      <c r="AJ4" s="225" t="s">
        <v>1627</v>
      </c>
      <c r="AK4" s="225" t="s">
        <v>1628</v>
      </c>
      <c r="AL4" s="225" t="s">
        <v>1629</v>
      </c>
      <c r="AM4" s="225" t="s">
        <v>1630</v>
      </c>
      <c r="AN4" s="225" t="s">
        <v>1627</v>
      </c>
      <c r="AO4" s="225" t="s">
        <v>1628</v>
      </c>
      <c r="AP4" s="225" t="s">
        <v>1629</v>
      </c>
      <c r="AQ4" s="225" t="s">
        <v>1630</v>
      </c>
      <c r="AR4" s="225" t="s">
        <v>1627</v>
      </c>
      <c r="AS4" s="225" t="s">
        <v>1628</v>
      </c>
      <c r="AT4" s="225" t="s">
        <v>1629</v>
      </c>
      <c r="AU4" s="225" t="s">
        <v>1630</v>
      </c>
      <c r="AV4" s="225" t="s">
        <v>1627</v>
      </c>
      <c r="AW4" s="225" t="s">
        <v>1628</v>
      </c>
      <c r="AX4" s="225" t="s">
        <v>1629</v>
      </c>
      <c r="AY4" s="225" t="s">
        <v>1630</v>
      </c>
      <c r="AZ4" s="225" t="s">
        <v>1627</v>
      </c>
      <c r="BA4" s="225" t="s">
        <v>1628</v>
      </c>
      <c r="BB4" s="225" t="s">
        <v>1629</v>
      </c>
      <c r="BC4" s="225" t="s">
        <v>1630</v>
      </c>
      <c r="BD4" s="283" t="s">
        <v>1658</v>
      </c>
      <c r="BE4" s="225" t="s">
        <v>1627</v>
      </c>
      <c r="BF4" s="225" t="s">
        <v>1628</v>
      </c>
      <c r="BG4" s="225" t="s">
        <v>1629</v>
      </c>
      <c r="BH4" s="225" t="s">
        <v>1630</v>
      </c>
    </row>
    <row r="5" spans="1:60">
      <c r="A5" s="221" t="s">
        <v>1595</v>
      </c>
      <c r="B5" s="226" t="s">
        <v>88</v>
      </c>
      <c r="C5" s="227">
        <v>2.8600000000000001E-3</v>
      </c>
      <c r="D5" s="228">
        <v>142.19710000000001</v>
      </c>
      <c r="E5" s="229">
        <f t="shared" ref="E5:E14" si="0">C5/D5</f>
        <v>2.0112927760130131E-5</v>
      </c>
      <c r="F5" s="230">
        <f t="shared" ref="F5:F17" si="1">E5/$E$18</f>
        <v>2.934282981924807E-3</v>
      </c>
      <c r="G5" s="228">
        <f t="shared" ref="G5:G18" si="2">F5</f>
        <v>2.934282981924807E-3</v>
      </c>
      <c r="H5" s="231">
        <f t="shared" ref="H5:H17" si="3">$G5*$H30</f>
        <v>4.2771287273622123E-6</v>
      </c>
      <c r="I5" s="228">
        <f t="shared" ref="I5:I17" si="4">H5/($H$18)</f>
        <v>9.721309641803139E-7</v>
      </c>
      <c r="J5" s="232">
        <f>I5*$D5</f>
        <v>1.3823420392664452E-4</v>
      </c>
      <c r="K5" s="233">
        <f t="shared" ref="K5:K17" si="5">J5/$J$18</f>
        <v>1.3429511293042186E-6</v>
      </c>
      <c r="L5" s="231">
        <f t="shared" ref="L5:L17" si="6">$G5*I30</f>
        <v>4.8010078943634935E-6</v>
      </c>
      <c r="M5" s="228">
        <f t="shared" ref="M5:M17" si="7">L5/($L$18)</f>
        <v>1.0440281345498939E-6</v>
      </c>
      <c r="N5" s="232">
        <f>M5*$D5</f>
        <v>1.4845777305140471E-4</v>
      </c>
      <c r="O5" s="233">
        <f t="shared" ref="O5:O17" si="8">N5/$N$18</f>
        <v>1.4394315865384622E-6</v>
      </c>
      <c r="P5" s="231">
        <f t="shared" ref="P5:P17" si="9">G5*J30</f>
        <v>5.73531318738671E-6</v>
      </c>
      <c r="Q5" s="228">
        <f>P5/($P$18)</f>
        <v>1.1648153963796004E-6</v>
      </c>
      <c r="R5" s="232">
        <f t="shared" ref="R5:R15" si="10">Q5*$D5</f>
        <v>1.6563337140052968E-4</v>
      </c>
      <c r="S5" s="233">
        <f t="shared" ref="S5:S17" si="11">R5/$R$18</f>
        <v>1.6011410624808181E-6</v>
      </c>
      <c r="T5" s="231">
        <f>$G5*K30</f>
        <v>6.9237395801301672E-6</v>
      </c>
      <c r="U5" s="228">
        <f>T5/($T$18)</f>
        <v>1.3074298137838221E-6</v>
      </c>
      <c r="V5" s="232">
        <f t="shared" ref="V5:V17" si="12">U5*$D5</f>
        <v>1.8591272797359952E-4</v>
      </c>
      <c r="W5" s="233">
        <f t="shared" ref="W5:W17" si="13">V5/$V$18</f>
        <v>1.7915263583354545E-6</v>
      </c>
      <c r="X5" s="231">
        <f t="shared" ref="X5:X17" si="14">G5*L30</f>
        <v>9.6293904588497693E-6</v>
      </c>
      <c r="Y5" s="228">
        <f t="shared" ref="Y5:Y17" si="15">X5/($X$18)</f>
        <v>1.5988537581362521E-6</v>
      </c>
      <c r="Z5" s="232">
        <f t="shared" ref="Z5:Z17" si="16">Y5*$D5</f>
        <v>2.2735236773107647E-4</v>
      </c>
      <c r="AA5" s="233">
        <f t="shared" ref="AA5:AA17" si="17">Z5/$Z$18</f>
        <v>2.1789983025101775E-6</v>
      </c>
      <c r="AB5" s="231">
        <f t="shared" ref="AB5:AB17" si="18">G5*M30</f>
        <v>1.2372584024685681E-5</v>
      </c>
      <c r="AC5" s="228">
        <f t="shared" ref="AC5:AC17" si="19">AB5/($AB$18)</f>
        <v>1.861263496031761E-6</v>
      </c>
      <c r="AD5" s="232">
        <f t="shared" ref="AD5:AD17" si="20">AC5*$D5</f>
        <v>2.6466627147157795E-4</v>
      </c>
      <c r="AE5" s="233">
        <f t="shared" ref="AE5:AE17" si="21">AD5/$AD$18</f>
        <v>2.5263779995290703E-6</v>
      </c>
      <c r="AF5" s="231">
        <f t="shared" ref="AF5:AF17" si="22">G5*N30</f>
        <v>1.748682571394946E-5</v>
      </c>
      <c r="AG5" s="234">
        <f t="shared" ref="AG5:AG17" si="23">AF5/($AF$18)</f>
        <v>2.292522774555255E-6</v>
      </c>
      <c r="AH5" s="231">
        <f t="shared" ref="AH5:AH17" si="24">AG5*$D5</f>
        <v>3.2599009022571109E-4</v>
      </c>
      <c r="AI5" s="233">
        <f t="shared" ref="AI5:AI17" si="25">AH5/$AH$18</f>
        <v>3.0947456878669421E-6</v>
      </c>
      <c r="AJ5" s="231">
        <f t="shared" ref="AJ5:AJ17" si="26">G5*O30</f>
        <v>1.7018764522650315E-5</v>
      </c>
      <c r="AK5" s="234">
        <f t="shared" ref="AK5:AK17" si="27">AJ5/($AJ$18)</f>
        <v>2.2554891196256184E-6</v>
      </c>
      <c r="AL5" s="231">
        <f t="shared" ref="AL5:AL17" si="28">AK5*$D5</f>
        <v>3.2072401189231606E-4</v>
      </c>
      <c r="AM5" s="233">
        <f t="shared" ref="AM5:AM17" si="29">AL5/$AL$18</f>
        <v>3.0460474917152026E-6</v>
      </c>
      <c r="AN5" s="231">
        <f t="shared" ref="AN5:AN17" si="30">G5*P30</f>
        <v>1.3557227894993793E-5</v>
      </c>
      <c r="AO5" s="234">
        <f t="shared" ref="AO5:AO17" si="31">AN5/($AN$18)</f>
        <v>1.9669550651180344E-6</v>
      </c>
      <c r="AP5" s="231">
        <f t="shared" ref="AP5:AP17" si="32">AO5*$D5</f>
        <v>2.7969530609009565E-4</v>
      </c>
      <c r="AQ5" s="233">
        <f t="shared" ref="AQ5:AQ17" si="33">AP5/$AP$18</f>
        <v>2.6659429149639491E-6</v>
      </c>
      <c r="AR5" s="231">
        <f t="shared" ref="AR5:AR17" si="34">G5*Q30</f>
        <v>8.1980634890261195E-6</v>
      </c>
      <c r="AS5" s="234">
        <f t="shared" ref="AS5:AS17" si="35">AR5/($AR$18)</f>
        <v>1.4496124607180179E-6</v>
      </c>
      <c r="AT5" s="231">
        <f t="shared" ref="AT5:AT17" si="36">AS5*$D5</f>
        <v>2.0613068803796607E-4</v>
      </c>
      <c r="AU5" s="233">
        <f t="shared" ref="AU5:AU17" si="37">AT5/$AT$18</f>
        <v>1.9808133044911048E-6</v>
      </c>
      <c r="AV5" s="231">
        <f t="shared" ref="AV5:AV17" si="38">G5*R30</f>
        <v>5.3821758068895773E-6</v>
      </c>
      <c r="AW5" s="234">
        <f t="shared" ref="AW5:AW17" si="39">AV5/($AV$18)</f>
        <v>1.1201729315586397E-6</v>
      </c>
      <c r="AX5" s="231">
        <f t="shared" ref="AX5:AX17" si="40">AW5*$D5</f>
        <v>1.5928534236613704E-4</v>
      </c>
      <c r="AY5" s="233">
        <f t="shared" ref="AY5:AY17" si="41">AX5/$AX$18</f>
        <v>1.5414263325938277E-6</v>
      </c>
      <c r="AZ5" s="231">
        <f t="shared" ref="AZ5:AZ17" si="42">G5*S30</f>
        <v>4.1456611858791161E-6</v>
      </c>
      <c r="BA5" s="234">
        <f t="shared" ref="BA5:BA17" si="43">AZ5/($AZ$18)</f>
        <v>9.5354135003544391E-7</v>
      </c>
      <c r="BB5" s="231">
        <f t="shared" ref="BB5:BB17" si="44">BA5*$D5</f>
        <v>1.3559081470512503E-4</v>
      </c>
      <c r="BC5" s="233">
        <f t="shared" ref="BC5:BC17" si="45">BB5/$BB$18</f>
        <v>1.3179758865545915E-6</v>
      </c>
      <c r="BD5" s="284">
        <f t="shared" ref="BD5:BD17" si="46">MAX(K5,O5,S5,W5,AA5,AE5,AI5,AM5,AQ5,AU5,AY5,BC5)</f>
        <v>3.0947456878669421E-6</v>
      </c>
      <c r="BE5" s="231">
        <f t="shared" ref="BE5:BE17" si="47">G5*T30</f>
        <v>5.9720436335613749E-5</v>
      </c>
      <c r="BF5" s="234">
        <f t="shared" ref="BF5:BF17" si="48">BE5/($BE$18)</f>
        <v>4.7425628163406732E-6</v>
      </c>
      <c r="BG5" s="231">
        <f>BF5*$D5</f>
        <v>6.743786790514764E-4</v>
      </c>
      <c r="BH5" s="233">
        <f t="shared" ref="BH5:BH17" si="49">BG5/$BG$18</f>
        <v>6.2850511846573002E-6</v>
      </c>
    </row>
    <row r="6" spans="1:60">
      <c r="A6" s="221" t="s">
        <v>1596</v>
      </c>
      <c r="B6" s="226" t="s">
        <v>693</v>
      </c>
      <c r="C6" s="227">
        <v>1.66E-3</v>
      </c>
      <c r="D6" s="228">
        <v>128.16999999999999</v>
      </c>
      <c r="E6" s="229">
        <f t="shared" si="0"/>
        <v>1.2951548724350473E-5</v>
      </c>
      <c r="F6" s="230">
        <f t="shared" si="1"/>
        <v>1.8895065633739269E-3</v>
      </c>
      <c r="G6" s="228">
        <f t="shared" si="2"/>
        <v>1.8895065633739269E-3</v>
      </c>
      <c r="H6" s="231">
        <f t="shared" si="3"/>
        <v>1.304555994495617E-5</v>
      </c>
      <c r="I6" s="228">
        <f t="shared" si="4"/>
        <v>2.9650715645828954E-6</v>
      </c>
      <c r="J6" s="232">
        <f>I6*$D6</f>
        <v>3.8003322243258965E-4</v>
      </c>
      <c r="K6" s="233">
        <f t="shared" si="5"/>
        <v>3.6920388061828667E-6</v>
      </c>
      <c r="L6" s="231">
        <f t="shared" si="6"/>
        <v>1.443574066893054E-5</v>
      </c>
      <c r="M6" s="228">
        <f t="shared" si="7"/>
        <v>3.1391990459177761E-6</v>
      </c>
      <c r="N6" s="232">
        <f t="shared" ref="N6:N8" si="50">M6*$D6</f>
        <v>4.0235114171528134E-4</v>
      </c>
      <c r="O6" s="233">
        <f t="shared" si="8"/>
        <v>3.9011560685626826E-6</v>
      </c>
      <c r="P6" s="231">
        <f t="shared" si="9"/>
        <v>1.687235034544492E-5</v>
      </c>
      <c r="Q6" s="228">
        <f t="shared" ref="Q6:Q17" si="51">P6/($P$18)</f>
        <v>3.426695772901612E-6</v>
      </c>
      <c r="R6" s="232">
        <f t="shared" si="10"/>
        <v>4.3919959721279959E-4</v>
      </c>
      <c r="S6" s="233">
        <f t="shared" si="11"/>
        <v>4.2456450881624716E-6</v>
      </c>
      <c r="T6" s="231">
        <f t="shared" ref="T6:T17" si="52">$G6*K31</f>
        <v>1.9906230213142073E-5</v>
      </c>
      <c r="U6" s="228">
        <f>T6/($T$18)</f>
        <v>3.7589511505308436E-6</v>
      </c>
      <c r="V6" s="232">
        <f t="shared" si="12"/>
        <v>4.8178476896353816E-4</v>
      </c>
      <c r="W6" s="233">
        <f t="shared" si="13"/>
        <v>4.642662834603257E-6</v>
      </c>
      <c r="X6" s="231">
        <f t="shared" si="14"/>
        <v>2.6605834174495667E-5</v>
      </c>
      <c r="Y6" s="228">
        <f t="shared" si="15"/>
        <v>4.4176044309375308E-6</v>
      </c>
      <c r="Z6" s="232">
        <f t="shared" si="16"/>
        <v>5.6620435991326331E-4</v>
      </c>
      <c r="AA6" s="233">
        <f t="shared" si="17"/>
        <v>5.4266351014395949E-6</v>
      </c>
      <c r="AB6" s="231">
        <f t="shared" si="18"/>
        <v>3.3180322920664889E-5</v>
      </c>
      <c r="AC6" s="228">
        <f t="shared" si="19"/>
        <v>4.9914653006649042E-6</v>
      </c>
      <c r="AD6" s="232">
        <f t="shared" si="20"/>
        <v>6.3975610758622075E-4</v>
      </c>
      <c r="AE6" s="233">
        <f t="shared" si="21"/>
        <v>6.1068066825573917E-6</v>
      </c>
      <c r="AF6" s="231">
        <f t="shared" si="22"/>
        <v>4.5027979577205105E-5</v>
      </c>
      <c r="AG6" s="234">
        <f t="shared" si="23"/>
        <v>5.9031679254746384E-6</v>
      </c>
      <c r="AH6" s="231">
        <f t="shared" si="24"/>
        <v>7.5660903300808432E-4</v>
      </c>
      <c r="AI6" s="233">
        <f t="shared" si="25"/>
        <v>7.1827721532323718E-6</v>
      </c>
      <c r="AJ6" s="231">
        <f t="shared" si="26"/>
        <v>4.3961617207489458E-5</v>
      </c>
      <c r="AK6" s="234">
        <f t="shared" si="27"/>
        <v>5.8262131284955071E-6</v>
      </c>
      <c r="AL6" s="231">
        <f t="shared" si="28"/>
        <v>7.4674573667926907E-4</v>
      </c>
      <c r="AM6" s="233">
        <f t="shared" si="29"/>
        <v>7.0921505525586257E-6</v>
      </c>
      <c r="AN6" s="231">
        <f t="shared" si="30"/>
        <v>3.5966652434443888E-5</v>
      </c>
      <c r="AO6" s="234">
        <f t="shared" si="31"/>
        <v>5.218234120516101E-6</v>
      </c>
      <c r="AP6" s="231">
        <f t="shared" si="32"/>
        <v>6.6882106722654855E-4</v>
      </c>
      <c r="AQ6" s="233">
        <f t="shared" si="33"/>
        <v>6.3749328169879633E-6</v>
      </c>
      <c r="AR6" s="231">
        <f t="shared" si="34"/>
        <v>2.3093172414418609E-5</v>
      </c>
      <c r="AS6" s="234">
        <f t="shared" si="35"/>
        <v>4.0834217171240247E-6</v>
      </c>
      <c r="AT6" s="231">
        <f t="shared" si="36"/>
        <v>5.2337216148378623E-4</v>
      </c>
      <c r="AU6" s="233">
        <f t="shared" si="37"/>
        <v>5.0293459481220292E-6</v>
      </c>
      <c r="AV6" s="231">
        <f t="shared" si="38"/>
        <v>1.5957287786023022E-5</v>
      </c>
      <c r="AW6" s="234">
        <f t="shared" si="39"/>
        <v>3.3211330287860684E-6</v>
      </c>
      <c r="AX6" s="231">
        <f t="shared" si="40"/>
        <v>4.2566962029951037E-4</v>
      </c>
      <c r="AY6" s="233">
        <f t="shared" si="41"/>
        <v>4.1192639069492425E-6</v>
      </c>
      <c r="AZ6" s="231">
        <f t="shared" si="42"/>
        <v>1.2693623935247056E-5</v>
      </c>
      <c r="BA6" s="234">
        <f t="shared" si="43"/>
        <v>2.919653768447309E-6</v>
      </c>
      <c r="BB6" s="231">
        <f t="shared" si="44"/>
        <v>3.7421202350189153E-4</v>
      </c>
      <c r="BC6" s="233">
        <f t="shared" si="45"/>
        <v>3.6374324065157432E-6</v>
      </c>
      <c r="BD6" s="284">
        <f t="shared" si="46"/>
        <v>7.1827721532323718E-6</v>
      </c>
      <c r="BE6" s="231">
        <f t="shared" si="47"/>
        <v>1.3380089390224861E-4</v>
      </c>
      <c r="BF6" s="234">
        <f t="shared" si="48"/>
        <v>1.0625494104696185E-5</v>
      </c>
      <c r="BG6" s="231">
        <f t="shared" ref="BG6:BG17" si="53">BF6*$D6</f>
        <v>1.3618695793989099E-3</v>
      </c>
      <c r="BH6" s="233">
        <f t="shared" si="49"/>
        <v>1.269230519771E-5</v>
      </c>
    </row>
    <row r="7" spans="1:60">
      <c r="A7" s="221" t="s">
        <v>1597</v>
      </c>
      <c r="B7" s="226" t="s">
        <v>814</v>
      </c>
      <c r="C7" s="271">
        <v>0</v>
      </c>
      <c r="D7" s="228">
        <v>94.11</v>
      </c>
      <c r="E7" s="229">
        <f t="shared" si="0"/>
        <v>0</v>
      </c>
      <c r="F7" s="230">
        <f t="shared" si="1"/>
        <v>0</v>
      </c>
      <c r="G7" s="228">
        <f t="shared" si="2"/>
        <v>0</v>
      </c>
      <c r="H7" s="231">
        <f t="shared" si="3"/>
        <v>0</v>
      </c>
      <c r="I7" s="228">
        <f t="shared" si="4"/>
        <v>0</v>
      </c>
      <c r="J7" s="232">
        <f>I7*$D7</f>
        <v>0</v>
      </c>
      <c r="K7" s="233">
        <f t="shared" si="5"/>
        <v>0</v>
      </c>
      <c r="L7" s="231">
        <f t="shared" si="6"/>
        <v>0</v>
      </c>
      <c r="M7" s="228">
        <f t="shared" si="7"/>
        <v>0</v>
      </c>
      <c r="N7" s="232">
        <f t="shared" si="50"/>
        <v>0</v>
      </c>
      <c r="O7" s="233">
        <f t="shared" si="8"/>
        <v>0</v>
      </c>
      <c r="P7" s="231">
        <f t="shared" si="9"/>
        <v>0</v>
      </c>
      <c r="Q7" s="228">
        <f t="shared" si="51"/>
        <v>0</v>
      </c>
      <c r="R7" s="232">
        <f t="shared" si="10"/>
        <v>0</v>
      </c>
      <c r="S7" s="233">
        <f t="shared" si="11"/>
        <v>0</v>
      </c>
      <c r="T7" s="231">
        <f t="shared" si="52"/>
        <v>0</v>
      </c>
      <c r="U7" s="228">
        <f t="shared" ref="U7:U17" si="54">T7/($T$18)</f>
        <v>0</v>
      </c>
      <c r="V7" s="232">
        <f t="shared" si="12"/>
        <v>0</v>
      </c>
      <c r="W7" s="233">
        <f t="shared" si="13"/>
        <v>0</v>
      </c>
      <c r="X7" s="231">
        <f t="shared" si="14"/>
        <v>0</v>
      </c>
      <c r="Y7" s="228">
        <f t="shared" si="15"/>
        <v>0</v>
      </c>
      <c r="Z7" s="232">
        <f t="shared" si="16"/>
        <v>0</v>
      </c>
      <c r="AA7" s="233">
        <f t="shared" si="17"/>
        <v>0</v>
      </c>
      <c r="AB7" s="231">
        <f t="shared" si="18"/>
        <v>0</v>
      </c>
      <c r="AC7" s="228">
        <f t="shared" si="19"/>
        <v>0</v>
      </c>
      <c r="AD7" s="232">
        <f t="shared" si="20"/>
        <v>0</v>
      </c>
      <c r="AE7" s="233">
        <f t="shared" si="21"/>
        <v>0</v>
      </c>
      <c r="AF7" s="231">
        <f t="shared" si="22"/>
        <v>0</v>
      </c>
      <c r="AG7" s="234">
        <f t="shared" si="23"/>
        <v>0</v>
      </c>
      <c r="AH7" s="231">
        <f t="shared" si="24"/>
        <v>0</v>
      </c>
      <c r="AI7" s="233">
        <f t="shared" si="25"/>
        <v>0</v>
      </c>
      <c r="AJ7" s="231">
        <f t="shared" si="26"/>
        <v>0</v>
      </c>
      <c r="AK7" s="234">
        <f t="shared" si="27"/>
        <v>0</v>
      </c>
      <c r="AL7" s="231">
        <f t="shared" si="28"/>
        <v>0</v>
      </c>
      <c r="AM7" s="233">
        <f t="shared" si="29"/>
        <v>0</v>
      </c>
      <c r="AN7" s="231">
        <f t="shared" si="30"/>
        <v>0</v>
      </c>
      <c r="AO7" s="234">
        <f t="shared" si="31"/>
        <v>0</v>
      </c>
      <c r="AP7" s="231">
        <f t="shared" si="32"/>
        <v>0</v>
      </c>
      <c r="AQ7" s="233">
        <f t="shared" si="33"/>
        <v>0</v>
      </c>
      <c r="AR7" s="231">
        <f t="shared" si="34"/>
        <v>0</v>
      </c>
      <c r="AS7" s="234">
        <f t="shared" si="35"/>
        <v>0</v>
      </c>
      <c r="AT7" s="231">
        <f t="shared" si="36"/>
        <v>0</v>
      </c>
      <c r="AU7" s="233">
        <f t="shared" si="37"/>
        <v>0</v>
      </c>
      <c r="AV7" s="231">
        <f t="shared" si="38"/>
        <v>0</v>
      </c>
      <c r="AW7" s="234">
        <f t="shared" si="39"/>
        <v>0</v>
      </c>
      <c r="AX7" s="231">
        <f t="shared" si="40"/>
        <v>0</v>
      </c>
      <c r="AY7" s="233">
        <f t="shared" si="41"/>
        <v>0</v>
      </c>
      <c r="AZ7" s="231">
        <f t="shared" si="42"/>
        <v>0</v>
      </c>
      <c r="BA7" s="234">
        <f t="shared" si="43"/>
        <v>0</v>
      </c>
      <c r="BB7" s="231">
        <f t="shared" si="44"/>
        <v>0</v>
      </c>
      <c r="BC7" s="233">
        <f t="shared" si="45"/>
        <v>0</v>
      </c>
      <c r="BD7" s="284">
        <f t="shared" si="46"/>
        <v>0</v>
      </c>
      <c r="BE7" s="231">
        <f t="shared" si="47"/>
        <v>0</v>
      </c>
      <c r="BF7" s="234">
        <f t="shared" si="48"/>
        <v>0</v>
      </c>
      <c r="BG7" s="231">
        <f t="shared" si="53"/>
        <v>0</v>
      </c>
      <c r="BH7" s="233">
        <f t="shared" si="49"/>
        <v>0</v>
      </c>
    </row>
    <row r="8" spans="1:60" s="277" customFormat="1" ht="14.4">
      <c r="A8" s="221" t="s">
        <v>1598</v>
      </c>
      <c r="B8" s="226" t="s">
        <v>313</v>
      </c>
      <c r="C8" s="271">
        <v>0</v>
      </c>
      <c r="D8" s="228">
        <v>108.14</v>
      </c>
      <c r="E8" s="229">
        <f t="shared" si="0"/>
        <v>0</v>
      </c>
      <c r="F8" s="230">
        <f t="shared" si="1"/>
        <v>0</v>
      </c>
      <c r="G8" s="228">
        <f>F8</f>
        <v>0</v>
      </c>
      <c r="H8" s="231">
        <f t="shared" si="3"/>
        <v>0</v>
      </c>
      <c r="I8" s="228">
        <f t="shared" si="4"/>
        <v>0</v>
      </c>
      <c r="J8" s="232">
        <f t="shared" ref="J8:J17" si="55">I8*$D8</f>
        <v>0</v>
      </c>
      <c r="K8" s="233">
        <f t="shared" si="5"/>
        <v>0</v>
      </c>
      <c r="L8" s="231">
        <f t="shared" si="6"/>
        <v>0</v>
      </c>
      <c r="M8" s="228">
        <f t="shared" si="7"/>
        <v>0</v>
      </c>
      <c r="N8" s="232">
        <f t="shared" si="50"/>
        <v>0</v>
      </c>
      <c r="O8" s="233">
        <f t="shared" si="8"/>
        <v>0</v>
      </c>
      <c r="P8" s="231">
        <f t="shared" si="9"/>
        <v>0</v>
      </c>
      <c r="Q8" s="228">
        <f t="shared" si="51"/>
        <v>0</v>
      </c>
      <c r="R8" s="232">
        <f t="shared" si="10"/>
        <v>0</v>
      </c>
      <c r="S8" s="233">
        <f t="shared" si="11"/>
        <v>0</v>
      </c>
      <c r="T8" s="231">
        <f t="shared" si="52"/>
        <v>0</v>
      </c>
      <c r="U8" s="228">
        <f t="shared" si="54"/>
        <v>0</v>
      </c>
      <c r="V8" s="232">
        <f t="shared" si="12"/>
        <v>0</v>
      </c>
      <c r="W8" s="233">
        <f t="shared" si="13"/>
        <v>0</v>
      </c>
      <c r="X8" s="231">
        <f t="shared" si="14"/>
        <v>0</v>
      </c>
      <c r="Y8" s="228">
        <f t="shared" si="15"/>
        <v>0</v>
      </c>
      <c r="Z8" s="232">
        <f t="shared" si="16"/>
        <v>0</v>
      </c>
      <c r="AA8" s="233">
        <f t="shared" si="17"/>
        <v>0</v>
      </c>
      <c r="AB8" s="231">
        <f t="shared" si="18"/>
        <v>0</v>
      </c>
      <c r="AC8" s="228">
        <f t="shared" si="19"/>
        <v>0</v>
      </c>
      <c r="AD8" s="232">
        <f t="shared" si="20"/>
        <v>0</v>
      </c>
      <c r="AE8" s="233">
        <f t="shared" si="21"/>
        <v>0</v>
      </c>
      <c r="AF8" s="231">
        <f t="shared" si="22"/>
        <v>0</v>
      </c>
      <c r="AG8" s="234">
        <f t="shared" si="23"/>
        <v>0</v>
      </c>
      <c r="AH8" s="231">
        <f t="shared" si="24"/>
        <v>0</v>
      </c>
      <c r="AI8" s="233">
        <f t="shared" si="25"/>
        <v>0</v>
      </c>
      <c r="AJ8" s="231">
        <f t="shared" si="26"/>
        <v>0</v>
      </c>
      <c r="AK8" s="234">
        <f t="shared" si="27"/>
        <v>0</v>
      </c>
      <c r="AL8" s="231">
        <f t="shared" si="28"/>
        <v>0</v>
      </c>
      <c r="AM8" s="233">
        <f t="shared" si="29"/>
        <v>0</v>
      </c>
      <c r="AN8" s="231">
        <f t="shared" si="30"/>
        <v>0</v>
      </c>
      <c r="AO8" s="234">
        <f t="shared" si="31"/>
        <v>0</v>
      </c>
      <c r="AP8" s="231">
        <f t="shared" si="32"/>
        <v>0</v>
      </c>
      <c r="AQ8" s="233">
        <f t="shared" si="33"/>
        <v>0</v>
      </c>
      <c r="AR8" s="231">
        <f t="shared" si="34"/>
        <v>0</v>
      </c>
      <c r="AS8" s="234">
        <f t="shared" si="35"/>
        <v>0</v>
      </c>
      <c r="AT8" s="231">
        <f t="shared" si="36"/>
        <v>0</v>
      </c>
      <c r="AU8" s="233">
        <f t="shared" si="37"/>
        <v>0</v>
      </c>
      <c r="AV8" s="231">
        <f t="shared" si="38"/>
        <v>0</v>
      </c>
      <c r="AW8" s="234">
        <f t="shared" si="39"/>
        <v>0</v>
      </c>
      <c r="AX8" s="231">
        <f t="shared" si="40"/>
        <v>0</v>
      </c>
      <c r="AY8" s="233">
        <f t="shared" si="41"/>
        <v>0</v>
      </c>
      <c r="AZ8" s="231">
        <f t="shared" si="42"/>
        <v>0</v>
      </c>
      <c r="BA8" s="234">
        <f t="shared" si="43"/>
        <v>0</v>
      </c>
      <c r="BB8" s="231">
        <f t="shared" si="44"/>
        <v>0</v>
      </c>
      <c r="BC8" s="233">
        <f t="shared" si="45"/>
        <v>0</v>
      </c>
      <c r="BD8" s="284">
        <f t="shared" si="46"/>
        <v>0</v>
      </c>
      <c r="BE8" s="231">
        <f t="shared" si="47"/>
        <v>0</v>
      </c>
      <c r="BF8" s="234">
        <f t="shared" si="48"/>
        <v>0</v>
      </c>
      <c r="BG8" s="231">
        <f t="shared" si="53"/>
        <v>0</v>
      </c>
      <c r="BH8" s="233">
        <f t="shared" si="49"/>
        <v>0</v>
      </c>
    </row>
    <row r="9" spans="1:60" s="277" customFormat="1" ht="14.4">
      <c r="A9" s="221" t="s">
        <v>1599</v>
      </c>
      <c r="B9" s="226" t="s">
        <v>148</v>
      </c>
      <c r="C9" s="227">
        <v>2.32E-4</v>
      </c>
      <c r="D9" s="228">
        <v>78.11</v>
      </c>
      <c r="E9" s="229">
        <f>C9/D9</f>
        <v>2.9701702726923568E-6</v>
      </c>
      <c r="F9" s="230">
        <f t="shared" si="1"/>
        <v>4.333193152444236E-4</v>
      </c>
      <c r="G9" s="228">
        <f t="shared" ref="G9:G14" si="56">F9</f>
        <v>4.333193152444236E-4</v>
      </c>
      <c r="H9" s="231">
        <f t="shared" si="3"/>
        <v>2.0603292439380408E-3</v>
      </c>
      <c r="I9" s="228">
        <f t="shared" si="4"/>
        <v>4.6828374409802202E-4</v>
      </c>
      <c r="J9" s="232">
        <f>I9*$D9</f>
        <v>3.6577643251496497E-2</v>
      </c>
      <c r="K9" s="233">
        <f t="shared" si="5"/>
        <v>3.5535334900146107E-4</v>
      </c>
      <c r="L9" s="231">
        <f t="shared" si="6"/>
        <v>2.1915818869310964E-3</v>
      </c>
      <c r="M9" s="228">
        <f t="shared" si="7"/>
        <v>4.7658183437112564E-4</v>
      </c>
      <c r="N9" s="232">
        <f>M9*$D9</f>
        <v>3.7225807082728622E-2</v>
      </c>
      <c r="O9" s="233">
        <f t="shared" si="8"/>
        <v>3.609376689943536E-4</v>
      </c>
      <c r="P9" s="231">
        <f t="shared" si="9"/>
        <v>2.4104146998914357E-3</v>
      </c>
      <c r="Q9" s="228">
        <f t="shared" si="51"/>
        <v>4.895439991434153E-4</v>
      </c>
      <c r="R9" s="232">
        <f t="shared" si="10"/>
        <v>3.8238281773092166E-2</v>
      </c>
      <c r="S9" s="233">
        <f t="shared" si="11"/>
        <v>3.6964098833415341E-4</v>
      </c>
      <c r="T9" s="231">
        <f t="shared" si="52"/>
        <v>2.6665051845564036E-3</v>
      </c>
      <c r="U9" s="228">
        <f t="shared" si="54"/>
        <v>5.0352390302245192E-4</v>
      </c>
      <c r="V9" s="232">
        <f t="shared" si="12"/>
        <v>3.9330252065083719E-2</v>
      </c>
      <c r="W9" s="233">
        <f t="shared" si="13"/>
        <v>3.7900139502326455E-4</v>
      </c>
      <c r="X9" s="231">
        <f t="shared" si="14"/>
        <v>3.1837921801645295E-3</v>
      </c>
      <c r="Y9" s="228">
        <f t="shared" si="15"/>
        <v>5.2863347001393893E-4</v>
      </c>
      <c r="Z9" s="232">
        <f t="shared" si="16"/>
        <v>4.1291560342788768E-2</v>
      </c>
      <c r="AA9" s="233">
        <f t="shared" si="17"/>
        <v>3.9574797831601745E-4</v>
      </c>
      <c r="AB9" s="231">
        <f t="shared" si="18"/>
        <v>3.6443595392436912E-3</v>
      </c>
      <c r="AC9" s="228">
        <f t="shared" si="19"/>
        <v>5.4823740645250797E-4</v>
      </c>
      <c r="AD9" s="232">
        <f t="shared" si="20"/>
        <v>4.2822823818005396E-2</v>
      </c>
      <c r="AE9" s="233">
        <f t="shared" si="21"/>
        <v>4.0876625257153809E-4</v>
      </c>
      <c r="AF9" s="231">
        <f t="shared" si="22"/>
        <v>4.393777290175092E-3</v>
      </c>
      <c r="AG9" s="234">
        <f t="shared" si="23"/>
        <v>5.7602418350946594E-4</v>
      </c>
      <c r="AH9" s="231">
        <f t="shared" si="24"/>
        <v>4.4993248973924385E-2</v>
      </c>
      <c r="AI9" s="233">
        <f t="shared" si="25"/>
        <v>4.2713771804770659E-4</v>
      </c>
      <c r="AJ9" s="231">
        <f t="shared" si="26"/>
        <v>4.3297130936698746E-3</v>
      </c>
      <c r="AK9" s="234">
        <f t="shared" si="27"/>
        <v>5.7381490653307351E-4</v>
      </c>
      <c r="AL9" s="231">
        <f t="shared" si="28"/>
        <v>4.4820682349298369E-2</v>
      </c>
      <c r="AM9" s="233">
        <f t="shared" si="29"/>
        <v>4.2568040428754393E-4</v>
      </c>
      <c r="AN9" s="231">
        <f t="shared" si="30"/>
        <v>3.8287786735448325E-3</v>
      </c>
      <c r="AO9" s="234">
        <f t="shared" si="31"/>
        <v>5.5549966877268934E-4</v>
      </c>
      <c r="AP9" s="231">
        <f t="shared" si="32"/>
        <v>4.3390079127834762E-2</v>
      </c>
      <c r="AQ9" s="233">
        <f t="shared" si="33"/>
        <v>4.1357674409206831E-4</v>
      </c>
      <c r="AR9" s="231">
        <f t="shared" si="34"/>
        <v>2.919774666190136E-3</v>
      </c>
      <c r="AS9" s="234">
        <f t="shared" si="35"/>
        <v>5.1628555258978763E-4</v>
      </c>
      <c r="AT9" s="231">
        <f t="shared" si="36"/>
        <v>4.0327064512788315E-2</v>
      </c>
      <c r="AU9" s="233">
        <f t="shared" si="37"/>
        <v>3.8752301599696528E-4</v>
      </c>
      <c r="AV9" s="231">
        <f t="shared" si="38"/>
        <v>2.3297610685118651E-3</v>
      </c>
      <c r="AW9" s="234">
        <f t="shared" si="39"/>
        <v>4.8488480859459725E-4</v>
      </c>
      <c r="AX9" s="231">
        <f t="shared" si="40"/>
        <v>3.7874352399323991E-2</v>
      </c>
      <c r="AY9" s="233">
        <f t="shared" si="41"/>
        <v>3.6651535697529132E-4</v>
      </c>
      <c r="AZ9" s="231">
        <f t="shared" si="42"/>
        <v>2.0262578700858233E-3</v>
      </c>
      <c r="BA9" s="234">
        <f t="shared" si="43"/>
        <v>4.6605850751690398E-4</v>
      </c>
      <c r="BB9" s="231">
        <f t="shared" si="44"/>
        <v>3.6403830022145367E-2</v>
      </c>
      <c r="BC9" s="233">
        <f t="shared" si="45"/>
        <v>3.5385413275790419E-4</v>
      </c>
      <c r="BD9" s="284">
        <f t="shared" si="46"/>
        <v>4.2713771804770659E-4</v>
      </c>
      <c r="BE9" s="231">
        <f t="shared" si="47"/>
        <v>8.5774607643758407E-3</v>
      </c>
      <c r="BF9" s="234">
        <f t="shared" si="48"/>
        <v>6.8115956573296609E-4</v>
      </c>
      <c r="BG9" s="231">
        <f t="shared" si="53"/>
        <v>5.3205373679401979E-2</v>
      </c>
      <c r="BH9" s="233">
        <f t="shared" si="49"/>
        <v>4.9586160900607973E-4</v>
      </c>
    </row>
    <row r="10" spans="1:60" s="277" customFormat="1" ht="14.4">
      <c r="A10" s="221" t="s">
        <v>1600</v>
      </c>
      <c r="B10" s="226" t="s">
        <v>499</v>
      </c>
      <c r="C10" s="227">
        <v>5.8900000000000001E-4</v>
      </c>
      <c r="D10" s="228">
        <v>106.17</v>
      </c>
      <c r="E10" s="229">
        <f t="shared" si="0"/>
        <v>5.5477065084298766E-6</v>
      </c>
      <c r="F10" s="230">
        <f t="shared" si="1"/>
        <v>8.0935709562226143E-4</v>
      </c>
      <c r="G10" s="228">
        <f t="shared" si="56"/>
        <v>8.0935709562226143E-4</v>
      </c>
      <c r="H10" s="231">
        <f t="shared" si="3"/>
        <v>2.9713741605679042E-4</v>
      </c>
      <c r="I10" s="228">
        <f t="shared" si="4"/>
        <v>6.7535138916307083E-5</v>
      </c>
      <c r="J10" s="232">
        <f t="shared" ref="J10:J16" si="57">I10*$D10</f>
        <v>7.1702056987443235E-3</v>
      </c>
      <c r="K10" s="233">
        <f t="shared" si="5"/>
        <v>6.9658851188393942E-5</v>
      </c>
      <c r="L10" s="231">
        <f t="shared" si="6"/>
        <v>3.2120964163872867E-4</v>
      </c>
      <c r="M10" s="228">
        <f t="shared" si="7"/>
        <v>6.9850312754793326E-5</v>
      </c>
      <c r="N10" s="232">
        <f t="shared" ref="N10:N15" si="58">M10*$D10</f>
        <v>7.4160077051764074E-3</v>
      </c>
      <c r="O10" s="233">
        <f t="shared" si="8"/>
        <v>7.1904862355353313E-5</v>
      </c>
      <c r="P10" s="231">
        <f t="shared" si="9"/>
        <v>3.6216053562469384E-4</v>
      </c>
      <c r="Q10" s="228">
        <f t="shared" si="51"/>
        <v>7.3553118037995358E-5</v>
      </c>
      <c r="R10" s="232">
        <f t="shared" si="10"/>
        <v>7.8091345420939675E-3</v>
      </c>
      <c r="S10" s="233">
        <f t="shared" si="11"/>
        <v>7.5489171487962646E-5</v>
      </c>
      <c r="T10" s="231">
        <f t="shared" si="52"/>
        <v>4.1129510232535728E-4</v>
      </c>
      <c r="U10" s="228">
        <f t="shared" si="54"/>
        <v>7.7666046335227753E-5</v>
      </c>
      <c r="V10" s="232">
        <f t="shared" si="12"/>
        <v>8.2458041394111309E-3</v>
      </c>
      <c r="W10" s="233">
        <f t="shared" si="13"/>
        <v>7.9459731576443833E-5</v>
      </c>
      <c r="X10" s="231">
        <f t="shared" si="14"/>
        <v>5.1415652862987565E-4</v>
      </c>
      <c r="Y10" s="228">
        <f t="shared" si="15"/>
        <v>8.5370003592975219E-5</v>
      </c>
      <c r="Z10" s="232">
        <f t="shared" si="16"/>
        <v>9.0637332814661794E-3</v>
      </c>
      <c r="AA10" s="233">
        <f t="shared" si="17"/>
        <v>8.6868941070721142E-5</v>
      </c>
      <c r="AB10" s="231">
        <f t="shared" si="18"/>
        <v>6.0939076245107896E-4</v>
      </c>
      <c r="AC10" s="228">
        <f t="shared" si="19"/>
        <v>9.1673394879043487E-5</v>
      </c>
      <c r="AD10" s="232">
        <f t="shared" si="20"/>
        <v>9.7329643343080467E-3</v>
      </c>
      <c r="AE10" s="233">
        <f t="shared" si="21"/>
        <v>9.2906235568582972E-5</v>
      </c>
      <c r="AF10" s="231">
        <f t="shared" si="22"/>
        <v>7.7080868538818641E-4</v>
      </c>
      <c r="AG10" s="234">
        <f t="shared" si="23"/>
        <v>1.0105301528039927E-4</v>
      </c>
      <c r="AH10" s="231">
        <f t="shared" si="24"/>
        <v>1.0728798632319991E-2</v>
      </c>
      <c r="AI10" s="233">
        <f t="shared" si="25"/>
        <v>1.0185249275637735E-4</v>
      </c>
      <c r="AJ10" s="231">
        <f t="shared" si="26"/>
        <v>7.5672056896864055E-4</v>
      </c>
      <c r="AK10" s="234">
        <f t="shared" si="27"/>
        <v>1.0028783274097982E-4</v>
      </c>
      <c r="AL10" s="231">
        <f t="shared" si="28"/>
        <v>1.0647559202109828E-2</v>
      </c>
      <c r="AM10" s="233">
        <f t="shared" si="29"/>
        <v>1.0112423703207236E-4</v>
      </c>
      <c r="AN10" s="231">
        <f t="shared" si="30"/>
        <v>6.4840411997111908E-4</v>
      </c>
      <c r="AO10" s="234">
        <f t="shared" si="31"/>
        <v>9.407393442811032E-5</v>
      </c>
      <c r="AP10" s="231">
        <f t="shared" si="32"/>
        <v>9.9878296182324723E-3</v>
      </c>
      <c r="AQ10" s="233">
        <f t="shared" si="33"/>
        <v>9.5199965915827135E-5</v>
      </c>
      <c r="AR10" s="231">
        <f t="shared" si="34"/>
        <v>4.6108162278774364E-4</v>
      </c>
      <c r="AS10" s="234">
        <f t="shared" si="35"/>
        <v>8.1530189013039555E-5</v>
      </c>
      <c r="AT10" s="231">
        <f t="shared" si="36"/>
        <v>8.6560601675144105E-3</v>
      </c>
      <c r="AU10" s="233">
        <f t="shared" si="37"/>
        <v>8.3180429403748032E-5</v>
      </c>
      <c r="AV10" s="231">
        <f t="shared" si="38"/>
        <v>3.4695248063436448E-4</v>
      </c>
      <c r="AW10" s="234">
        <f t="shared" si="39"/>
        <v>7.2209974420798742E-5</v>
      </c>
      <c r="AX10" s="231">
        <f t="shared" si="40"/>
        <v>7.6665329842562028E-3</v>
      </c>
      <c r="AY10" s="233">
        <f t="shared" si="41"/>
        <v>7.4190102153077629E-5</v>
      </c>
      <c r="AZ10" s="231">
        <f t="shared" si="42"/>
        <v>2.9095139888078437E-4</v>
      </c>
      <c r="BA10" s="234">
        <f t="shared" si="43"/>
        <v>6.6921578306610273E-5</v>
      </c>
      <c r="BB10" s="231">
        <f t="shared" si="44"/>
        <v>7.105063968812813E-3</v>
      </c>
      <c r="BC10" s="233">
        <f t="shared" si="45"/>
        <v>6.9062959785941923E-5</v>
      </c>
      <c r="BD10" s="284">
        <f t="shared" si="46"/>
        <v>1.0185249275637735E-4</v>
      </c>
      <c r="BE10" s="231">
        <f t="shared" si="47"/>
        <v>1.7825649752296669E-3</v>
      </c>
      <c r="BF10" s="234">
        <f t="shared" si="48"/>
        <v>1.4155834900010647E-4</v>
      </c>
      <c r="BG10" s="231">
        <f t="shared" si="53"/>
        <v>1.5029249913341305E-2</v>
      </c>
      <c r="BH10" s="233">
        <f t="shared" si="49"/>
        <v>1.4006908567337157E-4</v>
      </c>
    </row>
    <row r="11" spans="1:60" s="277" customFormat="1" ht="14.4">
      <c r="A11" s="221" t="s">
        <v>1601</v>
      </c>
      <c r="B11" s="226" t="s">
        <v>605</v>
      </c>
      <c r="C11" s="227">
        <v>1.22E-4</v>
      </c>
      <c r="D11" s="228">
        <v>120.19</v>
      </c>
      <c r="E11" s="229">
        <f t="shared" si="0"/>
        <v>1.0150594891421916E-6</v>
      </c>
      <c r="F11" s="230">
        <f t="shared" si="1"/>
        <v>1.4808743014209239E-4</v>
      </c>
      <c r="G11" s="228">
        <f t="shared" si="56"/>
        <v>1.4808743014209239E-4</v>
      </c>
      <c r="H11" s="231">
        <f t="shared" si="3"/>
        <v>2.382314485836392E-5</v>
      </c>
      <c r="I11" s="228">
        <f t="shared" si="4"/>
        <v>5.4146644296234074E-6</v>
      </c>
      <c r="J11" s="232">
        <f t="shared" si="57"/>
        <v>6.5078851779643736E-4</v>
      </c>
      <c r="K11" s="233">
        <f t="shared" si="5"/>
        <v>6.3224379356698835E-6</v>
      </c>
      <c r="L11" s="231">
        <f t="shared" si="6"/>
        <v>2.5910991430841298E-5</v>
      </c>
      <c r="M11" s="228">
        <f t="shared" si="7"/>
        <v>5.6346093660122986E-6</v>
      </c>
      <c r="N11" s="232">
        <f t="shared" si="58"/>
        <v>6.7722369970101817E-4</v>
      </c>
      <c r="O11" s="233">
        <f t="shared" si="8"/>
        <v>6.5662926532283716E-6</v>
      </c>
      <c r="P11" s="231">
        <f t="shared" si="9"/>
        <v>2.9489363371996919E-5</v>
      </c>
      <c r="Q11" s="228">
        <f t="shared" si="51"/>
        <v>5.9891523553896888E-6</v>
      </c>
      <c r="R11" s="232">
        <f t="shared" si="10"/>
        <v>7.1983622159428671E-4</v>
      </c>
      <c r="S11" s="233">
        <f t="shared" si="11"/>
        <v>6.9584970885400216E-6</v>
      </c>
      <c r="T11" s="231">
        <f t="shared" si="52"/>
        <v>3.3822584859410165E-5</v>
      </c>
      <c r="U11" s="228">
        <f t="shared" si="54"/>
        <v>6.3868167357609937E-6</v>
      </c>
      <c r="V11" s="232">
        <f t="shared" si="12"/>
        <v>7.6763150347111382E-4</v>
      </c>
      <c r="W11" s="233">
        <f t="shared" si="13"/>
        <v>7.3971916121442943E-6</v>
      </c>
      <c r="X11" s="231">
        <f t="shared" si="14"/>
        <v>4.3014181075493831E-5</v>
      </c>
      <c r="Y11" s="228">
        <f t="shared" si="15"/>
        <v>7.1420289123805603E-6</v>
      </c>
      <c r="Z11" s="232">
        <f t="shared" si="16"/>
        <v>8.5840045497901957E-4</v>
      </c>
      <c r="AA11" s="233">
        <f t="shared" si="17"/>
        <v>8.2271108629302296E-6</v>
      </c>
      <c r="AB11" s="231">
        <f t="shared" si="18"/>
        <v>5.1646477777450171E-5</v>
      </c>
      <c r="AC11" s="228">
        <f t="shared" si="19"/>
        <v>7.7694120802889944E-6</v>
      </c>
      <c r="AD11" s="232">
        <f t="shared" si="20"/>
        <v>9.3380563792993425E-4</v>
      </c>
      <c r="AE11" s="233">
        <f t="shared" si="21"/>
        <v>8.9136632574496329E-6</v>
      </c>
      <c r="AF11" s="231">
        <f t="shared" si="22"/>
        <v>6.6496557647871722E-5</v>
      </c>
      <c r="AG11" s="234">
        <f t="shared" si="23"/>
        <v>8.7176984165665437E-6</v>
      </c>
      <c r="AH11" s="231">
        <f t="shared" si="24"/>
        <v>1.0477801726871329E-3</v>
      </c>
      <c r="AI11" s="233">
        <f t="shared" si="25"/>
        <v>9.9469685382486438E-6</v>
      </c>
      <c r="AJ11" s="231">
        <f t="shared" si="26"/>
        <v>6.5190783848233951E-5</v>
      </c>
      <c r="AK11" s="234">
        <f t="shared" si="27"/>
        <v>8.6397049253407999E-6</v>
      </c>
      <c r="AL11" s="231">
        <f t="shared" si="28"/>
        <v>1.0384061349767108E-3</v>
      </c>
      <c r="AM11" s="233">
        <f t="shared" si="29"/>
        <v>9.8621689849947525E-6</v>
      </c>
      <c r="AN11" s="231">
        <f t="shared" si="30"/>
        <v>5.5212140699947508E-5</v>
      </c>
      <c r="AO11" s="234">
        <f t="shared" si="31"/>
        <v>8.010472395014722E-6</v>
      </c>
      <c r="AP11" s="231">
        <f t="shared" si="32"/>
        <v>9.627786771568194E-4</v>
      </c>
      <c r="AQ11" s="233">
        <f t="shared" si="33"/>
        <v>9.1768182631488091E-6</v>
      </c>
      <c r="AR11" s="231">
        <f t="shared" si="34"/>
        <v>3.825262673484087E-5</v>
      </c>
      <c r="AS11" s="234">
        <f t="shared" si="35"/>
        <v>6.7639735218259231E-6</v>
      </c>
      <c r="AT11" s="231">
        <f t="shared" si="36"/>
        <v>8.129619775882577E-4</v>
      </c>
      <c r="AU11" s="233">
        <f t="shared" si="37"/>
        <v>7.8121599291204186E-6</v>
      </c>
      <c r="AV11" s="231">
        <f t="shared" si="38"/>
        <v>2.8156730695968334E-5</v>
      </c>
      <c r="AW11" s="234">
        <f t="shared" si="39"/>
        <v>5.8601592921650693E-6</v>
      </c>
      <c r="AX11" s="231">
        <f t="shared" si="40"/>
        <v>7.0433254532531963E-4</v>
      </c>
      <c r="AY11" s="233">
        <f t="shared" si="41"/>
        <v>6.8159236508511947E-6</v>
      </c>
      <c r="AZ11" s="231">
        <f t="shared" si="42"/>
        <v>2.3288625087030712E-5</v>
      </c>
      <c r="BA11" s="234">
        <f t="shared" si="43"/>
        <v>5.3566044136931791E-6</v>
      </c>
      <c r="BB11" s="231">
        <f t="shared" si="44"/>
        <v>6.4381028448178316E-4</v>
      </c>
      <c r="BC11" s="233">
        <f t="shared" si="45"/>
        <v>6.2579934511653138E-6</v>
      </c>
      <c r="BD11" s="284">
        <f t="shared" si="46"/>
        <v>9.9469685382486438E-6</v>
      </c>
      <c r="BE11" s="231">
        <f t="shared" si="47"/>
        <v>1.6356348569311944E-4</v>
      </c>
      <c r="BF11" s="234">
        <f t="shared" si="48"/>
        <v>1.2989022735868225E-5</v>
      </c>
      <c r="BG11" s="231">
        <f t="shared" si="53"/>
        <v>1.5611506426240021E-3</v>
      </c>
      <c r="BH11" s="233">
        <f t="shared" si="49"/>
        <v>1.4549557986698346E-5</v>
      </c>
    </row>
    <row r="12" spans="1:60" s="277" customFormat="1" ht="14.4">
      <c r="A12" s="221" t="s">
        <v>1602</v>
      </c>
      <c r="B12" s="226" t="s">
        <v>1129</v>
      </c>
      <c r="C12" s="227">
        <v>2.0899999999999998E-3</v>
      </c>
      <c r="D12" s="228">
        <v>92.14</v>
      </c>
      <c r="E12" s="229">
        <f t="shared" si="0"/>
        <v>2.2682873887562402E-5</v>
      </c>
      <c r="F12" s="230">
        <f t="shared" si="1"/>
        <v>3.3092134384014871E-3</v>
      </c>
      <c r="G12" s="228">
        <f t="shared" si="56"/>
        <v>3.3092134384014871E-3</v>
      </c>
      <c r="H12" s="231">
        <f t="shared" si="3"/>
        <v>4.1757030679965834E-3</v>
      </c>
      <c r="I12" s="228">
        <f t="shared" si="4"/>
        <v>9.4907834399589851E-4</v>
      </c>
      <c r="J12" s="232">
        <f t="shared" si="57"/>
        <v>8.7448078615782091E-2</v>
      </c>
      <c r="K12" s="233">
        <f t="shared" si="5"/>
        <v>8.4956177701771014E-4</v>
      </c>
      <c r="L12" s="231">
        <f t="shared" si="6"/>
        <v>4.4745432853851505E-3</v>
      </c>
      <c r="M12" s="228">
        <f t="shared" si="7"/>
        <v>9.730350755490177E-4</v>
      </c>
      <c r="N12" s="232">
        <f t="shared" si="58"/>
        <v>8.9655451861086491E-2</v>
      </c>
      <c r="O12" s="233">
        <f t="shared" si="8"/>
        <v>8.6929021405663168E-4</v>
      </c>
      <c r="P12" s="231">
        <f t="shared" si="9"/>
        <v>4.9775548278293801E-3</v>
      </c>
      <c r="Q12" s="228">
        <f t="shared" si="51"/>
        <v>1.0109182027810228E-3</v>
      </c>
      <c r="R12" s="232">
        <f t="shared" si="10"/>
        <v>9.3146003204243447E-2</v>
      </c>
      <c r="S12" s="233">
        <f t="shared" si="11"/>
        <v>9.0042175242354035E-4</v>
      </c>
      <c r="T12" s="231">
        <f t="shared" si="52"/>
        <v>5.5732264297161617E-3</v>
      </c>
      <c r="U12" s="228">
        <f t="shared" si="54"/>
        <v>1.0524085010490656E-3</v>
      </c>
      <c r="V12" s="232">
        <f t="shared" si="12"/>
        <v>9.6968919286660904E-2</v>
      </c>
      <c r="W12" s="233">
        <f t="shared" si="13"/>
        <v>9.3442970115540237E-4</v>
      </c>
      <c r="X12" s="231">
        <f t="shared" si="14"/>
        <v>6.7971398685937731E-3</v>
      </c>
      <c r="Y12" s="228">
        <f t="shared" si="15"/>
        <v>1.1285898801093005E-3</v>
      </c>
      <c r="Z12" s="232">
        <f t="shared" si="16"/>
        <v>0.10398827155327095</v>
      </c>
      <c r="AA12" s="233">
        <f t="shared" si="17"/>
        <v>9.9664793226858679E-4</v>
      </c>
      <c r="AB12" s="231">
        <f t="shared" si="18"/>
        <v>7.907511862282713E-3</v>
      </c>
      <c r="AC12" s="228">
        <f t="shared" si="19"/>
        <v>1.1895625961674441E-3</v>
      </c>
      <c r="AD12" s="232">
        <f t="shared" si="20"/>
        <v>0.10960629761086831</v>
      </c>
      <c r="AE12" s="233">
        <f t="shared" si="21"/>
        <v>1.0462494421910875E-3</v>
      </c>
      <c r="AF12" s="231">
        <f t="shared" si="22"/>
        <v>9.7502644084001746E-3</v>
      </c>
      <c r="AG12" s="234">
        <f t="shared" si="23"/>
        <v>1.2782596212623019E-3</v>
      </c>
      <c r="AH12" s="231">
        <f t="shared" si="24"/>
        <v>0.11777884150310849</v>
      </c>
      <c r="AI12" s="233">
        <f t="shared" si="25"/>
        <v>1.1181185342515698E-3</v>
      </c>
      <c r="AJ12" s="231">
        <f t="shared" si="26"/>
        <v>9.5911374560291619E-3</v>
      </c>
      <c r="AK12" s="234">
        <f t="shared" si="27"/>
        <v>1.2711090836303944E-3</v>
      </c>
      <c r="AL12" s="231">
        <f t="shared" si="28"/>
        <v>0.11711999096570454</v>
      </c>
      <c r="AM12" s="233">
        <f t="shared" si="29"/>
        <v>1.1123365930910476E-3</v>
      </c>
      <c r="AN12" s="231">
        <f t="shared" si="30"/>
        <v>8.3570504398688961E-3</v>
      </c>
      <c r="AO12" s="234">
        <f t="shared" si="31"/>
        <v>1.212485533138893E-3</v>
      </c>
      <c r="AP12" s="231">
        <f t="shared" si="32"/>
        <v>0.1117184170234176</v>
      </c>
      <c r="AQ12" s="233">
        <f t="shared" si="33"/>
        <v>1.064854918368309E-3</v>
      </c>
      <c r="AR12" s="231">
        <f t="shared" si="34"/>
        <v>6.169189601085057E-3</v>
      </c>
      <c r="AS12" s="234">
        <f t="shared" si="35"/>
        <v>1.0908593389446029E-3</v>
      </c>
      <c r="AT12" s="231">
        <f t="shared" si="36"/>
        <v>0.10051177949035571</v>
      </c>
      <c r="AU12" s="233">
        <f t="shared" si="37"/>
        <v>9.6586816823656318E-4</v>
      </c>
      <c r="AV12" s="231">
        <f t="shared" si="38"/>
        <v>4.7914939639981955E-3</v>
      </c>
      <c r="AW12" s="234">
        <f t="shared" si="39"/>
        <v>9.9723643982919464E-4</v>
      </c>
      <c r="AX12" s="231">
        <f t="shared" si="40"/>
        <v>9.1885365565861993E-2</v>
      </c>
      <c r="AY12" s="233">
        <f t="shared" si="41"/>
        <v>8.8918741648974433E-4</v>
      </c>
      <c r="AZ12" s="231">
        <f t="shared" si="42"/>
        <v>4.0984969892816966E-3</v>
      </c>
      <c r="BA12" s="234">
        <f t="shared" si="43"/>
        <v>9.426931379697722E-4</v>
      </c>
      <c r="BB12" s="231">
        <f t="shared" si="44"/>
        <v>8.6859745732534813E-2</v>
      </c>
      <c r="BC12" s="233">
        <f t="shared" si="45"/>
        <v>8.4429797576411288E-4</v>
      </c>
      <c r="BD12" s="284">
        <f t="shared" si="46"/>
        <v>1.1181185342515698E-3</v>
      </c>
      <c r="BE12" s="231">
        <f t="shared" si="47"/>
        <v>2.06363108723461E-2</v>
      </c>
      <c r="BF12" s="234">
        <f t="shared" si="48"/>
        <v>1.6387857593611061E-3</v>
      </c>
      <c r="BG12" s="231">
        <f t="shared" si="53"/>
        <v>0.15099771986753233</v>
      </c>
      <c r="BH12" s="233">
        <f t="shared" si="49"/>
        <v>1.407263348640867E-3</v>
      </c>
    </row>
    <row r="13" spans="1:60" s="277" customFormat="1" ht="14.4">
      <c r="A13" s="221" t="s">
        <v>1603</v>
      </c>
      <c r="B13" s="226" t="s">
        <v>579</v>
      </c>
      <c r="C13" s="227">
        <v>3.4499999999999998E-4</v>
      </c>
      <c r="D13" s="228">
        <v>86.18</v>
      </c>
      <c r="E13" s="229">
        <f t="shared" si="0"/>
        <v>4.0032490136922714E-6</v>
      </c>
      <c r="F13" s="230">
        <f t="shared" si="1"/>
        <v>5.8403558116337112E-4</v>
      </c>
      <c r="G13" s="228">
        <f t="shared" si="56"/>
        <v>5.8403558116337112E-4</v>
      </c>
      <c r="H13" s="231">
        <f t="shared" si="3"/>
        <v>4.6869339514435714E-3</v>
      </c>
      <c r="I13" s="228">
        <f t="shared" si="4"/>
        <v>1.0652739049255256E-3</v>
      </c>
      <c r="J13" s="232">
        <f t="shared" si="57"/>
        <v>9.1805305126481801E-2</v>
      </c>
      <c r="K13" s="233">
        <f t="shared" si="5"/>
        <v>8.9189241659142697E-4</v>
      </c>
      <c r="L13" s="231">
        <f t="shared" si="6"/>
        <v>4.96632140819038E-3</v>
      </c>
      <c r="M13" s="228">
        <f t="shared" si="7"/>
        <v>1.0799772442481304E-3</v>
      </c>
      <c r="N13" s="232">
        <f t="shared" si="58"/>
        <v>9.307243890930389E-2</v>
      </c>
      <c r="O13" s="233">
        <f t="shared" si="8"/>
        <v>9.024209756658191E-4</v>
      </c>
      <c r="P13" s="231">
        <f t="shared" si="9"/>
        <v>5.4299407792978305E-3</v>
      </c>
      <c r="Q13" s="228">
        <f t="shared" si="51"/>
        <v>1.1027956825558263E-3</v>
      </c>
      <c r="R13" s="232">
        <f t="shared" si="10"/>
        <v>9.5038931922661121E-2</v>
      </c>
      <c r="S13" s="233">
        <f t="shared" si="11"/>
        <v>9.1872027447727927E-4</v>
      </c>
      <c r="T13" s="231">
        <f t="shared" si="52"/>
        <v>5.9693281937245306E-3</v>
      </c>
      <c r="U13" s="228">
        <f t="shared" si="54"/>
        <v>1.1272055452711085E-3</v>
      </c>
      <c r="V13" s="232">
        <f t="shared" si="12"/>
        <v>9.7142573891464135E-2</v>
      </c>
      <c r="W13" s="233">
        <f t="shared" si="13"/>
        <v>9.3610310353695145E-4</v>
      </c>
      <c r="X13" s="231">
        <f t="shared" si="14"/>
        <v>7.0497914809870485E-3</v>
      </c>
      <c r="Y13" s="228">
        <f t="shared" si="15"/>
        <v>1.1705398853251473E-3</v>
      </c>
      <c r="Z13" s="232">
        <f t="shared" si="16"/>
        <v>0.10087712731732121</v>
      </c>
      <c r="AA13" s="233">
        <f t="shared" si="17"/>
        <v>9.6682999777046217E-4</v>
      </c>
      <c r="AB13" s="231">
        <f t="shared" si="18"/>
        <v>8.0030193531575068E-3</v>
      </c>
      <c r="AC13" s="228">
        <f t="shared" si="19"/>
        <v>1.2039302178387268E-3</v>
      </c>
      <c r="AD13" s="232">
        <f t="shared" si="20"/>
        <v>0.10375470617334148</v>
      </c>
      <c r="AE13" s="233">
        <f t="shared" si="21"/>
        <v>9.9039294114241496E-4</v>
      </c>
      <c r="AF13" s="231">
        <f t="shared" si="22"/>
        <v>9.5393842526588085E-3</v>
      </c>
      <c r="AG13" s="234">
        <f t="shared" si="23"/>
        <v>1.2506132337676756E-3</v>
      </c>
      <c r="AH13" s="231">
        <f t="shared" si="24"/>
        <v>0.1077778484860983</v>
      </c>
      <c r="AI13" s="233">
        <f t="shared" si="25"/>
        <v>1.0231753720457801E-3</v>
      </c>
      <c r="AJ13" s="231">
        <f t="shared" si="26"/>
        <v>9.4086849347855724E-3</v>
      </c>
      <c r="AK13" s="234">
        <f t="shared" si="27"/>
        <v>1.2469287339954085E-3</v>
      </c>
      <c r="AL13" s="231">
        <f t="shared" si="28"/>
        <v>0.10746031829572432</v>
      </c>
      <c r="AM13" s="233">
        <f t="shared" si="29"/>
        <v>1.0205947196541992E-3</v>
      </c>
      <c r="AN13" s="231">
        <f t="shared" si="30"/>
        <v>8.3826754111190459E-3</v>
      </c>
      <c r="AO13" s="234">
        <f t="shared" si="31"/>
        <v>1.2162033408931316E-3</v>
      </c>
      <c r="AP13" s="231">
        <f t="shared" si="32"/>
        <v>0.10481240391817008</v>
      </c>
      <c r="AQ13" s="233">
        <f t="shared" si="33"/>
        <v>9.9902958520146543E-4</v>
      </c>
      <c r="AR13" s="231">
        <f t="shared" si="34"/>
        <v>6.4997505651864136E-3</v>
      </c>
      <c r="AS13" s="234">
        <f t="shared" si="35"/>
        <v>1.1493103735370676E-3</v>
      </c>
      <c r="AT13" s="231">
        <f t="shared" si="36"/>
        <v>9.9047567991424487E-2</v>
      </c>
      <c r="AU13" s="233">
        <f t="shared" si="37"/>
        <v>9.5179782458575449E-4</v>
      </c>
      <c r="AV13" s="231">
        <f t="shared" si="38"/>
        <v>5.2593731510780341E-3</v>
      </c>
      <c r="AW13" s="234">
        <f t="shared" si="39"/>
        <v>1.0946144556003635E-3</v>
      </c>
      <c r="AX13" s="231">
        <f t="shared" si="40"/>
        <v>9.4333873783639333E-2</v>
      </c>
      <c r="AY13" s="233">
        <f t="shared" si="41"/>
        <v>9.1288196983903443E-4</v>
      </c>
      <c r="AZ13" s="231">
        <f t="shared" si="42"/>
        <v>4.6142368316236465E-3</v>
      </c>
      <c r="BA13" s="234">
        <f t="shared" si="43"/>
        <v>1.0613181879880662E-3</v>
      </c>
      <c r="BB13" s="231">
        <f t="shared" si="44"/>
        <v>9.1464401440811555E-2</v>
      </c>
      <c r="BC13" s="233">
        <f t="shared" si="45"/>
        <v>8.8905635561891967E-4</v>
      </c>
      <c r="BD13" s="284">
        <f t="shared" si="46"/>
        <v>1.0231753720457801E-3</v>
      </c>
      <c r="BE13" s="231">
        <f t="shared" si="47"/>
        <v>1.7890761311531736E-2</v>
      </c>
      <c r="BF13" s="234">
        <f t="shared" si="48"/>
        <v>1.42075417659831E-3</v>
      </c>
      <c r="BG13" s="231">
        <f t="shared" si="53"/>
        <v>0.12244059493924236</v>
      </c>
      <c r="BH13" s="233">
        <f t="shared" si="49"/>
        <v>1.1411176393586566E-3</v>
      </c>
    </row>
    <row r="14" spans="1:60" s="277" customFormat="1" ht="14.4">
      <c r="A14" s="221" t="s">
        <v>1604</v>
      </c>
      <c r="B14" s="226" t="s">
        <v>1223</v>
      </c>
      <c r="C14" s="227">
        <v>3.48E-3</v>
      </c>
      <c r="D14" s="228">
        <v>106.17</v>
      </c>
      <c r="E14" s="229">
        <f t="shared" si="0"/>
        <v>3.2777620796835265E-5</v>
      </c>
      <c r="F14" s="230">
        <f t="shared" si="1"/>
        <v>4.7819400556289807E-3</v>
      </c>
      <c r="G14" s="228">
        <f t="shared" si="56"/>
        <v>4.7819400556289807E-3</v>
      </c>
      <c r="H14" s="231">
        <f t="shared" si="3"/>
        <v>1.5213495185997076E-3</v>
      </c>
      <c r="I14" s="228">
        <f t="shared" si="4"/>
        <v>3.4578126323630377E-4</v>
      </c>
      <c r="J14" s="232">
        <f t="shared" si="57"/>
        <v>3.6711596717798368E-2</v>
      </c>
      <c r="K14" s="233">
        <f t="shared" si="5"/>
        <v>3.5665471258394875E-4</v>
      </c>
      <c r="L14" s="231">
        <f t="shared" si="6"/>
        <v>1.6455131494553512E-3</v>
      </c>
      <c r="M14" s="228">
        <f t="shared" si="7"/>
        <v>3.5783361777432665E-4</v>
      </c>
      <c r="N14" s="232">
        <f t="shared" si="58"/>
        <v>3.7991195199100262E-2</v>
      </c>
      <c r="O14" s="233">
        <f t="shared" si="8"/>
        <v>3.6835879493489314E-4</v>
      </c>
      <c r="P14" s="231">
        <f t="shared" si="9"/>
        <v>1.8569199665878435E-3</v>
      </c>
      <c r="Q14" s="228">
        <f t="shared" si="51"/>
        <v>3.7713179668777039E-4</v>
      </c>
      <c r="R14" s="232">
        <f t="shared" si="10"/>
        <v>4.0040082854340582E-2</v>
      </c>
      <c r="S14" s="233">
        <f t="shared" si="11"/>
        <v>3.8705859973223877E-4</v>
      </c>
      <c r="T14" s="231">
        <f t="shared" si="52"/>
        <v>2.1108537222771203E-3</v>
      </c>
      <c r="U14" s="228">
        <f t="shared" si="54"/>
        <v>3.9859862681169452E-4</v>
      </c>
      <c r="V14" s="232">
        <f t="shared" si="12"/>
        <v>4.2319216208597604E-2</v>
      </c>
      <c r="W14" s="233">
        <f t="shared" si="13"/>
        <v>4.0780420000380947E-4</v>
      </c>
      <c r="X14" s="231">
        <f t="shared" si="14"/>
        <v>2.6433195077151207E-3</v>
      </c>
      <c r="Y14" s="228">
        <f t="shared" si="15"/>
        <v>4.3889396186869519E-4</v>
      </c>
      <c r="Z14" s="232">
        <f t="shared" si="16"/>
        <v>4.6597371931599373E-2</v>
      </c>
      <c r="AA14" s="233">
        <f t="shared" si="17"/>
        <v>4.4660011836996434E-4</v>
      </c>
      <c r="AB14" s="231">
        <f t="shared" si="18"/>
        <v>3.1372060187388785E-3</v>
      </c>
      <c r="AC14" s="228">
        <f t="shared" si="19"/>
        <v>4.7194401998479444E-4</v>
      </c>
      <c r="AD14" s="232">
        <f t="shared" si="20"/>
        <v>5.0106296601785623E-2</v>
      </c>
      <c r="AE14" s="233">
        <f t="shared" si="21"/>
        <v>4.782908100408382E-4</v>
      </c>
      <c r="AF14" s="231">
        <f t="shared" si="22"/>
        <v>3.9759884041701277E-3</v>
      </c>
      <c r="AG14" s="234">
        <f t="shared" si="23"/>
        <v>5.2125206238296505E-4</v>
      </c>
      <c r="AH14" s="231">
        <f t="shared" si="24"/>
        <v>5.5341331463199403E-2</v>
      </c>
      <c r="AI14" s="233">
        <f t="shared" si="25"/>
        <v>5.2537593025594217E-4</v>
      </c>
      <c r="AJ14" s="231">
        <f t="shared" si="26"/>
        <v>3.9027065215539078E-3</v>
      </c>
      <c r="AK14" s="234">
        <f t="shared" si="27"/>
        <v>5.1722391979403079E-4</v>
      </c>
      <c r="AL14" s="231">
        <f t="shared" si="28"/>
        <v>5.4913663564532249E-2</v>
      </c>
      <c r="AM14" s="233">
        <f t="shared" si="29"/>
        <v>5.2153758670802979E-4</v>
      </c>
      <c r="AN14" s="231">
        <f t="shared" si="30"/>
        <v>3.3397519053392803E-3</v>
      </c>
      <c r="AO14" s="234">
        <f t="shared" si="31"/>
        <v>4.845490521606158E-4</v>
      </c>
      <c r="AP14" s="231">
        <f t="shared" si="32"/>
        <v>5.1444572867892578E-2</v>
      </c>
      <c r="AQ14" s="233">
        <f t="shared" si="33"/>
        <v>4.903489317276083E-4</v>
      </c>
      <c r="AR14" s="231">
        <f t="shared" si="34"/>
        <v>2.3684382376938221E-3</v>
      </c>
      <c r="AS14" s="234">
        <f t="shared" si="35"/>
        <v>4.1879616892425954E-4</v>
      </c>
      <c r="AT14" s="231">
        <f t="shared" si="36"/>
        <v>4.4463589254688636E-2</v>
      </c>
      <c r="AU14" s="233">
        <f t="shared" si="37"/>
        <v>4.2727295969095634E-4</v>
      </c>
      <c r="AV14" s="231">
        <f t="shared" si="38"/>
        <v>1.778383279614728E-3</v>
      </c>
      <c r="AW14" s="234">
        <f t="shared" si="39"/>
        <v>3.7012852854246582E-4</v>
      </c>
      <c r="AX14" s="231">
        <f t="shared" si="40"/>
        <v>3.9296545875353597E-2</v>
      </c>
      <c r="AY14" s="233">
        <f t="shared" si="41"/>
        <v>3.8027812033713366E-4</v>
      </c>
      <c r="AZ14" s="231">
        <f t="shared" si="42"/>
        <v>1.4894559917699661E-3</v>
      </c>
      <c r="BA14" s="234">
        <f t="shared" si="43"/>
        <v>3.4258898967633286E-4</v>
      </c>
      <c r="BB14" s="231">
        <f t="shared" si="44"/>
        <v>3.6372673033936258E-2</v>
      </c>
      <c r="BC14" s="233">
        <f t="shared" si="45"/>
        <v>3.5355127921102807E-4</v>
      </c>
      <c r="BD14" s="284">
        <f t="shared" si="46"/>
        <v>5.2537593025594217E-4</v>
      </c>
      <c r="BE14" s="231">
        <f t="shared" si="47"/>
        <v>9.2657319912714392E-3</v>
      </c>
      <c r="BF14" s="234">
        <f t="shared" si="48"/>
        <v>7.3581706203604789E-4</v>
      </c>
      <c r="BG14" s="231">
        <f t="shared" si="53"/>
        <v>7.81216974763672E-2</v>
      </c>
      <c r="BH14" s="233">
        <f t="shared" si="49"/>
        <v>7.2807590530868805E-4</v>
      </c>
    </row>
    <row r="15" spans="1:60" s="277" customFormat="1" ht="14.4">
      <c r="A15" s="221" t="s">
        <v>1605</v>
      </c>
      <c r="B15" s="226" t="s">
        <v>591</v>
      </c>
      <c r="C15" s="227">
        <v>1.7000000000000001E-4</v>
      </c>
      <c r="D15" s="228">
        <v>34.082000000000001</v>
      </c>
      <c r="E15" s="229">
        <f>C15/D15</f>
        <v>4.9879701895428673E-6</v>
      </c>
      <c r="F15" s="227">
        <f t="shared" si="1"/>
        <v>7.2769694278607578E-4</v>
      </c>
      <c r="G15" s="235">
        <f>F15</f>
        <v>7.2769694278607578E-4</v>
      </c>
      <c r="H15" s="231">
        <f t="shared" si="3"/>
        <v>0.87674078035036096</v>
      </c>
      <c r="I15" s="236">
        <f t="shared" si="4"/>
        <v>0.19927079928310487</v>
      </c>
      <c r="J15" s="232">
        <f t="shared" si="57"/>
        <v>6.7915473811667804</v>
      </c>
      <c r="K15" s="233">
        <f t="shared" si="5"/>
        <v>6.598016964094533E-2</v>
      </c>
      <c r="L15" s="231">
        <f t="shared" si="6"/>
        <v>0.90560337857059026</v>
      </c>
      <c r="M15" s="228">
        <f t="shared" si="7"/>
        <v>0.19693269137948036</v>
      </c>
      <c r="N15" s="232">
        <f t="shared" si="58"/>
        <v>6.7118599875954494</v>
      </c>
      <c r="O15" s="233">
        <f t="shared" si="8"/>
        <v>6.5077517141680752E-2</v>
      </c>
      <c r="P15" s="231">
        <f t="shared" si="9"/>
        <v>0.95206815285707735</v>
      </c>
      <c r="Q15" s="228">
        <f t="shared" si="51"/>
        <v>0.19336060762811066</v>
      </c>
      <c r="R15" s="232">
        <f t="shared" si="10"/>
        <v>6.5901162291812678</v>
      </c>
      <c r="S15" s="233">
        <f t="shared" si="11"/>
        <v>6.3705191845353171E-2</v>
      </c>
      <c r="T15" s="231">
        <f t="shared" si="52"/>
        <v>1.0041294349034398</v>
      </c>
      <c r="U15" s="228">
        <f t="shared" si="54"/>
        <v>0.18961267172125174</v>
      </c>
      <c r="V15" s="232">
        <f t="shared" si="12"/>
        <v>6.4623790776037016</v>
      </c>
      <c r="W15" s="233">
        <f t="shared" si="13"/>
        <v>6.2273963602570849E-2</v>
      </c>
      <c r="X15" s="231">
        <f t="shared" si="14"/>
        <v>1.1029696697713109</v>
      </c>
      <c r="Y15" s="228">
        <f t="shared" si="15"/>
        <v>0.18313591178592728</v>
      </c>
      <c r="Z15" s="232">
        <f t="shared" si="16"/>
        <v>6.2416381454879737</v>
      </c>
      <c r="AA15" s="233">
        <f t="shared" si="17"/>
        <v>5.9821320796572597E-2</v>
      </c>
      <c r="AB15" s="231">
        <f t="shared" si="18"/>
        <v>1.1851728964318839</v>
      </c>
      <c r="AC15" s="228">
        <f t="shared" si="19"/>
        <v>0.1782908925260612</v>
      </c>
      <c r="AD15" s="232">
        <f t="shared" si="20"/>
        <v>6.0765101990732182</v>
      </c>
      <c r="AE15" s="233">
        <f t="shared" si="21"/>
        <v>5.8003468275333932E-2</v>
      </c>
      <c r="AF15" s="231">
        <f t="shared" si="22"/>
        <v>1.3098002110854348</v>
      </c>
      <c r="AG15" s="234">
        <f t="shared" si="23"/>
        <v>0.17171480194002911</v>
      </c>
      <c r="AH15" s="231">
        <f t="shared" si="24"/>
        <v>5.8523838797200725</v>
      </c>
      <c r="AI15" s="233">
        <f t="shared" si="25"/>
        <v>5.5558866108369881E-2</v>
      </c>
      <c r="AJ15" s="231">
        <f t="shared" si="26"/>
        <v>1.2995276318715203</v>
      </c>
      <c r="AK15" s="234">
        <f t="shared" si="27"/>
        <v>0.1722258058414341</v>
      </c>
      <c r="AL15" s="231">
        <f t="shared" si="28"/>
        <v>5.8697999146877571</v>
      </c>
      <c r="AM15" s="233">
        <f t="shared" si="29"/>
        <v>5.5747897394747933E-2</v>
      </c>
      <c r="AN15" s="231">
        <f t="shared" si="30"/>
        <v>1.2168028512514582</v>
      </c>
      <c r="AO15" s="234">
        <f t="shared" si="31"/>
        <v>0.17654025956168509</v>
      </c>
      <c r="AP15" s="231">
        <f t="shared" si="32"/>
        <v>6.0168451263813516</v>
      </c>
      <c r="AQ15" s="233">
        <f t="shared" si="33"/>
        <v>5.735014240798425E-2</v>
      </c>
      <c r="AR15" s="231">
        <f t="shared" si="34"/>
        <v>1.0534860584635053</v>
      </c>
      <c r="AS15" s="234">
        <f t="shared" si="35"/>
        <v>0.18628137237356568</v>
      </c>
      <c r="AT15" s="231">
        <f t="shared" si="36"/>
        <v>6.348841733235866</v>
      </c>
      <c r="AU15" s="233">
        <f t="shared" si="37"/>
        <v>6.1009208735507102E-2</v>
      </c>
      <c r="AV15" s="231">
        <f t="shared" si="38"/>
        <v>0.93516996097923955</v>
      </c>
      <c r="AW15" s="234">
        <f t="shared" si="39"/>
        <v>0.19463356721918121</v>
      </c>
      <c r="AX15" s="231">
        <f t="shared" si="40"/>
        <v>6.6335012379641345</v>
      </c>
      <c r="AY15" s="233">
        <f t="shared" si="41"/>
        <v>6.4193310781780047E-2</v>
      </c>
      <c r="AZ15" s="231">
        <f t="shared" si="42"/>
        <v>0.86911561215787858</v>
      </c>
      <c r="BA15" s="234">
        <f t="shared" si="43"/>
        <v>0.19990482506788967</v>
      </c>
      <c r="BB15" s="231">
        <f t="shared" si="44"/>
        <v>6.8131562479638159</v>
      </c>
      <c r="BC15" s="233">
        <f t="shared" si="45"/>
        <v>6.6225545334124003E-2</v>
      </c>
      <c r="BD15" s="284">
        <f t="shared" si="46"/>
        <v>6.6225545334124003E-2</v>
      </c>
      <c r="BE15" s="231">
        <f t="shared" si="47"/>
        <v>1.8818687749854106</v>
      </c>
      <c r="BF15" s="234">
        <f t="shared" si="48"/>
        <v>0.14944433472191676</v>
      </c>
      <c r="BG15" s="231">
        <f t="shared" si="53"/>
        <v>5.0933618159923668</v>
      </c>
      <c r="BH15" s="233">
        <f t="shared" si="49"/>
        <v>4.7468938016422005E-2</v>
      </c>
    </row>
    <row r="16" spans="1:60" s="277" customFormat="1" ht="14.4">
      <c r="A16" s="221"/>
      <c r="B16" s="226" t="s">
        <v>1631</v>
      </c>
      <c r="C16" s="227">
        <f>(1-SUM(C5:C15))/2</f>
        <v>0.494226</v>
      </c>
      <c r="D16" s="228">
        <v>188</v>
      </c>
      <c r="E16" s="229">
        <f>C16/D16</f>
        <v>2.6288617021276595E-3</v>
      </c>
      <c r="F16" s="230">
        <f t="shared" si="1"/>
        <v>0.38352567295936851</v>
      </c>
      <c r="G16" s="228">
        <f>F16</f>
        <v>0.38352567295936851</v>
      </c>
      <c r="H16" s="231">
        <f t="shared" si="3"/>
        <v>9.1788719443317152E-3</v>
      </c>
      <c r="I16" s="228">
        <f t="shared" si="4"/>
        <v>2.0862279819279252E-3</v>
      </c>
      <c r="J16" s="232">
        <f t="shared" si="57"/>
        <v>0.39221086060244992</v>
      </c>
      <c r="K16" s="233">
        <f t="shared" si="5"/>
        <v>3.8103450753110947E-3</v>
      </c>
      <c r="L16" s="231">
        <f t="shared" si="6"/>
        <v>9.8674224995941601E-3</v>
      </c>
      <c r="M16" s="228">
        <f t="shared" si="7"/>
        <v>2.1457716653958429E-3</v>
      </c>
      <c r="N16" s="232">
        <f>M16*$D16</f>
        <v>0.40340507309441848</v>
      </c>
      <c r="O16" s="233">
        <f t="shared" si="8"/>
        <v>3.9113748808619134E-3</v>
      </c>
      <c r="P16" s="231">
        <f t="shared" si="9"/>
        <v>1.1033993528337529E-2</v>
      </c>
      <c r="Q16" s="228">
        <f t="shared" si="51"/>
        <v>2.2409526952470895E-3</v>
      </c>
      <c r="R16" s="232">
        <f>Q16*$D16</f>
        <v>0.42129910670645282</v>
      </c>
      <c r="S16" s="233">
        <f t="shared" si="11"/>
        <v>4.0726050169140752E-3</v>
      </c>
      <c r="T16" s="231">
        <f t="shared" si="52"/>
        <v>1.2427133723032622E-2</v>
      </c>
      <c r="U16" s="228">
        <f t="shared" si="54"/>
        <v>2.3466516817008502E-3</v>
      </c>
      <c r="V16" s="232">
        <f t="shared" si="12"/>
        <v>0.44117051615975983</v>
      </c>
      <c r="W16" s="233">
        <f t="shared" si="13"/>
        <v>4.2512883159506075E-3</v>
      </c>
      <c r="X16" s="231">
        <f t="shared" si="14"/>
        <v>1.5326241329058778E-2</v>
      </c>
      <c r="Y16" s="228">
        <f t="shared" si="15"/>
        <v>2.5447528222877591E-3</v>
      </c>
      <c r="Z16" s="232">
        <f t="shared" si="16"/>
        <v>0.47841353059009872</v>
      </c>
      <c r="AA16" s="233">
        <f t="shared" si="17"/>
        <v>4.585227246398425E-3</v>
      </c>
      <c r="AB16" s="231">
        <f t="shared" si="18"/>
        <v>1.799539235004121E-2</v>
      </c>
      <c r="AC16" s="228">
        <f t="shared" si="19"/>
        <v>2.7071278571294093E-3</v>
      </c>
      <c r="AD16" s="232">
        <f t="shared" si="20"/>
        <v>0.50894003714032898</v>
      </c>
      <c r="AE16" s="233">
        <f t="shared" si="21"/>
        <v>4.8580988645125197E-3</v>
      </c>
      <c r="AF16" s="231">
        <f t="shared" si="22"/>
        <v>2.2498384963466529E-2</v>
      </c>
      <c r="AG16" s="234">
        <f t="shared" si="23"/>
        <v>2.9495381702302923E-3</v>
      </c>
      <c r="AH16" s="231">
        <f t="shared" si="24"/>
        <v>0.55451317600329497</v>
      </c>
      <c r="AI16" s="233">
        <f t="shared" si="25"/>
        <v>5.2642006973690871E-3</v>
      </c>
      <c r="AJ16" s="231">
        <f t="shared" si="26"/>
        <v>2.21061606059543E-2</v>
      </c>
      <c r="AK16" s="234">
        <f t="shared" si="27"/>
        <v>2.9297194080726203E-3</v>
      </c>
      <c r="AL16" s="231">
        <f t="shared" si="28"/>
        <v>0.55078724871765261</v>
      </c>
      <c r="AM16" s="233">
        <f t="shared" si="29"/>
        <v>5.2310524164571231E-3</v>
      </c>
      <c r="AN16" s="231">
        <f t="shared" si="30"/>
        <v>1.908577576690041E-2</v>
      </c>
      <c r="AO16" s="234">
        <f t="shared" si="31"/>
        <v>2.7690663317885447E-3</v>
      </c>
      <c r="AP16" s="231">
        <f t="shared" si="32"/>
        <v>0.52058447037624644</v>
      </c>
      <c r="AQ16" s="233">
        <f t="shared" si="33"/>
        <v>4.9620013286628389E-3</v>
      </c>
      <c r="AR16" s="231">
        <f t="shared" si="34"/>
        <v>1.3832881274590592E-2</v>
      </c>
      <c r="AS16" s="234">
        <f t="shared" si="35"/>
        <v>2.4459821627536033E-3</v>
      </c>
      <c r="AT16" s="231">
        <f t="shared" si="36"/>
        <v>0.45984464659767743</v>
      </c>
      <c r="AU16" s="233">
        <f t="shared" si="37"/>
        <v>4.4188781527373655E-3</v>
      </c>
      <c r="AV16" s="231">
        <f t="shared" si="38"/>
        <v>1.0601402942823321E-2</v>
      </c>
      <c r="AW16" s="234">
        <f t="shared" si="39"/>
        <v>2.2064319411297202E-3</v>
      </c>
      <c r="AX16" s="231">
        <f t="shared" si="40"/>
        <v>0.41480920493238738</v>
      </c>
      <c r="AY16" s="233">
        <f t="shared" si="41"/>
        <v>4.0141661623538244E-3</v>
      </c>
      <c r="AZ16" s="231">
        <f t="shared" si="42"/>
        <v>9.0015500646441274E-3</v>
      </c>
      <c r="BA16" s="234">
        <f t="shared" si="43"/>
        <v>2.0704417983526649E-3</v>
      </c>
      <c r="BB16" s="231">
        <f t="shared" si="44"/>
        <v>0.38924305809030102</v>
      </c>
      <c r="BC16" s="233">
        <f t="shared" si="45"/>
        <v>3.7835377395397723E-3</v>
      </c>
      <c r="BD16" s="284">
        <f t="shared" si="46"/>
        <v>5.2642006973690871E-3</v>
      </c>
      <c r="BE16" s="231">
        <f t="shared" si="47"/>
        <v>5.0550236366730165E-2</v>
      </c>
      <c r="BF16" s="234">
        <f t="shared" si="48"/>
        <v>4.0143322128931118E-3</v>
      </c>
      <c r="BG16" s="231">
        <f>BF16*$D16</f>
        <v>0.75469445602390506</v>
      </c>
      <c r="BH16" s="233">
        <f t="shared" si="49"/>
        <v>7.0335753964802881E-3</v>
      </c>
    </row>
    <row r="17" spans="1:60" s="277" customFormat="1" ht="14.4">
      <c r="A17" s="221"/>
      <c r="B17" s="226" t="s">
        <v>1632</v>
      </c>
      <c r="C17" s="227">
        <f>(1-SUM(C5:C15))/2</f>
        <v>0.494226</v>
      </c>
      <c r="D17" s="228">
        <v>120</v>
      </c>
      <c r="E17" s="229">
        <f>C17/D17</f>
        <v>4.1185500000000003E-3</v>
      </c>
      <c r="F17" s="230">
        <f t="shared" si="1"/>
        <v>0.60085688763634404</v>
      </c>
      <c r="G17" s="228">
        <f>F17</f>
        <v>0.60085688763634404</v>
      </c>
      <c r="H17" s="231">
        <f t="shared" si="3"/>
        <v>3.501043137885393</v>
      </c>
      <c r="I17" s="228">
        <f t="shared" si="4"/>
        <v>0.79573766847283689</v>
      </c>
      <c r="J17" s="232">
        <f t="shared" si="55"/>
        <v>95.488520216740426</v>
      </c>
      <c r="K17" s="233">
        <f t="shared" si="5"/>
        <v>0.92767500674948944</v>
      </c>
      <c r="L17" s="231">
        <f t="shared" si="6"/>
        <v>3.6694275220827248</v>
      </c>
      <c r="M17" s="228">
        <f t="shared" si="7"/>
        <v>0.79795444103388002</v>
      </c>
      <c r="N17" s="232">
        <f>M17*$D17</f>
        <v>95.7545329240656</v>
      </c>
      <c r="O17" s="233">
        <f t="shared" si="8"/>
        <v>0.92842628858114196</v>
      </c>
      <c r="P17" s="231">
        <f t="shared" si="9"/>
        <v>3.9456045923212808</v>
      </c>
      <c r="Q17" s="228">
        <f t="shared" si="51"/>
        <v>0.80133391621391159</v>
      </c>
      <c r="R17" s="232">
        <f>Q17*$D17</f>
        <v>96.160069945669392</v>
      </c>
      <c r="S17" s="233">
        <f t="shared" si="11"/>
        <v>0.92955806706803834</v>
      </c>
      <c r="T17" s="231">
        <f t="shared" si="52"/>
        <v>4.2623389616893261</v>
      </c>
      <c r="U17" s="228">
        <f t="shared" si="54"/>
        <v>0.80486982077685787</v>
      </c>
      <c r="V17" s="232">
        <f t="shared" si="12"/>
        <v>96.584378493222943</v>
      </c>
      <c r="W17" s="233">
        <f t="shared" si="13"/>
        <v>0.93072411856937753</v>
      </c>
      <c r="X17" s="231">
        <f t="shared" si="14"/>
        <v>4.8841203343230797</v>
      </c>
      <c r="Y17" s="228">
        <f t="shared" si="15"/>
        <v>0.81095414970377344</v>
      </c>
      <c r="Z17" s="232">
        <f t="shared" si="16"/>
        <v>97.314497964452812</v>
      </c>
      <c r="AA17" s="233">
        <f t="shared" si="17"/>
        <v>0.9326849242449663</v>
      </c>
      <c r="AB17" s="231">
        <f t="shared" si="18"/>
        <v>5.4208443398173918</v>
      </c>
      <c r="AC17" s="228">
        <f t="shared" si="19"/>
        <v>0.81548200984060992</v>
      </c>
      <c r="AD17" s="232">
        <f t="shared" si="20"/>
        <v>97.857841180873194</v>
      </c>
      <c r="AE17" s="233">
        <f t="shared" si="21"/>
        <v>0.93410428033069959</v>
      </c>
      <c r="AF17" s="231">
        <f t="shared" si="22"/>
        <v>6.2669074890617491</v>
      </c>
      <c r="AG17" s="234">
        <f t="shared" si="23"/>
        <v>0.82159154438442128</v>
      </c>
      <c r="AH17" s="231">
        <f t="shared" si="24"/>
        <v>98.59098532613055</v>
      </c>
      <c r="AI17" s="233">
        <f t="shared" si="25"/>
        <v>0.93596104866052432</v>
      </c>
      <c r="AJ17" s="231">
        <f t="shared" si="26"/>
        <v>6.1957383805330384</v>
      </c>
      <c r="AK17" s="234">
        <f t="shared" si="27"/>
        <v>0.82111838886662591</v>
      </c>
      <c r="AL17" s="231">
        <f t="shared" si="28"/>
        <v>98.534206663995107</v>
      </c>
      <c r="AM17" s="233">
        <f t="shared" si="29"/>
        <v>0.93581977628099278</v>
      </c>
      <c r="AN17" s="231">
        <f t="shared" si="30"/>
        <v>5.6319449476572228</v>
      </c>
      <c r="AO17" s="234">
        <f t="shared" si="31"/>
        <v>0.81711266691555229</v>
      </c>
      <c r="AP17" s="231">
        <f t="shared" si="32"/>
        <v>98.053520029866277</v>
      </c>
      <c r="AQ17" s="233">
        <f t="shared" si="33"/>
        <v>0.93460662842405251</v>
      </c>
      <c r="AR17" s="231">
        <f t="shared" si="34"/>
        <v>4.5695416670019888</v>
      </c>
      <c r="AS17" s="234">
        <f t="shared" si="35"/>
        <v>0.80800356683297236</v>
      </c>
      <c r="AT17" s="231">
        <f t="shared" si="36"/>
        <v>96.96042801995668</v>
      </c>
      <c r="AU17" s="233">
        <f t="shared" si="37"/>
        <v>0.93174144839465989</v>
      </c>
      <c r="AV17" s="231">
        <f t="shared" si="38"/>
        <v>3.8444454171335605</v>
      </c>
      <c r="AW17" s="234">
        <f t="shared" si="39"/>
        <v>0.80013062516744915</v>
      </c>
      <c r="AX17" s="231">
        <f t="shared" si="40"/>
        <v>96.015675020093894</v>
      </c>
      <c r="AY17" s="233">
        <f t="shared" si="41"/>
        <v>0.92915699347618141</v>
      </c>
      <c r="AZ17" s="231">
        <f t="shared" si="42"/>
        <v>3.4569703066133584</v>
      </c>
      <c r="BA17" s="234">
        <f t="shared" si="43"/>
        <v>0.79513592293276791</v>
      </c>
      <c r="BB17" s="231">
        <f t="shared" si="44"/>
        <v>95.416310751932144</v>
      </c>
      <c r="BC17" s="233">
        <f t="shared" si="45"/>
        <v>0.9274698808214541</v>
      </c>
      <c r="BD17" s="284">
        <f t="shared" si="46"/>
        <v>0.93596104866052432</v>
      </c>
      <c r="BE17" s="231">
        <f t="shared" si="47"/>
        <v>10.6015107839079</v>
      </c>
      <c r="BF17" s="234">
        <f t="shared" si="48"/>
        <v>0.84189490107280462</v>
      </c>
      <c r="BG17" s="231">
        <f t="shared" si="53"/>
        <v>101.02738812873656</v>
      </c>
      <c r="BH17" s="233">
        <f t="shared" si="49"/>
        <v>0.94155157208474094</v>
      </c>
    </row>
    <row r="18" spans="1:60" s="277" customFormat="1" ht="14.4">
      <c r="A18" s="221"/>
      <c r="B18" s="237"/>
      <c r="C18" s="238"/>
      <c r="D18" s="239">
        <f>SUMPRODUCT(C5:D17)/SUM(C5:C17)</f>
        <v>1404.6591000000001</v>
      </c>
      <c r="E18" s="240">
        <f>SUM(E5:E17)</f>
        <v>6.8544608287700376E-3</v>
      </c>
      <c r="F18" s="241">
        <f>SUM(F5:F17)</f>
        <v>1</v>
      </c>
      <c r="G18" s="239">
        <f t="shared" si="2"/>
        <v>1</v>
      </c>
      <c r="H18" s="242">
        <f>SUM(H5:H17)</f>
        <v>4.3997453892116507</v>
      </c>
      <c r="I18" s="239">
        <f>SUM(I5:I17)</f>
        <v>1.0000000000000002</v>
      </c>
      <c r="J18" s="243">
        <f t="shared" ref="J18:BH18" si="59">SUM(J5:J17)</f>
        <v>102.93316034386412</v>
      </c>
      <c r="K18" s="241">
        <f t="shared" si="59"/>
        <v>1</v>
      </c>
      <c r="L18" s="242">
        <f t="shared" si="59"/>
        <v>4.5985426402645038</v>
      </c>
      <c r="M18" s="239">
        <f t="shared" si="59"/>
        <v>1</v>
      </c>
      <c r="N18" s="243">
        <f>SUM(N5:N17)</f>
        <v>103.13638691812733</v>
      </c>
      <c r="O18" s="241">
        <f t="shared" si="59"/>
        <v>1</v>
      </c>
      <c r="P18" s="242">
        <f t="shared" si="59"/>
        <v>4.9237958265428317</v>
      </c>
      <c r="Q18" s="239">
        <f t="shared" si="59"/>
        <v>1</v>
      </c>
      <c r="R18" s="243">
        <f t="shared" si="59"/>
        <v>103.44708238504376</v>
      </c>
      <c r="S18" s="241">
        <f t="shared" si="59"/>
        <v>1</v>
      </c>
      <c r="T18" s="242">
        <f>SUM(T5:T17)</f>
        <v>5.2956873915030505</v>
      </c>
      <c r="U18" s="239">
        <f>SUM(U5:U17)</f>
        <v>1</v>
      </c>
      <c r="V18" s="243">
        <f t="shared" ref="V18:W18" si="60">SUM(V5:V17)</f>
        <v>103.77337018157803</v>
      </c>
      <c r="W18" s="241">
        <f t="shared" si="60"/>
        <v>1</v>
      </c>
      <c r="X18" s="242">
        <f t="shared" si="59"/>
        <v>6.0226836943952486</v>
      </c>
      <c r="Y18" s="239">
        <f t="shared" si="59"/>
        <v>1</v>
      </c>
      <c r="Z18" s="243">
        <f t="shared" si="59"/>
        <v>104.33801966213996</v>
      </c>
      <c r="AA18" s="241">
        <f t="shared" si="59"/>
        <v>1</v>
      </c>
      <c r="AB18" s="242">
        <f t="shared" si="59"/>
        <v>6.6474113155199133</v>
      </c>
      <c r="AC18" s="239">
        <f t="shared" si="59"/>
        <v>1</v>
      </c>
      <c r="AD18" s="243">
        <f t="shared" si="59"/>
        <v>104.76115273364204</v>
      </c>
      <c r="AE18" s="241">
        <f t="shared" si="59"/>
        <v>1</v>
      </c>
      <c r="AF18" s="242">
        <f t="shared" si="59"/>
        <v>7.6277653195143813</v>
      </c>
      <c r="AG18" s="239">
        <f t="shared" si="59"/>
        <v>1</v>
      </c>
      <c r="AH18" s="243">
        <f t="shared" si="59"/>
        <v>105.33663283020849</v>
      </c>
      <c r="AI18" s="241">
        <f t="shared" si="59"/>
        <v>1</v>
      </c>
      <c r="AJ18" s="242">
        <f t="shared" si="59"/>
        <v>7.5454873067510988</v>
      </c>
      <c r="AK18" s="239">
        <f t="shared" si="59"/>
        <v>1</v>
      </c>
      <c r="AL18" s="243">
        <f t="shared" si="59"/>
        <v>105.29186191766144</v>
      </c>
      <c r="AM18" s="241">
        <f t="shared" si="59"/>
        <v>1</v>
      </c>
      <c r="AN18" s="242">
        <f t="shared" si="59"/>
        <v>6.892494971246454</v>
      </c>
      <c r="AO18" s="239">
        <f t="shared" si="59"/>
        <v>1</v>
      </c>
      <c r="AP18" s="243">
        <f t="shared" si="59"/>
        <v>104.91421422422989</v>
      </c>
      <c r="AQ18" s="241">
        <f t="shared" si="59"/>
        <v>1</v>
      </c>
      <c r="AR18" s="242">
        <f t="shared" si="59"/>
        <v>5.6553483852956656</v>
      </c>
      <c r="AS18" s="239">
        <f t="shared" si="59"/>
        <v>1</v>
      </c>
      <c r="AT18" s="243">
        <f t="shared" si="59"/>
        <v>104.0636629260341</v>
      </c>
      <c r="AU18" s="241">
        <f t="shared" si="59"/>
        <v>1</v>
      </c>
      <c r="AV18" s="242">
        <f t="shared" si="59"/>
        <v>4.8047722411937492</v>
      </c>
      <c r="AW18" s="239">
        <f t="shared" si="59"/>
        <v>1</v>
      </c>
      <c r="AX18" s="243">
        <f t="shared" si="59"/>
        <v>103.33633142110685</v>
      </c>
      <c r="AY18" s="241">
        <f t="shared" si="59"/>
        <v>1</v>
      </c>
      <c r="AZ18" s="242">
        <f t="shared" si="59"/>
        <v>4.3476469958277306</v>
      </c>
      <c r="BA18" s="239">
        <f t="shared" si="59"/>
        <v>1</v>
      </c>
      <c r="BB18" s="243">
        <f t="shared" si="59"/>
        <v>102.87806938530719</v>
      </c>
      <c r="BC18" s="241">
        <f t="shared" si="59"/>
        <v>1</v>
      </c>
      <c r="BD18" s="285">
        <f>SUM(BD5:BD17)</f>
        <v>1.0106666792257541</v>
      </c>
      <c r="BE18" s="242">
        <f t="shared" si="59"/>
        <v>12.592439709990726</v>
      </c>
      <c r="BF18" s="239">
        <f t="shared" si="59"/>
        <v>0.99999999999999989</v>
      </c>
      <c r="BG18" s="243">
        <f t="shared" si="59"/>
        <v>107.29883643552979</v>
      </c>
      <c r="BH18" s="241">
        <f t="shared" si="59"/>
        <v>1</v>
      </c>
    </row>
    <row r="19" spans="1:60" s="277" customFormat="1" ht="14.4">
      <c r="A19" s="221" t="s">
        <v>1633</v>
      </c>
      <c r="B19" s="244"/>
      <c r="C19" s="221"/>
      <c r="D19" s="221"/>
      <c r="E19" s="221"/>
      <c r="F19" s="221"/>
      <c r="G19" s="221"/>
      <c r="H19" s="245">
        <f>H18/101.325*14.696</f>
        <v>0.6381313421155137</v>
      </c>
      <c r="I19" s="246" t="s">
        <v>1634</v>
      </c>
      <c r="J19" s="247"/>
      <c r="K19" s="248"/>
      <c r="L19" s="245">
        <f>L18/101.325*14.696</f>
        <v>0.66696454617643375</v>
      </c>
      <c r="M19" s="246" t="s">
        <v>1634</v>
      </c>
      <c r="N19" s="247"/>
      <c r="O19" s="248"/>
      <c r="P19" s="245">
        <f>P18/101.325*14.696</f>
        <v>0.71413869693435439</v>
      </c>
      <c r="Q19" s="246" t="s">
        <v>1634</v>
      </c>
      <c r="R19" s="247"/>
      <c r="S19" s="248"/>
      <c r="T19" s="245">
        <f>T18/101.325*14.696</f>
        <v>0.76807719620556458</v>
      </c>
      <c r="U19" s="246" t="s">
        <v>1634</v>
      </c>
      <c r="V19" s="247"/>
      <c r="W19" s="248"/>
      <c r="X19" s="245">
        <f>X18/101.325*14.696</f>
        <v>0.87351946284562121</v>
      </c>
      <c r="Y19" s="246" t="s">
        <v>1634</v>
      </c>
      <c r="Z19" s="247"/>
      <c r="AA19" s="248"/>
      <c r="AB19" s="245">
        <f>AB18/101.325*14.696</f>
        <v>0.96412885953990268</v>
      </c>
      <c r="AC19" s="246" t="s">
        <v>1634</v>
      </c>
      <c r="AD19" s="247"/>
      <c r="AE19" s="248"/>
      <c r="AF19" s="245">
        <f>AF18/101.325*14.696</f>
        <v>1.1063176820684268</v>
      </c>
      <c r="AG19" s="246" t="s">
        <v>1634</v>
      </c>
      <c r="AH19" s="247"/>
      <c r="AI19" s="248"/>
      <c r="AJ19" s="245">
        <f>AJ18/101.325*14.696</f>
        <v>1.0943842236369519</v>
      </c>
      <c r="AK19" s="246" t="s">
        <v>1634</v>
      </c>
      <c r="AL19" s="247"/>
      <c r="AM19" s="248"/>
      <c r="AN19" s="245">
        <f>AN18/101.325*14.696</f>
        <v>0.99967536242228361</v>
      </c>
      <c r="AO19" s="246" t="s">
        <v>1634</v>
      </c>
      <c r="AP19" s="247"/>
      <c r="AQ19" s="248"/>
      <c r="AR19" s="245">
        <f>AR18/101.325*14.696</f>
        <v>0.8202417949203562</v>
      </c>
      <c r="AS19" s="246" t="s">
        <v>1634</v>
      </c>
      <c r="AT19" s="247"/>
      <c r="AU19" s="248"/>
      <c r="AV19" s="245">
        <f>AV18/101.325*14.696</f>
        <v>0.69687572520684271</v>
      </c>
      <c r="AW19" s="246" t="s">
        <v>1634</v>
      </c>
      <c r="AX19" s="247"/>
      <c r="AY19" s="248"/>
      <c r="AZ19" s="245">
        <f>AZ18/101.325*14.696</f>
        <v>0.63057508266157736</v>
      </c>
      <c r="BA19" s="246" t="s">
        <v>1634</v>
      </c>
      <c r="BB19" s="247"/>
      <c r="BC19" s="248"/>
      <c r="BD19" s="288"/>
      <c r="BE19" s="245">
        <f>BE18/101.325*14.696</f>
        <v>1.8263853341033676</v>
      </c>
      <c r="BF19" s="246" t="s">
        <v>1634</v>
      </c>
      <c r="BG19" s="247"/>
      <c r="BH19" s="248"/>
    </row>
    <row r="20" spans="1:60" s="277" customFormat="1" ht="14.4">
      <c r="A20" s="221" t="s">
        <v>1635</v>
      </c>
      <c r="B20" s="221"/>
      <c r="C20" s="221"/>
      <c r="D20" s="221"/>
      <c r="E20" s="221"/>
      <c r="F20" s="221"/>
      <c r="G20" s="221"/>
      <c r="H20" s="221"/>
      <c r="I20" s="221"/>
      <c r="J20" s="221"/>
      <c r="K20" s="221"/>
      <c r="L20" s="221"/>
      <c r="M20" s="221"/>
      <c r="N20" s="221"/>
      <c r="BD20" s="289"/>
    </row>
    <row r="21" spans="1:60" s="277" customFormat="1" ht="14.4">
      <c r="A21" s="221"/>
      <c r="B21" s="221"/>
      <c r="C21" s="221"/>
      <c r="D21" s="221"/>
      <c r="E21" s="221"/>
      <c r="F21" s="221"/>
      <c r="G21" s="221"/>
      <c r="H21" s="221"/>
      <c r="I21" s="221"/>
      <c r="J21" s="221"/>
      <c r="K21" s="221"/>
      <c r="L21" s="221"/>
      <c r="M21" s="221"/>
      <c r="N21" s="221"/>
      <c r="BD21" s="289"/>
    </row>
    <row r="22" spans="1:60" s="277" customFormat="1" ht="14.4">
      <c r="A22" s="221"/>
      <c r="B22" s="221"/>
      <c r="C22" s="221"/>
      <c r="D22" s="221"/>
      <c r="E22" s="221"/>
      <c r="F22" s="221"/>
      <c r="G22" s="221"/>
      <c r="H22" s="221"/>
      <c r="I22" s="221"/>
      <c r="J22" s="221"/>
      <c r="K22" s="221"/>
      <c r="L22" s="221"/>
      <c r="M22" s="221"/>
      <c r="N22" s="221"/>
      <c r="T22" s="277" t="s">
        <v>1659</v>
      </c>
      <c r="BD22" s="289"/>
    </row>
    <row r="23" spans="1:60" s="277" customFormat="1" ht="18" customHeight="1">
      <c r="A23" s="221"/>
      <c r="C23" s="325" t="s">
        <v>1636</v>
      </c>
      <c r="D23" s="326"/>
      <c r="E23" s="247"/>
      <c r="F23" s="247"/>
      <c r="G23" s="248" t="s">
        <v>1637</v>
      </c>
      <c r="H23" s="278">
        <v>501.4</v>
      </c>
      <c r="I23" s="279">
        <v>503.45</v>
      </c>
      <c r="J23" s="279">
        <v>506.65</v>
      </c>
      <c r="K23" s="279">
        <v>510.09999999999997</v>
      </c>
      <c r="L23" s="279">
        <v>516.29999999999995</v>
      </c>
      <c r="M23" s="279">
        <v>521.15</v>
      </c>
      <c r="N23" s="279">
        <v>528.04999999999995</v>
      </c>
      <c r="O23" s="279">
        <v>527.5</v>
      </c>
      <c r="P23" s="279">
        <v>522.95000000000005</v>
      </c>
      <c r="Q23" s="279">
        <v>513.25</v>
      </c>
      <c r="R23" s="279">
        <v>505.5</v>
      </c>
      <c r="S23" s="279">
        <v>500.85</v>
      </c>
      <c r="T23" s="280">
        <f>459.67+95</f>
        <v>554.67000000000007</v>
      </c>
      <c r="BD23" s="289"/>
    </row>
    <row r="24" spans="1:60" s="277" customFormat="1" ht="14.4">
      <c r="A24" s="221"/>
      <c r="C24" s="226" t="s">
        <v>1638</v>
      </c>
      <c r="D24" s="327"/>
      <c r="E24" s="327"/>
      <c r="F24" s="327"/>
      <c r="G24" s="327" t="s">
        <v>1639</v>
      </c>
      <c r="H24" s="328">
        <f>CONVERT(H23,"Rank", "C")</f>
        <v>5.4055555555555657</v>
      </c>
      <c r="I24" s="328">
        <f t="shared" ref="I24:P24" si="61">CONVERT(I23,"Rank", "C")</f>
        <v>6.5444444444444798</v>
      </c>
      <c r="J24" s="328">
        <f t="shared" si="61"/>
        <v>8.3222222222222513</v>
      </c>
      <c r="K24" s="328">
        <f t="shared" si="61"/>
        <v>10.23888888888888</v>
      </c>
      <c r="L24" s="328">
        <f t="shared" si="61"/>
        <v>13.683333333333337</v>
      </c>
      <c r="M24" s="328">
        <f t="shared" si="61"/>
        <v>16.377777777777794</v>
      </c>
      <c r="N24" s="328">
        <f t="shared" si="61"/>
        <v>20.211111111111109</v>
      </c>
      <c r="O24" s="328">
        <f t="shared" si="61"/>
        <v>19.905555555555566</v>
      </c>
      <c r="P24" s="328">
        <f t="shared" si="61"/>
        <v>17.377777777777794</v>
      </c>
      <c r="Q24" s="328">
        <f>CONVERT(Q23,"Rank", "C")</f>
        <v>11.98888888888888</v>
      </c>
      <c r="R24" s="328">
        <f>CONVERT(R23,"Rank", "C")</f>
        <v>7.6833333333333371</v>
      </c>
      <c r="S24" s="328">
        <f>CONVERT(S23,"Rank", "C")</f>
        <v>5.1000000000000227</v>
      </c>
      <c r="T24" s="329">
        <f>CONVERT(T23,"Rank", "C")</f>
        <v>35.000000000000057</v>
      </c>
      <c r="BD24" s="289"/>
    </row>
    <row r="25" spans="1:60" s="277" customFormat="1" ht="14.4">
      <c r="A25" s="221"/>
      <c r="C25" s="226" t="s">
        <v>1641</v>
      </c>
      <c r="D25" s="327"/>
      <c r="E25" s="327"/>
      <c r="F25" s="327"/>
      <c r="G25" s="327" t="s">
        <v>1634</v>
      </c>
      <c r="H25" s="330">
        <f>H19</f>
        <v>0.6381313421155137</v>
      </c>
      <c r="I25" s="330">
        <f>L19</f>
        <v>0.66696454617643375</v>
      </c>
      <c r="J25" s="330">
        <f>P19</f>
        <v>0.71413869693435439</v>
      </c>
      <c r="K25" s="330">
        <f>T19</f>
        <v>0.76807719620556458</v>
      </c>
      <c r="L25" s="330">
        <f>X19</f>
        <v>0.87351946284562121</v>
      </c>
      <c r="M25" s="330">
        <f>AB19</f>
        <v>0.96412885953990268</v>
      </c>
      <c r="N25" s="330">
        <f>AF19</f>
        <v>1.1063176820684268</v>
      </c>
      <c r="O25" s="330">
        <f>AJ19</f>
        <v>1.0943842236369519</v>
      </c>
      <c r="P25" s="330">
        <f>AN19</f>
        <v>0.99967536242228361</v>
      </c>
      <c r="Q25" s="330">
        <f>AR19</f>
        <v>0.8202417949203562</v>
      </c>
      <c r="R25" s="330">
        <f>AV19</f>
        <v>0.69687572520684271</v>
      </c>
      <c r="S25" s="330">
        <f>AZ19</f>
        <v>0.63057508266157736</v>
      </c>
      <c r="T25" s="331" t="str">
        <f>BA19</f>
        <v>psi</v>
      </c>
      <c r="BD25" s="289"/>
    </row>
    <row r="26" spans="1:60" s="277" customFormat="1" ht="14.4">
      <c r="A26" s="221"/>
      <c r="B26" s="221"/>
      <c r="C26" s="226" t="s">
        <v>1677</v>
      </c>
      <c r="D26" s="327"/>
      <c r="E26" s="327"/>
      <c r="F26" s="327"/>
      <c r="G26" s="327" t="s">
        <v>1643</v>
      </c>
      <c r="H26" s="332">
        <f>J18</f>
        <v>102.93316034386412</v>
      </c>
      <c r="I26" s="332">
        <f>N18</f>
        <v>103.13638691812733</v>
      </c>
      <c r="J26" s="332">
        <f>R18</f>
        <v>103.44708238504376</v>
      </c>
      <c r="K26" s="332">
        <f>V18</f>
        <v>103.77337018157803</v>
      </c>
      <c r="L26" s="332">
        <f>Z18</f>
        <v>104.33801966213996</v>
      </c>
      <c r="M26" s="332">
        <f>AD18</f>
        <v>104.76115273364204</v>
      </c>
      <c r="N26" s="332">
        <f>AH18</f>
        <v>105.33663283020849</v>
      </c>
      <c r="O26" s="332">
        <f>AL18</f>
        <v>105.29186191766144</v>
      </c>
      <c r="P26" s="332">
        <f>AP18</f>
        <v>104.91421422422989</v>
      </c>
      <c r="Q26" s="332">
        <f>AT18</f>
        <v>104.0636629260341</v>
      </c>
      <c r="R26" s="332">
        <f>AX18</f>
        <v>103.33633142110685</v>
      </c>
      <c r="S26" s="333">
        <f>BB18</f>
        <v>102.87806938530719</v>
      </c>
      <c r="T26" s="334">
        <f>BC18</f>
        <v>1</v>
      </c>
      <c r="BD26" s="289"/>
    </row>
    <row r="27" spans="1:60" s="277" customFormat="1" ht="18" customHeight="1">
      <c r="A27" s="221"/>
      <c r="B27" s="222" t="s">
        <v>1644</v>
      </c>
      <c r="C27" s="221"/>
      <c r="D27" s="221"/>
      <c r="E27" s="221"/>
      <c r="F27" s="221"/>
      <c r="G27" s="221"/>
      <c r="H27" s="221"/>
      <c r="I27" s="221"/>
      <c r="J27" s="221"/>
      <c r="K27" s="221"/>
      <c r="L27" s="221"/>
      <c r="M27" s="221"/>
      <c r="N27" s="221"/>
      <c r="T27" s="281"/>
      <c r="BD27" s="289"/>
    </row>
    <row r="28" spans="1:60" s="277" customFormat="1" ht="16.2">
      <c r="A28" s="221"/>
      <c r="B28" s="393" t="s">
        <v>1621</v>
      </c>
      <c r="C28" s="395" t="s">
        <v>1645</v>
      </c>
      <c r="D28" s="396"/>
      <c r="E28" s="397"/>
      <c r="F28" s="222"/>
      <c r="G28" s="222"/>
      <c r="H28" s="221"/>
      <c r="I28" s="221"/>
      <c r="J28" s="221"/>
      <c r="K28" s="221"/>
      <c r="L28" s="221"/>
      <c r="M28" s="221"/>
      <c r="N28" s="221"/>
      <c r="T28" s="281"/>
      <c r="BD28" s="289"/>
    </row>
    <row r="29" spans="1:60" s="277" customFormat="1" ht="14.4">
      <c r="A29" s="221"/>
      <c r="B29" s="394"/>
      <c r="C29" s="224" t="s">
        <v>1646</v>
      </c>
      <c r="D29" s="224" t="s">
        <v>1647</v>
      </c>
      <c r="E29" s="224" t="s">
        <v>1640</v>
      </c>
      <c r="F29" s="320"/>
      <c r="G29" s="320"/>
      <c r="H29" s="249" t="s">
        <v>1642</v>
      </c>
      <c r="I29" s="249" t="s">
        <v>1642</v>
      </c>
      <c r="J29" s="249" t="s">
        <v>1642</v>
      </c>
      <c r="K29" s="249" t="s">
        <v>1642</v>
      </c>
      <c r="L29" s="249" t="s">
        <v>1642</v>
      </c>
      <c r="M29" s="249" t="s">
        <v>1642</v>
      </c>
      <c r="N29" s="249" t="s">
        <v>1642</v>
      </c>
      <c r="O29" s="249" t="s">
        <v>1642</v>
      </c>
      <c r="P29" s="249" t="s">
        <v>1642</v>
      </c>
      <c r="Q29" s="249" t="s">
        <v>1642</v>
      </c>
      <c r="R29" s="249" t="s">
        <v>1642</v>
      </c>
      <c r="S29" s="249" t="s">
        <v>1642</v>
      </c>
      <c r="T29" s="257" t="s">
        <v>1642</v>
      </c>
      <c r="BD29" s="289"/>
    </row>
    <row r="30" spans="1:60" s="277" customFormat="1" ht="14.4">
      <c r="A30" s="221" t="s">
        <v>1595</v>
      </c>
      <c r="B30" s="226" t="s">
        <v>88</v>
      </c>
      <c r="C30" s="228">
        <v>4.1933999999999996</v>
      </c>
      <c r="D30" s="228">
        <v>1840.268</v>
      </c>
      <c r="E30" s="228">
        <v>-74.754999999999995</v>
      </c>
      <c r="F30" s="321"/>
      <c r="G30" s="322"/>
      <c r="H30" s="250">
        <f>(10^($C30-($D30/($E30+H$24+273.15))))*100</f>
        <v>1.4576401641250485E-3</v>
      </c>
      <c r="I30" s="250">
        <f t="shared" ref="I30:T30" si="62">(10^($C30-($D30/($E30+I$24+273.15))))*100</f>
        <v>1.6361775343202132E-3</v>
      </c>
      <c r="J30" s="250">
        <f t="shared" si="62"/>
        <v>1.9545876190934066E-3</v>
      </c>
      <c r="K30" s="250">
        <f t="shared" si="62"/>
        <v>2.3596018593913491E-3</v>
      </c>
      <c r="L30" s="250">
        <f t="shared" si="62"/>
        <v>3.2816843222575488E-3</v>
      </c>
      <c r="M30" s="250">
        <f t="shared" si="62"/>
        <v>4.2165612863179318E-3</v>
      </c>
      <c r="N30" s="250">
        <f t="shared" si="62"/>
        <v>5.9594885093456782E-3</v>
      </c>
      <c r="O30" s="250">
        <f t="shared" si="62"/>
        <v>5.79997383602262E-3</v>
      </c>
      <c r="P30" s="250">
        <f t="shared" si="62"/>
        <v>4.6202864476624656E-3</v>
      </c>
      <c r="Q30" s="250">
        <f t="shared" si="62"/>
        <v>2.7938898666305255E-3</v>
      </c>
      <c r="R30" s="250">
        <f t="shared" si="62"/>
        <v>1.834238837918428E-3</v>
      </c>
      <c r="S30" s="250">
        <f t="shared" si="62"/>
        <v>1.4128361890848303E-3</v>
      </c>
      <c r="T30" s="258">
        <f t="shared" si="62"/>
        <v>2.0352650614644818E-2</v>
      </c>
      <c r="BD30" s="289"/>
    </row>
    <row r="31" spans="1:60" s="277" customFormat="1" ht="14.4">
      <c r="A31" s="221" t="s">
        <v>1596</v>
      </c>
      <c r="B31" s="226" t="s">
        <v>693</v>
      </c>
      <c r="C31" s="228">
        <v>7.1459999999999999</v>
      </c>
      <c r="D31" s="228">
        <v>1831.6</v>
      </c>
      <c r="E31" s="228">
        <v>211.82</v>
      </c>
      <c r="F31" s="322"/>
      <c r="G31" s="322"/>
      <c r="H31" s="251">
        <f>(10^($C31-($D31/(H$24+$E31))))*0.13332239</f>
        <v>6.9042152050860584E-3</v>
      </c>
      <c r="I31" s="251">
        <f t="shared" ref="I31:T31" si="63">(10^($C31-($D31/(I$24+$E31))))*0.13332239</f>
        <v>7.6399526462368559E-3</v>
      </c>
      <c r="J31" s="251">
        <f t="shared" si="63"/>
        <v>8.9295007873999854E-3</v>
      </c>
      <c r="K31" s="251">
        <f t="shared" si="63"/>
        <v>1.05351474289654E-2</v>
      </c>
      <c r="L31" s="251">
        <f t="shared" si="63"/>
        <v>1.4080837129767864E-2</v>
      </c>
      <c r="M31" s="251">
        <f t="shared" si="63"/>
        <v>1.7560311016553275E-2</v>
      </c>
      <c r="N31" s="251">
        <f t="shared" si="63"/>
        <v>2.3830549440803515E-2</v>
      </c>
      <c r="O31" s="251">
        <f t="shared" si="63"/>
        <v>2.3266189204969489E-2</v>
      </c>
      <c r="P31" s="251">
        <f t="shared" si="63"/>
        <v>1.9034944430265103E-2</v>
      </c>
      <c r="Q31" s="251">
        <f t="shared" si="63"/>
        <v>1.222180058119679E-2</v>
      </c>
      <c r="R31" s="251">
        <f t="shared" si="63"/>
        <v>8.4452142666969557E-3</v>
      </c>
      <c r="S31" s="251">
        <f t="shared" si="63"/>
        <v>6.717957048310623E-3</v>
      </c>
      <c r="T31" s="259">
        <f t="shared" si="63"/>
        <v>7.0812611343001652E-2</v>
      </c>
      <c r="BD31" s="289"/>
    </row>
    <row r="32" spans="1:60" s="277" customFormat="1" ht="14.4">
      <c r="A32" s="221" t="s">
        <v>1597</v>
      </c>
      <c r="B32" s="226" t="s">
        <v>814</v>
      </c>
      <c r="C32" s="228">
        <v>7.1219999999999999</v>
      </c>
      <c r="D32" s="228">
        <v>1509.7</v>
      </c>
      <c r="E32" s="228">
        <v>174.2</v>
      </c>
      <c r="F32" s="322"/>
      <c r="G32" s="322"/>
      <c r="H32" s="251">
        <f t="shared" ref="H32:T39" si="64">(10^($C32-($D32/(H$24+$E32))))*0.13332239</f>
        <v>6.9384281787666612E-3</v>
      </c>
      <c r="I32" s="251">
        <f t="shared" si="64"/>
        <v>7.8383723690375277E-3</v>
      </c>
      <c r="J32" s="251">
        <f t="shared" si="64"/>
        <v>9.4532574526249163E-3</v>
      </c>
      <c r="K32" s="251">
        <f t="shared" si="64"/>
        <v>1.1522217296728978E-2</v>
      </c>
      <c r="L32" s="251">
        <f t="shared" si="64"/>
        <v>1.6277866897638157E-2</v>
      </c>
      <c r="M32" s="251">
        <f t="shared" si="64"/>
        <v>2.1144771539793265E-2</v>
      </c>
      <c r="N32" s="251">
        <f t="shared" si="64"/>
        <v>3.0297056221309508E-2</v>
      </c>
      <c r="O32" s="251">
        <f t="shared" si="64"/>
        <v>2.9456164395890626E-2</v>
      </c>
      <c r="P32" s="251">
        <f t="shared" si="64"/>
        <v>2.3256951277152452E-2</v>
      </c>
      <c r="Q32" s="251">
        <f t="shared" si="64"/>
        <v>1.3755323019181701E-2</v>
      </c>
      <c r="R32" s="251">
        <f t="shared" si="64"/>
        <v>8.8415293252461901E-3</v>
      </c>
      <c r="S32" s="251">
        <f t="shared" si="64"/>
        <v>6.7133077101191579E-3</v>
      </c>
      <c r="T32" s="259">
        <f t="shared" si="64"/>
        <v>0.10724175029166769</v>
      </c>
      <c r="BD32" s="289"/>
    </row>
    <row r="33" spans="1:57" s="277" customFormat="1" ht="14.4">
      <c r="A33" s="221" t="s">
        <v>1598</v>
      </c>
      <c r="B33" s="226" t="s">
        <v>313</v>
      </c>
      <c r="C33" s="228">
        <v>6.843</v>
      </c>
      <c r="D33" s="228">
        <v>1391.3</v>
      </c>
      <c r="E33" s="228">
        <v>160.18</v>
      </c>
      <c r="F33" s="322"/>
      <c r="G33" s="322"/>
      <c r="H33" s="251">
        <f t="shared" si="64"/>
        <v>3.6779019917354784E-3</v>
      </c>
      <c r="I33" s="251">
        <f t="shared" si="64"/>
        <v>4.197551097219282E-3</v>
      </c>
      <c r="J33" s="251">
        <f t="shared" si="64"/>
        <v>5.1408944865466381E-3</v>
      </c>
      <c r="K33" s="251">
        <f t="shared" si="64"/>
        <v>6.3665179664831916E-3</v>
      </c>
      <c r="L33" s="251">
        <f t="shared" si="64"/>
        <v>9.2393363415944601E-3</v>
      </c>
      <c r="M33" s="251">
        <f t="shared" si="64"/>
        <v>1.2239484592291204E-2</v>
      </c>
      <c r="N33" s="251">
        <f t="shared" si="64"/>
        <v>1.7997702755052348E-2</v>
      </c>
      <c r="O33" s="251">
        <f t="shared" si="64"/>
        <v>1.7463479242965891E-2</v>
      </c>
      <c r="P33" s="251">
        <f t="shared" si="64"/>
        <v>1.3556383254796163E-2</v>
      </c>
      <c r="Q33" s="251">
        <f t="shared" si="64"/>
        <v>7.7069839116494839E-3</v>
      </c>
      <c r="R33" s="251">
        <f t="shared" si="64"/>
        <v>4.7820378932823225E-3</v>
      </c>
      <c r="S33" s="251">
        <f t="shared" si="64"/>
        <v>3.5486787964541626E-3</v>
      </c>
      <c r="T33" s="259">
        <f t="shared" si="64"/>
        <v>6.9121198091078057E-2</v>
      </c>
      <c r="BD33" s="289"/>
    </row>
    <row r="34" spans="1:57" s="277" customFormat="1" ht="14.4">
      <c r="A34" s="221" t="s">
        <v>1599</v>
      </c>
      <c r="B34" s="226" t="s">
        <v>148</v>
      </c>
      <c r="C34" s="228">
        <v>6.9059999999999997</v>
      </c>
      <c r="D34" s="228">
        <v>1211</v>
      </c>
      <c r="E34" s="228">
        <v>220.79</v>
      </c>
      <c r="F34" s="322"/>
      <c r="G34" s="322"/>
      <c r="H34" s="251">
        <f t="shared" si="64"/>
        <v>4.7547597613456611</v>
      </c>
      <c r="I34" s="251">
        <f t="shared" si="64"/>
        <v>5.0576602746057713</v>
      </c>
      <c r="J34" s="251">
        <f t="shared" si="64"/>
        <v>5.5626754106998124</v>
      </c>
      <c r="K34" s="251">
        <f t="shared" si="64"/>
        <v>6.1536725706591238</v>
      </c>
      <c r="L34" s="251">
        <f t="shared" si="64"/>
        <v>7.3474504093329864</v>
      </c>
      <c r="M34" s="251">
        <f t="shared" si="64"/>
        <v>8.4103325446916841</v>
      </c>
      <c r="N34" s="251">
        <f t="shared" si="64"/>
        <v>10.139814071516019</v>
      </c>
      <c r="O34" s="251">
        <f t="shared" si="64"/>
        <v>9.9919688353324414</v>
      </c>
      <c r="P34" s="251">
        <f t="shared" si="64"/>
        <v>8.8359289301127113</v>
      </c>
      <c r="Q34" s="251">
        <f t="shared" si="64"/>
        <v>6.7381595130214098</v>
      </c>
      <c r="R34" s="251">
        <f t="shared" si="64"/>
        <v>5.3765456247841401</v>
      </c>
      <c r="S34" s="251">
        <f t="shared" si="64"/>
        <v>4.6761309703973533</v>
      </c>
      <c r="T34" s="259">
        <f t="shared" si="64"/>
        <v>19.794780575468991</v>
      </c>
      <c r="BD34" s="289"/>
    </row>
    <row r="35" spans="1:57" s="277" customFormat="1" ht="14.4">
      <c r="A35" s="221" t="s">
        <v>1600</v>
      </c>
      <c r="B35" s="226" t="s">
        <v>499</v>
      </c>
      <c r="C35" s="228">
        <v>6.95</v>
      </c>
      <c r="D35" s="228">
        <v>1419.3</v>
      </c>
      <c r="E35" s="228">
        <v>212.61</v>
      </c>
      <c r="F35" s="322"/>
      <c r="G35" s="322"/>
      <c r="H35" s="251">
        <f t="shared" si="64"/>
        <v>0.3671277087258264</v>
      </c>
      <c r="I35" s="251">
        <f t="shared" si="64"/>
        <v>0.39687011255738941</v>
      </c>
      <c r="J35" s="251">
        <f t="shared" si="64"/>
        <v>0.44746693095493578</v>
      </c>
      <c r="K35" s="251">
        <f t="shared" si="64"/>
        <v>0.50817507445108578</v>
      </c>
      <c r="L35" s="251">
        <f t="shared" si="64"/>
        <v>0.63526536236094222</v>
      </c>
      <c r="M35" s="251">
        <f t="shared" si="64"/>
        <v>0.75293188352485929</v>
      </c>
      <c r="N35" s="251">
        <f t="shared" si="64"/>
        <v>0.95237156696027025</v>
      </c>
      <c r="O35" s="251">
        <f t="shared" si="64"/>
        <v>0.93496501490092931</v>
      </c>
      <c r="P35" s="251">
        <f t="shared" si="64"/>
        <v>0.80113478151767337</v>
      </c>
      <c r="Q35" s="251">
        <f t="shared" si="64"/>
        <v>0.56968873848353463</v>
      </c>
      <c r="R35" s="251">
        <f t="shared" si="64"/>
        <v>0.42867664039890274</v>
      </c>
      <c r="S35" s="251">
        <f t="shared" si="64"/>
        <v>0.35948458406618528</v>
      </c>
      <c r="T35" s="259">
        <f t="shared" si="64"/>
        <v>2.2024456014179625</v>
      </c>
      <c r="BD35" s="289"/>
    </row>
    <row r="36" spans="1:57" s="277" customFormat="1" ht="14.4">
      <c r="A36" s="221" t="s">
        <v>1601</v>
      </c>
      <c r="B36" s="226" t="s">
        <v>605</v>
      </c>
      <c r="C36" s="228">
        <v>6.9290000000000003</v>
      </c>
      <c r="D36" s="228">
        <v>1455.8</v>
      </c>
      <c r="E36" s="228">
        <v>207.2</v>
      </c>
      <c r="F36" s="322"/>
      <c r="G36" s="322"/>
      <c r="H36" s="251">
        <f t="shared" si="64"/>
        <v>0.1608721606925396</v>
      </c>
      <c r="I36" s="251">
        <f t="shared" si="64"/>
        <v>0.17497090337768212</v>
      </c>
      <c r="J36" s="251">
        <f t="shared" si="64"/>
        <v>0.19913481747709025</v>
      </c>
      <c r="K36" s="251">
        <f t="shared" si="64"/>
        <v>0.22839605513416517</v>
      </c>
      <c r="L36" s="251">
        <f t="shared" si="64"/>
        <v>0.29046476824009304</v>
      </c>
      <c r="M36" s="251">
        <f t="shared" si="64"/>
        <v>0.34875666170919778</v>
      </c>
      <c r="N36" s="251">
        <f t="shared" si="64"/>
        <v>0.44903579989244974</v>
      </c>
      <c r="O36" s="251">
        <f t="shared" si="64"/>
        <v>0.44021821288736179</v>
      </c>
      <c r="P36" s="251">
        <f t="shared" si="64"/>
        <v>0.37283475475920225</v>
      </c>
      <c r="Q36" s="251">
        <f t="shared" si="64"/>
        <v>0.25831109837031291</v>
      </c>
      <c r="R36" s="251">
        <f t="shared" si="64"/>
        <v>0.19013585872177993</v>
      </c>
      <c r="S36" s="251">
        <f t="shared" si="64"/>
        <v>0.15726267289995433</v>
      </c>
      <c r="T36" s="259">
        <f t="shared" si="64"/>
        <v>1.1045062064766571</v>
      </c>
      <c r="BD36" s="289"/>
    </row>
    <row r="37" spans="1:57" s="277" customFormat="1" ht="14.4">
      <c r="A37" s="221" t="s">
        <v>1602</v>
      </c>
      <c r="B37" s="226" t="s">
        <v>1129</v>
      </c>
      <c r="C37" s="228">
        <v>7.0170000000000003</v>
      </c>
      <c r="D37" s="228">
        <v>1377.6</v>
      </c>
      <c r="E37" s="228">
        <v>222.64</v>
      </c>
      <c r="F37" s="322"/>
      <c r="G37" s="322"/>
      <c r="H37" s="251">
        <f t="shared" si="64"/>
        <v>1.2618415661981759</v>
      </c>
      <c r="I37" s="251">
        <f t="shared" si="64"/>
        <v>1.352147079260797</v>
      </c>
      <c r="J37" s="251">
        <f t="shared" si="64"/>
        <v>1.5041504334739386</v>
      </c>
      <c r="K37" s="251">
        <f t="shared" si="64"/>
        <v>1.6841544171923539</v>
      </c>
      <c r="L37" s="251">
        <f t="shared" si="64"/>
        <v>2.0540046736535453</v>
      </c>
      <c r="M37" s="251">
        <f t="shared" si="64"/>
        <v>2.3895442253801646</v>
      </c>
      <c r="N37" s="251">
        <f t="shared" si="64"/>
        <v>2.9463993755295617</v>
      </c>
      <c r="O37" s="251">
        <f t="shared" si="64"/>
        <v>2.8983133407865505</v>
      </c>
      <c r="P37" s="251">
        <f t="shared" si="64"/>
        <v>2.5253887654662015</v>
      </c>
      <c r="Q37" s="251">
        <f t="shared" si="64"/>
        <v>1.8642465093049663</v>
      </c>
      <c r="R37" s="251">
        <f t="shared" si="64"/>
        <v>1.4479253312571831</v>
      </c>
      <c r="S37" s="251">
        <f t="shared" si="64"/>
        <v>1.2385109227833526</v>
      </c>
      <c r="T37" s="259">
        <f t="shared" si="64"/>
        <v>6.2360168833094223</v>
      </c>
      <c r="BD37" s="289"/>
    </row>
    <row r="38" spans="1:57" s="277" customFormat="1" ht="14.4">
      <c r="A38" s="221" t="s">
        <v>1603</v>
      </c>
      <c r="B38" s="226" t="s">
        <v>579</v>
      </c>
      <c r="C38" s="228">
        <v>6.8780000000000001</v>
      </c>
      <c r="D38" s="228">
        <v>1171.5</v>
      </c>
      <c r="E38" s="228">
        <v>224.37</v>
      </c>
      <c r="F38" s="322"/>
      <c r="G38" s="322"/>
      <c r="H38" s="251">
        <f t="shared" si="64"/>
        <v>8.0250828932501364</v>
      </c>
      <c r="I38" s="251">
        <f t="shared" si="64"/>
        <v>8.503456926883981</v>
      </c>
      <c r="J38" s="251">
        <f t="shared" si="64"/>
        <v>9.2972773482082154</v>
      </c>
      <c r="K38" s="251">
        <f t="shared" si="64"/>
        <v>10.220829665606868</v>
      </c>
      <c r="L38" s="251">
        <f t="shared" si="64"/>
        <v>12.070825320170046</v>
      </c>
      <c r="M38" s="251">
        <f t="shared" si="64"/>
        <v>13.702965386485312</v>
      </c>
      <c r="N38" s="251">
        <f t="shared" si="64"/>
        <v>16.333566926961552</v>
      </c>
      <c r="O38" s="251">
        <f t="shared" si="64"/>
        <v>16.109780359689591</v>
      </c>
      <c r="P38" s="251">
        <f t="shared" si="64"/>
        <v>14.353021770387954</v>
      </c>
      <c r="Q38" s="251">
        <f t="shared" si="64"/>
        <v>11.129031817272535</v>
      </c>
      <c r="R38" s="251">
        <f t="shared" si="64"/>
        <v>9.005227285299318</v>
      </c>
      <c r="S38" s="251">
        <f t="shared" si="64"/>
        <v>7.9006091074662033</v>
      </c>
      <c r="T38" s="259">
        <f t="shared" si="64"/>
        <v>30.632998893482124</v>
      </c>
      <c r="BD38" s="289"/>
    </row>
    <row r="39" spans="1:57" s="277" customFormat="1" ht="14.4">
      <c r="A39" s="221" t="s">
        <v>1604</v>
      </c>
      <c r="B39" s="226" t="s">
        <v>1223</v>
      </c>
      <c r="C39" s="228">
        <v>7.0090000000000003</v>
      </c>
      <c r="D39" s="228">
        <v>1462.3</v>
      </c>
      <c r="E39" s="228">
        <v>215.11</v>
      </c>
      <c r="F39" s="322"/>
      <c r="G39" s="322"/>
      <c r="H39" s="251">
        <f t="shared" si="64"/>
        <v>0.31814483262057552</v>
      </c>
      <c r="I39" s="251">
        <f t="shared" si="64"/>
        <v>0.34410994916558246</v>
      </c>
      <c r="J39" s="251">
        <f t="shared" si="64"/>
        <v>0.38831937351494006</v>
      </c>
      <c r="K39" s="251">
        <f t="shared" si="64"/>
        <v>0.44142203744113523</v>
      </c>
      <c r="L39" s="251">
        <f t="shared" si="64"/>
        <v>0.55277135994282933</v>
      </c>
      <c r="M39" s="251">
        <f t="shared" si="64"/>
        <v>0.65605297896738979</v>
      </c>
      <c r="N39" s="251">
        <f t="shared" si="64"/>
        <v>0.83145927341557946</v>
      </c>
      <c r="O39" s="251">
        <f t="shared" si="64"/>
        <v>0.81613455546350944</v>
      </c>
      <c r="P39" s="251">
        <f t="shared" si="64"/>
        <v>0.69840940423499187</v>
      </c>
      <c r="Q39" s="251">
        <f t="shared" si="64"/>
        <v>0.49528814877255822</v>
      </c>
      <c r="R39" s="251">
        <f t="shared" si="64"/>
        <v>0.37189577011140779</v>
      </c>
      <c r="S39" s="251">
        <f t="shared" si="64"/>
        <v>0.31147525365080181</v>
      </c>
      <c r="T39" s="259">
        <f t="shared" si="64"/>
        <v>1.9376512217806741</v>
      </c>
      <c r="BD39" s="289"/>
    </row>
    <row r="40" spans="1:57" s="277" customFormat="1" ht="14.4">
      <c r="A40" s="221" t="s">
        <v>1605</v>
      </c>
      <c r="B40" s="226" t="s">
        <v>591</v>
      </c>
      <c r="C40" s="228">
        <v>4.5288700000000004</v>
      </c>
      <c r="D40" s="228">
        <v>958.58699999999999</v>
      </c>
      <c r="E40" s="228">
        <v>-0.53900000000000003</v>
      </c>
      <c r="F40" s="321"/>
      <c r="G40" s="322"/>
      <c r="H40" s="250">
        <f>(10^($C40-($D40/($E40+H$24+273.15))))*100</f>
        <v>1204.8158083413857</v>
      </c>
      <c r="I40" s="250">
        <f t="shared" ref="I40:T40" si="65">(10^($C40-($D40/($E40+I$24+273.15))))*100</f>
        <v>1244.4787456483989</v>
      </c>
      <c r="J40" s="250">
        <f t="shared" si="65"/>
        <v>1308.3305657599292</v>
      </c>
      <c r="K40" s="250">
        <f t="shared" si="65"/>
        <v>1379.873098077077</v>
      </c>
      <c r="L40" s="250">
        <f t="shared" si="65"/>
        <v>1515.6991941569222</v>
      </c>
      <c r="M40" s="250">
        <f t="shared" si="65"/>
        <v>1628.6627395936364</v>
      </c>
      <c r="N40" s="250">
        <f t="shared" si="65"/>
        <v>1799.9254003606311</v>
      </c>
      <c r="O40" s="250">
        <f t="shared" si="65"/>
        <v>1785.8088380804811</v>
      </c>
      <c r="P40" s="250">
        <f t="shared" si="65"/>
        <v>1672.1285740088192</v>
      </c>
      <c r="Q40" s="250">
        <f t="shared" si="65"/>
        <v>1447.698892934889</v>
      </c>
      <c r="R40" s="250">
        <f t="shared" si="65"/>
        <v>1285.1090969254703</v>
      </c>
      <c r="S40" s="250">
        <f t="shared" si="65"/>
        <v>1194.3373141439406</v>
      </c>
      <c r="T40" s="258">
        <f t="shared" si="65"/>
        <v>2586.0611256389898</v>
      </c>
      <c r="BD40" s="289"/>
    </row>
    <row r="41" spans="1:57" s="277" customFormat="1" ht="14.4">
      <c r="A41" s="221"/>
      <c r="B41" s="226" t="s">
        <v>1631</v>
      </c>
      <c r="C41" s="228">
        <v>12.101000000000001</v>
      </c>
      <c r="D41" s="228">
        <v>8907</v>
      </c>
      <c r="E41" s="228"/>
      <c r="F41" s="323"/>
      <c r="G41" s="324"/>
      <c r="H41" s="236">
        <f>EXP($C$41-($D$41/H23))*101.325/14.696</f>
        <v>2.393287488033205E-2</v>
      </c>
      <c r="I41" s="236">
        <f t="shared" ref="I41:T41" si="66">EXP($C$41-($D$41/I23))*101.325/14.696</f>
        <v>2.5728192909368897E-2</v>
      </c>
      <c r="J41" s="236">
        <f t="shared" si="66"/>
        <v>2.8769895488864685E-2</v>
      </c>
      <c r="K41" s="236">
        <f t="shared" si="66"/>
        <v>3.2402351652608082E-2</v>
      </c>
      <c r="L41" s="236">
        <f t="shared" si="66"/>
        <v>3.9961448240995512E-2</v>
      </c>
      <c r="M41" s="236">
        <f t="shared" si="66"/>
        <v>4.6920958931340379E-2</v>
      </c>
      <c r="N41" s="236">
        <f t="shared" si="66"/>
        <v>5.8662005048746899E-2</v>
      </c>
      <c r="O41" s="236">
        <f t="shared" si="66"/>
        <v>5.7639324208411655E-2</v>
      </c>
      <c r="P41" s="236">
        <f t="shared" si="66"/>
        <v>4.976401089301366E-2</v>
      </c>
      <c r="Q41" s="236">
        <f t="shared" si="66"/>
        <v>3.6067680079544702E-2</v>
      </c>
      <c r="R41" s="236">
        <f t="shared" si="66"/>
        <v>2.7641964255014695E-2</v>
      </c>
      <c r="S41" s="236">
        <f t="shared" si="66"/>
        <v>2.3470528048842691E-2</v>
      </c>
      <c r="T41" s="260">
        <f t="shared" si="66"/>
        <v>0.1318040484139521</v>
      </c>
      <c r="BD41" s="289"/>
    </row>
    <row r="42" spans="1:57" s="277" customFormat="1" ht="14.4">
      <c r="A42" s="221"/>
      <c r="B42" s="226" t="s">
        <v>1632</v>
      </c>
      <c r="C42" s="251">
        <v>11.368</v>
      </c>
      <c r="D42" s="251">
        <v>5784.3</v>
      </c>
      <c r="E42" s="251"/>
      <c r="F42" s="323"/>
      <c r="G42" s="324"/>
      <c r="H42" s="236">
        <f>EXP($C$42-($D$42/H23))*101.325/14.696</f>
        <v>5.8267504457805694</v>
      </c>
      <c r="I42" s="236">
        <f t="shared" ref="I42:T42" si="67">EXP($C$42-($D$42/I23))*101.325/14.696</f>
        <v>6.1069908618632134</v>
      </c>
      <c r="J42" s="236">
        <f t="shared" si="67"/>
        <v>6.5666295477489385</v>
      </c>
      <c r="K42" s="236">
        <f t="shared" si="67"/>
        <v>7.0937673336100904</v>
      </c>
      <c r="L42" s="236">
        <f t="shared" si="67"/>
        <v>8.1285917409323112</v>
      </c>
      <c r="M42" s="236">
        <f t="shared" si="67"/>
        <v>9.0218560382023014</v>
      </c>
      <c r="N42" s="236">
        <f t="shared" si="67"/>
        <v>10.429950322637664</v>
      </c>
      <c r="O42" s="236">
        <f t="shared" si="67"/>
        <v>10.311504299977132</v>
      </c>
      <c r="P42" s="236">
        <f t="shared" si="67"/>
        <v>9.3731886303446004</v>
      </c>
      <c r="Q42" s="236">
        <f t="shared" si="67"/>
        <v>7.6050416680379431</v>
      </c>
      <c r="R42" s="236">
        <f t="shared" si="67"/>
        <v>6.3982713625150787</v>
      </c>
      <c r="S42" s="236">
        <f t="shared" si="67"/>
        <v>5.7534004814564375</v>
      </c>
      <c r="T42" s="260">
        <f t="shared" si="67"/>
        <v>17.643986450104972</v>
      </c>
      <c r="BD42" s="289"/>
    </row>
    <row r="43" spans="1:57" s="277" customFormat="1" ht="14.4">
      <c r="A43" s="221"/>
      <c r="B43" s="252"/>
      <c r="C43" s="253"/>
      <c r="D43" s="221"/>
      <c r="E43" s="221"/>
      <c r="F43" s="221"/>
      <c r="G43" s="221"/>
      <c r="H43" s="221"/>
      <c r="I43" s="221"/>
      <c r="J43" s="221"/>
      <c r="K43" s="221"/>
      <c r="L43" s="221"/>
      <c r="M43" s="221"/>
      <c r="N43" s="221"/>
      <c r="BD43" s="289"/>
    </row>
    <row r="44" spans="1:57" s="277" customFormat="1" ht="64.95" customHeight="1">
      <c r="A44" s="221"/>
      <c r="B44" s="384" t="s">
        <v>1648</v>
      </c>
      <c r="C44" s="385"/>
      <c r="D44" s="385"/>
      <c r="E44" s="385"/>
      <c r="F44" s="385"/>
      <c r="G44" s="385"/>
      <c r="H44" s="385"/>
      <c r="I44" s="386"/>
      <c r="J44" s="221"/>
      <c r="K44" s="221"/>
      <c r="L44" s="221"/>
      <c r="M44" s="221"/>
      <c r="N44" s="221"/>
      <c r="BD44" s="289"/>
    </row>
    <row r="45" spans="1:57" s="221" customFormat="1" ht="14.4">
      <c r="D45" s="254" t="s">
        <v>1650</v>
      </c>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89"/>
      <c r="BE45" s="277"/>
    </row>
    <row r="46" spans="1:57" s="221" customFormat="1" ht="14.4">
      <c r="B46" s="221" t="s">
        <v>1651</v>
      </c>
      <c r="D46" s="255" t="s">
        <v>1652</v>
      </c>
      <c r="L46" s="256"/>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89"/>
      <c r="BE46" s="277"/>
    </row>
    <row r="47" spans="1:57" s="221" customFormat="1" ht="14.4">
      <c r="B47" s="221" t="s">
        <v>1653</v>
      </c>
      <c r="D47" s="254" t="s">
        <v>1654</v>
      </c>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89"/>
      <c r="BE47" s="277"/>
    </row>
    <row r="48" spans="1:57" s="221" customFormat="1" ht="14.4">
      <c r="B48" s="221" t="s">
        <v>1655</v>
      </c>
      <c r="D48" s="249" t="s">
        <v>1656</v>
      </c>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89"/>
      <c r="BE48" s="277"/>
    </row>
    <row r="49" spans="15:57" s="221" customFormat="1" ht="14.4">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89"/>
      <c r="BE49" s="277"/>
    </row>
  </sheetData>
  <mergeCells count="16">
    <mergeCell ref="BE2:BH2"/>
    <mergeCell ref="B28:B29"/>
    <mergeCell ref="C28:E28"/>
    <mergeCell ref="AV2:AY2"/>
    <mergeCell ref="AZ2:BC2"/>
    <mergeCell ref="B44:I44"/>
    <mergeCell ref="AF2:AI2"/>
    <mergeCell ref="AJ2:AM2"/>
    <mergeCell ref="AN2:AQ2"/>
    <mergeCell ref="AR2:AU2"/>
    <mergeCell ref="H2:K2"/>
    <mergeCell ref="L2:O2"/>
    <mergeCell ref="P2:S2"/>
    <mergeCell ref="T2:W2"/>
    <mergeCell ref="X2:AA2"/>
    <mergeCell ref="AB2:AE2"/>
  </mergeCells>
  <pageMargins left="0.7" right="0.7" top="0.75" bottom="0.75" header="0.3" footer="0.3"/>
  <pageSetup scale="75" orientation="landscape" cellComments="asDisplayed" r:id="rId1"/>
  <headerFooter>
    <oddFooter xml:space="preserve">&amp;L&amp;"Tahoma,Regular"Hexion, Inc.
Diboll Plant&amp;C&amp;"Tahoma,Regular"Page &amp;P of &amp;N&amp;R&amp;"Tahoma,Regular"Trinity Consultants
204401.0138 </oddFooter>
    <evenFooter>&amp;L&amp;"+,Regular"Momentive Specialty Chemicals Inc.
Diboll Plant&amp;C&amp;"+,Regular"Page &amp;P of &amp;N&amp;R&amp;"+,Regular"Trinity Consultants
134401.0070</evenFooter>
    <firstFooter>&amp;L&amp;"+,Regular"Momentive Specialty Chemicals Inc.
Diboll Plant&amp;C&amp;"+,Regular"Page &amp;P of &amp;N&amp;R&amp;"+,Regular"Trinity Consultants
134401.0070</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C288-BEB0-FF4D-BA66-93709F1B4014}">
  <sheetPr codeName="Sheet17">
    <tabColor theme="0" tint="-0.249977111117893"/>
  </sheetPr>
  <dimension ref="A1:BH49"/>
  <sheetViews>
    <sheetView zoomScale="130" zoomScaleNormal="130" workbookViewId="0">
      <pane xSplit="2" topLeftCell="C1" activePane="topRight" state="frozen"/>
      <selection activeCell="K4" sqref="K4:K14"/>
      <selection pane="topRight" activeCell="C7" sqref="C7:C8"/>
    </sheetView>
  </sheetViews>
  <sheetFormatPr defaultColWidth="7.69921875" defaultRowHeight="15.6"/>
  <cols>
    <col min="1" max="1" width="12.796875" style="277" customWidth="1"/>
    <col min="2" max="2" width="42" style="277" customWidth="1"/>
    <col min="3" max="7" width="11.19921875" style="277" customWidth="1"/>
    <col min="8" max="14" width="10.296875" style="221" customWidth="1"/>
    <col min="15" max="57" width="10.296875" style="277" customWidth="1"/>
    <col min="58" max="60" width="10.296875" customWidth="1"/>
    <col min="63" max="63" width="9" bestFit="1" customWidth="1"/>
    <col min="258" max="258" width="7.69921875" customWidth="1"/>
    <col min="259" max="259" width="32.5" customWidth="1"/>
    <col min="260" max="260" width="15.5" customWidth="1"/>
    <col min="261" max="261" width="13.5" customWidth="1"/>
    <col min="262" max="262" width="14.796875" customWidth="1"/>
    <col min="263" max="264" width="14" customWidth="1"/>
    <col min="265" max="265" width="12" customWidth="1"/>
    <col min="266" max="266" width="5.796875" customWidth="1"/>
    <col min="267" max="268" width="7.69921875" customWidth="1"/>
    <col min="269" max="269" width="13.5" customWidth="1"/>
    <col min="270" max="270" width="7.69921875" customWidth="1"/>
    <col min="271" max="271" width="10.19921875" customWidth="1"/>
    <col min="272" max="272" width="18.796875" customWidth="1"/>
    <col min="514" max="514" width="7.69921875" customWidth="1"/>
    <col min="515" max="515" width="32.5" customWidth="1"/>
    <col min="516" max="516" width="15.5" customWidth="1"/>
    <col min="517" max="517" width="13.5" customWidth="1"/>
    <col min="518" max="518" width="14.796875" customWidth="1"/>
    <col min="519" max="520" width="14" customWidth="1"/>
    <col min="521" max="521" width="12" customWidth="1"/>
    <col min="522" max="522" width="5.796875" customWidth="1"/>
    <col min="523" max="524" width="7.69921875" customWidth="1"/>
    <col min="525" max="525" width="13.5" customWidth="1"/>
    <col min="526" max="526" width="7.69921875" customWidth="1"/>
    <col min="527" max="527" width="10.19921875" customWidth="1"/>
    <col min="528" max="528" width="18.796875" customWidth="1"/>
    <col min="770" max="770" width="7.69921875" customWidth="1"/>
    <col min="771" max="771" width="32.5" customWidth="1"/>
    <col min="772" max="772" width="15.5" customWidth="1"/>
    <col min="773" max="773" width="13.5" customWidth="1"/>
    <col min="774" max="774" width="14.796875" customWidth="1"/>
    <col min="775" max="776" width="14" customWidth="1"/>
    <col min="777" max="777" width="12" customWidth="1"/>
    <col min="778" max="778" width="5.796875" customWidth="1"/>
    <col min="779" max="780" width="7.69921875" customWidth="1"/>
    <col min="781" max="781" width="13.5" customWidth="1"/>
    <col min="782" max="782" width="7.69921875" customWidth="1"/>
    <col min="783" max="783" width="10.19921875" customWidth="1"/>
    <col min="784" max="784" width="18.796875" customWidth="1"/>
    <col min="1026" max="1026" width="7.69921875" customWidth="1"/>
    <col min="1027" max="1027" width="32.5" customWidth="1"/>
    <col min="1028" max="1028" width="15.5" customWidth="1"/>
    <col min="1029" max="1029" width="13.5" customWidth="1"/>
    <col min="1030" max="1030" width="14.796875" customWidth="1"/>
    <col min="1031" max="1032" width="14" customWidth="1"/>
    <col min="1033" max="1033" width="12" customWidth="1"/>
    <col min="1034" max="1034" width="5.796875" customWidth="1"/>
    <col min="1035" max="1036" width="7.69921875" customWidth="1"/>
    <col min="1037" max="1037" width="13.5" customWidth="1"/>
    <col min="1038" max="1038" width="7.69921875" customWidth="1"/>
    <col min="1039" max="1039" width="10.19921875" customWidth="1"/>
    <col min="1040" max="1040" width="18.796875" customWidth="1"/>
    <col min="1282" max="1282" width="7.69921875" customWidth="1"/>
    <col min="1283" max="1283" width="32.5" customWidth="1"/>
    <col min="1284" max="1284" width="15.5" customWidth="1"/>
    <col min="1285" max="1285" width="13.5" customWidth="1"/>
    <col min="1286" max="1286" width="14.796875" customWidth="1"/>
    <col min="1287" max="1288" width="14" customWidth="1"/>
    <col min="1289" max="1289" width="12" customWidth="1"/>
    <col min="1290" max="1290" width="5.796875" customWidth="1"/>
    <col min="1291" max="1292" width="7.69921875" customWidth="1"/>
    <col min="1293" max="1293" width="13.5" customWidth="1"/>
    <col min="1294" max="1294" width="7.69921875" customWidth="1"/>
    <col min="1295" max="1295" width="10.19921875" customWidth="1"/>
    <col min="1296" max="1296" width="18.796875" customWidth="1"/>
    <col min="1538" max="1538" width="7.69921875" customWidth="1"/>
    <col min="1539" max="1539" width="32.5" customWidth="1"/>
    <col min="1540" max="1540" width="15.5" customWidth="1"/>
    <col min="1541" max="1541" width="13.5" customWidth="1"/>
    <col min="1542" max="1542" width="14.796875" customWidth="1"/>
    <col min="1543" max="1544" width="14" customWidth="1"/>
    <col min="1545" max="1545" width="12" customWidth="1"/>
    <col min="1546" max="1546" width="5.796875" customWidth="1"/>
    <col min="1547" max="1548" width="7.69921875" customWidth="1"/>
    <col min="1549" max="1549" width="13.5" customWidth="1"/>
    <col min="1550" max="1550" width="7.69921875" customWidth="1"/>
    <col min="1551" max="1551" width="10.19921875" customWidth="1"/>
    <col min="1552" max="1552" width="18.796875" customWidth="1"/>
    <col min="1794" max="1794" width="7.69921875" customWidth="1"/>
    <col min="1795" max="1795" width="32.5" customWidth="1"/>
    <col min="1796" max="1796" width="15.5" customWidth="1"/>
    <col min="1797" max="1797" width="13.5" customWidth="1"/>
    <col min="1798" max="1798" width="14.796875" customWidth="1"/>
    <col min="1799" max="1800" width="14" customWidth="1"/>
    <col min="1801" max="1801" width="12" customWidth="1"/>
    <col min="1802" max="1802" width="5.796875" customWidth="1"/>
    <col min="1803" max="1804" width="7.69921875" customWidth="1"/>
    <col min="1805" max="1805" width="13.5" customWidth="1"/>
    <col min="1806" max="1806" width="7.69921875" customWidth="1"/>
    <col min="1807" max="1807" width="10.19921875" customWidth="1"/>
    <col min="1808" max="1808" width="18.796875" customWidth="1"/>
    <col min="2050" max="2050" width="7.69921875" customWidth="1"/>
    <col min="2051" max="2051" width="32.5" customWidth="1"/>
    <col min="2052" max="2052" width="15.5" customWidth="1"/>
    <col min="2053" max="2053" width="13.5" customWidth="1"/>
    <col min="2054" max="2054" width="14.796875" customWidth="1"/>
    <col min="2055" max="2056" width="14" customWidth="1"/>
    <col min="2057" max="2057" width="12" customWidth="1"/>
    <col min="2058" max="2058" width="5.796875" customWidth="1"/>
    <col min="2059" max="2060" width="7.69921875" customWidth="1"/>
    <col min="2061" max="2061" width="13.5" customWidth="1"/>
    <col min="2062" max="2062" width="7.69921875" customWidth="1"/>
    <col min="2063" max="2063" width="10.19921875" customWidth="1"/>
    <col min="2064" max="2064" width="18.796875" customWidth="1"/>
    <col min="2306" max="2306" width="7.69921875" customWidth="1"/>
    <col min="2307" max="2307" width="32.5" customWidth="1"/>
    <col min="2308" max="2308" width="15.5" customWidth="1"/>
    <col min="2309" max="2309" width="13.5" customWidth="1"/>
    <col min="2310" max="2310" width="14.796875" customWidth="1"/>
    <col min="2311" max="2312" width="14" customWidth="1"/>
    <col min="2313" max="2313" width="12" customWidth="1"/>
    <col min="2314" max="2314" width="5.796875" customWidth="1"/>
    <col min="2315" max="2316" width="7.69921875" customWidth="1"/>
    <col min="2317" max="2317" width="13.5" customWidth="1"/>
    <col min="2318" max="2318" width="7.69921875" customWidth="1"/>
    <col min="2319" max="2319" width="10.19921875" customWidth="1"/>
    <col min="2320" max="2320" width="18.796875" customWidth="1"/>
    <col min="2562" max="2562" width="7.69921875" customWidth="1"/>
    <col min="2563" max="2563" width="32.5" customWidth="1"/>
    <col min="2564" max="2564" width="15.5" customWidth="1"/>
    <col min="2565" max="2565" width="13.5" customWidth="1"/>
    <col min="2566" max="2566" width="14.796875" customWidth="1"/>
    <col min="2567" max="2568" width="14" customWidth="1"/>
    <col min="2569" max="2569" width="12" customWidth="1"/>
    <col min="2570" max="2570" width="5.796875" customWidth="1"/>
    <col min="2571" max="2572" width="7.69921875" customWidth="1"/>
    <col min="2573" max="2573" width="13.5" customWidth="1"/>
    <col min="2574" max="2574" width="7.69921875" customWidth="1"/>
    <col min="2575" max="2575" width="10.19921875" customWidth="1"/>
    <col min="2576" max="2576" width="18.796875" customWidth="1"/>
    <col min="2818" max="2818" width="7.69921875" customWidth="1"/>
    <col min="2819" max="2819" width="32.5" customWidth="1"/>
    <col min="2820" max="2820" width="15.5" customWidth="1"/>
    <col min="2821" max="2821" width="13.5" customWidth="1"/>
    <col min="2822" max="2822" width="14.796875" customWidth="1"/>
    <col min="2823" max="2824" width="14" customWidth="1"/>
    <col min="2825" max="2825" width="12" customWidth="1"/>
    <col min="2826" max="2826" width="5.796875" customWidth="1"/>
    <col min="2827" max="2828" width="7.69921875" customWidth="1"/>
    <col min="2829" max="2829" width="13.5" customWidth="1"/>
    <col min="2830" max="2830" width="7.69921875" customWidth="1"/>
    <col min="2831" max="2831" width="10.19921875" customWidth="1"/>
    <col min="2832" max="2832" width="18.796875" customWidth="1"/>
    <col min="3074" max="3074" width="7.69921875" customWidth="1"/>
    <col min="3075" max="3075" width="32.5" customWidth="1"/>
    <col min="3076" max="3076" width="15.5" customWidth="1"/>
    <col min="3077" max="3077" width="13.5" customWidth="1"/>
    <col min="3078" max="3078" width="14.796875" customWidth="1"/>
    <col min="3079" max="3080" width="14" customWidth="1"/>
    <col min="3081" max="3081" width="12" customWidth="1"/>
    <col min="3082" max="3082" width="5.796875" customWidth="1"/>
    <col min="3083" max="3084" width="7.69921875" customWidth="1"/>
    <col min="3085" max="3085" width="13.5" customWidth="1"/>
    <col min="3086" max="3086" width="7.69921875" customWidth="1"/>
    <col min="3087" max="3087" width="10.19921875" customWidth="1"/>
    <col min="3088" max="3088" width="18.796875" customWidth="1"/>
    <col min="3330" max="3330" width="7.69921875" customWidth="1"/>
    <col min="3331" max="3331" width="32.5" customWidth="1"/>
    <col min="3332" max="3332" width="15.5" customWidth="1"/>
    <col min="3333" max="3333" width="13.5" customWidth="1"/>
    <col min="3334" max="3334" width="14.796875" customWidth="1"/>
    <col min="3335" max="3336" width="14" customWidth="1"/>
    <col min="3337" max="3337" width="12" customWidth="1"/>
    <col min="3338" max="3338" width="5.796875" customWidth="1"/>
    <col min="3339" max="3340" width="7.69921875" customWidth="1"/>
    <col min="3341" max="3341" width="13.5" customWidth="1"/>
    <col min="3342" max="3342" width="7.69921875" customWidth="1"/>
    <col min="3343" max="3343" width="10.19921875" customWidth="1"/>
    <col min="3344" max="3344" width="18.796875" customWidth="1"/>
    <col min="3586" max="3586" width="7.69921875" customWidth="1"/>
    <col min="3587" max="3587" width="32.5" customWidth="1"/>
    <col min="3588" max="3588" width="15.5" customWidth="1"/>
    <col min="3589" max="3589" width="13.5" customWidth="1"/>
    <col min="3590" max="3590" width="14.796875" customWidth="1"/>
    <col min="3591" max="3592" width="14" customWidth="1"/>
    <col min="3593" max="3593" width="12" customWidth="1"/>
    <col min="3594" max="3594" width="5.796875" customWidth="1"/>
    <col min="3595" max="3596" width="7.69921875" customWidth="1"/>
    <col min="3597" max="3597" width="13.5" customWidth="1"/>
    <col min="3598" max="3598" width="7.69921875" customWidth="1"/>
    <col min="3599" max="3599" width="10.19921875" customWidth="1"/>
    <col min="3600" max="3600" width="18.796875" customWidth="1"/>
    <col min="3842" max="3842" width="7.69921875" customWidth="1"/>
    <col min="3843" max="3843" width="32.5" customWidth="1"/>
    <col min="3844" max="3844" width="15.5" customWidth="1"/>
    <col min="3845" max="3845" width="13.5" customWidth="1"/>
    <col min="3846" max="3846" width="14.796875" customWidth="1"/>
    <col min="3847" max="3848" width="14" customWidth="1"/>
    <col min="3849" max="3849" width="12" customWidth="1"/>
    <col min="3850" max="3850" width="5.796875" customWidth="1"/>
    <col min="3851" max="3852" width="7.69921875" customWidth="1"/>
    <col min="3853" max="3853" width="13.5" customWidth="1"/>
    <col min="3854" max="3854" width="7.69921875" customWidth="1"/>
    <col min="3855" max="3855" width="10.19921875" customWidth="1"/>
    <col min="3856" max="3856" width="18.796875" customWidth="1"/>
    <col min="4098" max="4098" width="7.69921875" customWidth="1"/>
    <col min="4099" max="4099" width="32.5" customWidth="1"/>
    <col min="4100" max="4100" width="15.5" customWidth="1"/>
    <col min="4101" max="4101" width="13.5" customWidth="1"/>
    <col min="4102" max="4102" width="14.796875" customWidth="1"/>
    <col min="4103" max="4104" width="14" customWidth="1"/>
    <col min="4105" max="4105" width="12" customWidth="1"/>
    <col min="4106" max="4106" width="5.796875" customWidth="1"/>
    <col min="4107" max="4108" width="7.69921875" customWidth="1"/>
    <col min="4109" max="4109" width="13.5" customWidth="1"/>
    <col min="4110" max="4110" width="7.69921875" customWidth="1"/>
    <col min="4111" max="4111" width="10.19921875" customWidth="1"/>
    <col min="4112" max="4112" width="18.796875" customWidth="1"/>
    <col min="4354" max="4354" width="7.69921875" customWidth="1"/>
    <col min="4355" max="4355" width="32.5" customWidth="1"/>
    <col min="4356" max="4356" width="15.5" customWidth="1"/>
    <col min="4357" max="4357" width="13.5" customWidth="1"/>
    <col min="4358" max="4358" width="14.796875" customWidth="1"/>
    <col min="4359" max="4360" width="14" customWidth="1"/>
    <col min="4361" max="4361" width="12" customWidth="1"/>
    <col min="4362" max="4362" width="5.796875" customWidth="1"/>
    <col min="4363" max="4364" width="7.69921875" customWidth="1"/>
    <col min="4365" max="4365" width="13.5" customWidth="1"/>
    <col min="4366" max="4366" width="7.69921875" customWidth="1"/>
    <col min="4367" max="4367" width="10.19921875" customWidth="1"/>
    <col min="4368" max="4368" width="18.796875" customWidth="1"/>
    <col min="4610" max="4610" width="7.69921875" customWidth="1"/>
    <col min="4611" max="4611" width="32.5" customWidth="1"/>
    <col min="4612" max="4612" width="15.5" customWidth="1"/>
    <col min="4613" max="4613" width="13.5" customWidth="1"/>
    <col min="4614" max="4614" width="14.796875" customWidth="1"/>
    <col min="4615" max="4616" width="14" customWidth="1"/>
    <col min="4617" max="4617" width="12" customWidth="1"/>
    <col min="4618" max="4618" width="5.796875" customWidth="1"/>
    <col min="4619" max="4620" width="7.69921875" customWidth="1"/>
    <col min="4621" max="4621" width="13.5" customWidth="1"/>
    <col min="4622" max="4622" width="7.69921875" customWidth="1"/>
    <col min="4623" max="4623" width="10.19921875" customWidth="1"/>
    <col min="4624" max="4624" width="18.796875" customWidth="1"/>
    <col min="4866" max="4866" width="7.69921875" customWidth="1"/>
    <col min="4867" max="4867" width="32.5" customWidth="1"/>
    <col min="4868" max="4868" width="15.5" customWidth="1"/>
    <col min="4869" max="4869" width="13.5" customWidth="1"/>
    <col min="4870" max="4870" width="14.796875" customWidth="1"/>
    <col min="4871" max="4872" width="14" customWidth="1"/>
    <col min="4873" max="4873" width="12" customWidth="1"/>
    <col min="4874" max="4874" width="5.796875" customWidth="1"/>
    <col min="4875" max="4876" width="7.69921875" customWidth="1"/>
    <col min="4877" max="4877" width="13.5" customWidth="1"/>
    <col min="4878" max="4878" width="7.69921875" customWidth="1"/>
    <col min="4879" max="4879" width="10.19921875" customWidth="1"/>
    <col min="4880" max="4880" width="18.796875" customWidth="1"/>
    <col min="5122" max="5122" width="7.69921875" customWidth="1"/>
    <col min="5123" max="5123" width="32.5" customWidth="1"/>
    <col min="5124" max="5124" width="15.5" customWidth="1"/>
    <col min="5125" max="5125" width="13.5" customWidth="1"/>
    <col min="5126" max="5126" width="14.796875" customWidth="1"/>
    <col min="5127" max="5128" width="14" customWidth="1"/>
    <col min="5129" max="5129" width="12" customWidth="1"/>
    <col min="5130" max="5130" width="5.796875" customWidth="1"/>
    <col min="5131" max="5132" width="7.69921875" customWidth="1"/>
    <col min="5133" max="5133" width="13.5" customWidth="1"/>
    <col min="5134" max="5134" width="7.69921875" customWidth="1"/>
    <col min="5135" max="5135" width="10.19921875" customWidth="1"/>
    <col min="5136" max="5136" width="18.796875" customWidth="1"/>
    <col min="5378" max="5378" width="7.69921875" customWidth="1"/>
    <col min="5379" max="5379" width="32.5" customWidth="1"/>
    <col min="5380" max="5380" width="15.5" customWidth="1"/>
    <col min="5381" max="5381" width="13.5" customWidth="1"/>
    <col min="5382" max="5382" width="14.796875" customWidth="1"/>
    <col min="5383" max="5384" width="14" customWidth="1"/>
    <col min="5385" max="5385" width="12" customWidth="1"/>
    <col min="5386" max="5386" width="5.796875" customWidth="1"/>
    <col min="5387" max="5388" width="7.69921875" customWidth="1"/>
    <col min="5389" max="5389" width="13.5" customWidth="1"/>
    <col min="5390" max="5390" width="7.69921875" customWidth="1"/>
    <col min="5391" max="5391" width="10.19921875" customWidth="1"/>
    <col min="5392" max="5392" width="18.796875" customWidth="1"/>
    <col min="5634" max="5634" width="7.69921875" customWidth="1"/>
    <col min="5635" max="5635" width="32.5" customWidth="1"/>
    <col min="5636" max="5636" width="15.5" customWidth="1"/>
    <col min="5637" max="5637" width="13.5" customWidth="1"/>
    <col min="5638" max="5638" width="14.796875" customWidth="1"/>
    <col min="5639" max="5640" width="14" customWidth="1"/>
    <col min="5641" max="5641" width="12" customWidth="1"/>
    <col min="5642" max="5642" width="5.796875" customWidth="1"/>
    <col min="5643" max="5644" width="7.69921875" customWidth="1"/>
    <col min="5645" max="5645" width="13.5" customWidth="1"/>
    <col min="5646" max="5646" width="7.69921875" customWidth="1"/>
    <col min="5647" max="5647" width="10.19921875" customWidth="1"/>
    <col min="5648" max="5648" width="18.796875" customWidth="1"/>
    <col min="5890" max="5890" width="7.69921875" customWidth="1"/>
    <col min="5891" max="5891" width="32.5" customWidth="1"/>
    <col min="5892" max="5892" width="15.5" customWidth="1"/>
    <col min="5893" max="5893" width="13.5" customWidth="1"/>
    <col min="5894" max="5894" width="14.796875" customWidth="1"/>
    <col min="5895" max="5896" width="14" customWidth="1"/>
    <col min="5897" max="5897" width="12" customWidth="1"/>
    <col min="5898" max="5898" width="5.796875" customWidth="1"/>
    <col min="5899" max="5900" width="7.69921875" customWidth="1"/>
    <col min="5901" max="5901" width="13.5" customWidth="1"/>
    <col min="5902" max="5902" width="7.69921875" customWidth="1"/>
    <col min="5903" max="5903" width="10.19921875" customWidth="1"/>
    <col min="5904" max="5904" width="18.796875" customWidth="1"/>
    <col min="6146" max="6146" width="7.69921875" customWidth="1"/>
    <col min="6147" max="6147" width="32.5" customWidth="1"/>
    <col min="6148" max="6148" width="15.5" customWidth="1"/>
    <col min="6149" max="6149" width="13.5" customWidth="1"/>
    <col min="6150" max="6150" width="14.796875" customWidth="1"/>
    <col min="6151" max="6152" width="14" customWidth="1"/>
    <col min="6153" max="6153" width="12" customWidth="1"/>
    <col min="6154" max="6154" width="5.796875" customWidth="1"/>
    <col min="6155" max="6156" width="7.69921875" customWidth="1"/>
    <col min="6157" max="6157" width="13.5" customWidth="1"/>
    <col min="6158" max="6158" width="7.69921875" customWidth="1"/>
    <col min="6159" max="6159" width="10.19921875" customWidth="1"/>
    <col min="6160" max="6160" width="18.796875" customWidth="1"/>
    <col min="6402" max="6402" width="7.69921875" customWidth="1"/>
    <col min="6403" max="6403" width="32.5" customWidth="1"/>
    <col min="6404" max="6404" width="15.5" customWidth="1"/>
    <col min="6405" max="6405" width="13.5" customWidth="1"/>
    <col min="6406" max="6406" width="14.796875" customWidth="1"/>
    <col min="6407" max="6408" width="14" customWidth="1"/>
    <col min="6409" max="6409" width="12" customWidth="1"/>
    <col min="6410" max="6410" width="5.796875" customWidth="1"/>
    <col min="6411" max="6412" width="7.69921875" customWidth="1"/>
    <col min="6413" max="6413" width="13.5" customWidth="1"/>
    <col min="6414" max="6414" width="7.69921875" customWidth="1"/>
    <col min="6415" max="6415" width="10.19921875" customWidth="1"/>
    <col min="6416" max="6416" width="18.796875" customWidth="1"/>
    <col min="6658" max="6658" width="7.69921875" customWidth="1"/>
    <col min="6659" max="6659" width="32.5" customWidth="1"/>
    <col min="6660" max="6660" width="15.5" customWidth="1"/>
    <col min="6661" max="6661" width="13.5" customWidth="1"/>
    <col min="6662" max="6662" width="14.796875" customWidth="1"/>
    <col min="6663" max="6664" width="14" customWidth="1"/>
    <col min="6665" max="6665" width="12" customWidth="1"/>
    <col min="6666" max="6666" width="5.796875" customWidth="1"/>
    <col min="6667" max="6668" width="7.69921875" customWidth="1"/>
    <col min="6669" max="6669" width="13.5" customWidth="1"/>
    <col min="6670" max="6670" width="7.69921875" customWidth="1"/>
    <col min="6671" max="6671" width="10.19921875" customWidth="1"/>
    <col min="6672" max="6672" width="18.796875" customWidth="1"/>
    <col min="6914" max="6914" width="7.69921875" customWidth="1"/>
    <col min="6915" max="6915" width="32.5" customWidth="1"/>
    <col min="6916" max="6916" width="15.5" customWidth="1"/>
    <col min="6917" max="6917" width="13.5" customWidth="1"/>
    <col min="6918" max="6918" width="14.796875" customWidth="1"/>
    <col min="6919" max="6920" width="14" customWidth="1"/>
    <col min="6921" max="6921" width="12" customWidth="1"/>
    <col min="6922" max="6922" width="5.796875" customWidth="1"/>
    <col min="6923" max="6924" width="7.69921875" customWidth="1"/>
    <col min="6925" max="6925" width="13.5" customWidth="1"/>
    <col min="6926" max="6926" width="7.69921875" customWidth="1"/>
    <col min="6927" max="6927" width="10.19921875" customWidth="1"/>
    <col min="6928" max="6928" width="18.796875" customWidth="1"/>
    <col min="7170" max="7170" width="7.69921875" customWidth="1"/>
    <col min="7171" max="7171" width="32.5" customWidth="1"/>
    <col min="7172" max="7172" width="15.5" customWidth="1"/>
    <col min="7173" max="7173" width="13.5" customWidth="1"/>
    <col min="7174" max="7174" width="14.796875" customWidth="1"/>
    <col min="7175" max="7176" width="14" customWidth="1"/>
    <col min="7177" max="7177" width="12" customWidth="1"/>
    <col min="7178" max="7178" width="5.796875" customWidth="1"/>
    <col min="7179" max="7180" width="7.69921875" customWidth="1"/>
    <col min="7181" max="7181" width="13.5" customWidth="1"/>
    <col min="7182" max="7182" width="7.69921875" customWidth="1"/>
    <col min="7183" max="7183" width="10.19921875" customWidth="1"/>
    <col min="7184" max="7184" width="18.796875" customWidth="1"/>
    <col min="7426" max="7426" width="7.69921875" customWidth="1"/>
    <col min="7427" max="7427" width="32.5" customWidth="1"/>
    <col min="7428" max="7428" width="15.5" customWidth="1"/>
    <col min="7429" max="7429" width="13.5" customWidth="1"/>
    <col min="7430" max="7430" width="14.796875" customWidth="1"/>
    <col min="7431" max="7432" width="14" customWidth="1"/>
    <col min="7433" max="7433" width="12" customWidth="1"/>
    <col min="7434" max="7434" width="5.796875" customWidth="1"/>
    <col min="7435" max="7436" width="7.69921875" customWidth="1"/>
    <col min="7437" max="7437" width="13.5" customWidth="1"/>
    <col min="7438" max="7438" width="7.69921875" customWidth="1"/>
    <col min="7439" max="7439" width="10.19921875" customWidth="1"/>
    <col min="7440" max="7440" width="18.796875" customWidth="1"/>
    <col min="7682" max="7682" width="7.69921875" customWidth="1"/>
    <col min="7683" max="7683" width="32.5" customWidth="1"/>
    <col min="7684" max="7684" width="15.5" customWidth="1"/>
    <col min="7685" max="7685" width="13.5" customWidth="1"/>
    <col min="7686" max="7686" width="14.796875" customWidth="1"/>
    <col min="7687" max="7688" width="14" customWidth="1"/>
    <col min="7689" max="7689" width="12" customWidth="1"/>
    <col min="7690" max="7690" width="5.796875" customWidth="1"/>
    <col min="7691" max="7692" width="7.69921875" customWidth="1"/>
    <col min="7693" max="7693" width="13.5" customWidth="1"/>
    <col min="7694" max="7694" width="7.69921875" customWidth="1"/>
    <col min="7695" max="7695" width="10.19921875" customWidth="1"/>
    <col min="7696" max="7696" width="18.796875" customWidth="1"/>
    <col min="7938" max="7938" width="7.69921875" customWidth="1"/>
    <col min="7939" max="7939" width="32.5" customWidth="1"/>
    <col min="7940" max="7940" width="15.5" customWidth="1"/>
    <col min="7941" max="7941" width="13.5" customWidth="1"/>
    <col min="7942" max="7942" width="14.796875" customWidth="1"/>
    <col min="7943" max="7944" width="14" customWidth="1"/>
    <col min="7945" max="7945" width="12" customWidth="1"/>
    <col min="7946" max="7946" width="5.796875" customWidth="1"/>
    <col min="7947" max="7948" width="7.69921875" customWidth="1"/>
    <col min="7949" max="7949" width="13.5" customWidth="1"/>
    <col min="7950" max="7950" width="7.69921875" customWidth="1"/>
    <col min="7951" max="7951" width="10.19921875" customWidth="1"/>
    <col min="7952" max="7952" width="18.796875" customWidth="1"/>
    <col min="8194" max="8194" width="7.69921875" customWidth="1"/>
    <col min="8195" max="8195" width="32.5" customWidth="1"/>
    <col min="8196" max="8196" width="15.5" customWidth="1"/>
    <col min="8197" max="8197" width="13.5" customWidth="1"/>
    <col min="8198" max="8198" width="14.796875" customWidth="1"/>
    <col min="8199" max="8200" width="14" customWidth="1"/>
    <col min="8201" max="8201" width="12" customWidth="1"/>
    <col min="8202" max="8202" width="5.796875" customWidth="1"/>
    <col min="8203" max="8204" width="7.69921875" customWidth="1"/>
    <col min="8205" max="8205" width="13.5" customWidth="1"/>
    <col min="8206" max="8206" width="7.69921875" customWidth="1"/>
    <col min="8207" max="8207" width="10.19921875" customWidth="1"/>
    <col min="8208" max="8208" width="18.796875" customWidth="1"/>
    <col min="8450" max="8450" width="7.69921875" customWidth="1"/>
    <col min="8451" max="8451" width="32.5" customWidth="1"/>
    <col min="8452" max="8452" width="15.5" customWidth="1"/>
    <col min="8453" max="8453" width="13.5" customWidth="1"/>
    <col min="8454" max="8454" width="14.796875" customWidth="1"/>
    <col min="8455" max="8456" width="14" customWidth="1"/>
    <col min="8457" max="8457" width="12" customWidth="1"/>
    <col min="8458" max="8458" width="5.796875" customWidth="1"/>
    <col min="8459" max="8460" width="7.69921875" customWidth="1"/>
    <col min="8461" max="8461" width="13.5" customWidth="1"/>
    <col min="8462" max="8462" width="7.69921875" customWidth="1"/>
    <col min="8463" max="8463" width="10.19921875" customWidth="1"/>
    <col min="8464" max="8464" width="18.796875" customWidth="1"/>
    <col min="8706" max="8706" width="7.69921875" customWidth="1"/>
    <col min="8707" max="8707" width="32.5" customWidth="1"/>
    <col min="8708" max="8708" width="15.5" customWidth="1"/>
    <col min="8709" max="8709" width="13.5" customWidth="1"/>
    <col min="8710" max="8710" width="14.796875" customWidth="1"/>
    <col min="8711" max="8712" width="14" customWidth="1"/>
    <col min="8713" max="8713" width="12" customWidth="1"/>
    <col min="8714" max="8714" width="5.796875" customWidth="1"/>
    <col min="8715" max="8716" width="7.69921875" customWidth="1"/>
    <col min="8717" max="8717" width="13.5" customWidth="1"/>
    <col min="8718" max="8718" width="7.69921875" customWidth="1"/>
    <col min="8719" max="8719" width="10.19921875" customWidth="1"/>
    <col min="8720" max="8720" width="18.796875" customWidth="1"/>
    <col min="8962" max="8962" width="7.69921875" customWidth="1"/>
    <col min="8963" max="8963" width="32.5" customWidth="1"/>
    <col min="8964" max="8964" width="15.5" customWidth="1"/>
    <col min="8965" max="8965" width="13.5" customWidth="1"/>
    <col min="8966" max="8966" width="14.796875" customWidth="1"/>
    <col min="8967" max="8968" width="14" customWidth="1"/>
    <col min="8969" max="8969" width="12" customWidth="1"/>
    <col min="8970" max="8970" width="5.796875" customWidth="1"/>
    <col min="8971" max="8972" width="7.69921875" customWidth="1"/>
    <col min="8973" max="8973" width="13.5" customWidth="1"/>
    <col min="8974" max="8974" width="7.69921875" customWidth="1"/>
    <col min="8975" max="8975" width="10.19921875" customWidth="1"/>
    <col min="8976" max="8976" width="18.796875" customWidth="1"/>
    <col min="9218" max="9218" width="7.69921875" customWidth="1"/>
    <col min="9219" max="9219" width="32.5" customWidth="1"/>
    <col min="9220" max="9220" width="15.5" customWidth="1"/>
    <col min="9221" max="9221" width="13.5" customWidth="1"/>
    <col min="9222" max="9222" width="14.796875" customWidth="1"/>
    <col min="9223" max="9224" width="14" customWidth="1"/>
    <col min="9225" max="9225" width="12" customWidth="1"/>
    <col min="9226" max="9226" width="5.796875" customWidth="1"/>
    <col min="9227" max="9228" width="7.69921875" customWidth="1"/>
    <col min="9229" max="9229" width="13.5" customWidth="1"/>
    <col min="9230" max="9230" width="7.69921875" customWidth="1"/>
    <col min="9231" max="9231" width="10.19921875" customWidth="1"/>
    <col min="9232" max="9232" width="18.796875" customWidth="1"/>
    <col min="9474" max="9474" width="7.69921875" customWidth="1"/>
    <col min="9475" max="9475" width="32.5" customWidth="1"/>
    <col min="9476" max="9476" width="15.5" customWidth="1"/>
    <col min="9477" max="9477" width="13.5" customWidth="1"/>
    <col min="9478" max="9478" width="14.796875" customWidth="1"/>
    <col min="9479" max="9480" width="14" customWidth="1"/>
    <col min="9481" max="9481" width="12" customWidth="1"/>
    <col min="9482" max="9482" width="5.796875" customWidth="1"/>
    <col min="9483" max="9484" width="7.69921875" customWidth="1"/>
    <col min="9485" max="9485" width="13.5" customWidth="1"/>
    <col min="9486" max="9486" width="7.69921875" customWidth="1"/>
    <col min="9487" max="9487" width="10.19921875" customWidth="1"/>
    <col min="9488" max="9488" width="18.796875" customWidth="1"/>
    <col min="9730" max="9730" width="7.69921875" customWidth="1"/>
    <col min="9731" max="9731" width="32.5" customWidth="1"/>
    <col min="9732" max="9732" width="15.5" customWidth="1"/>
    <col min="9733" max="9733" width="13.5" customWidth="1"/>
    <col min="9734" max="9734" width="14.796875" customWidth="1"/>
    <col min="9735" max="9736" width="14" customWidth="1"/>
    <col min="9737" max="9737" width="12" customWidth="1"/>
    <col min="9738" max="9738" width="5.796875" customWidth="1"/>
    <col min="9739" max="9740" width="7.69921875" customWidth="1"/>
    <col min="9741" max="9741" width="13.5" customWidth="1"/>
    <col min="9742" max="9742" width="7.69921875" customWidth="1"/>
    <col min="9743" max="9743" width="10.19921875" customWidth="1"/>
    <col min="9744" max="9744" width="18.796875" customWidth="1"/>
    <col min="9986" max="9986" width="7.69921875" customWidth="1"/>
    <col min="9987" max="9987" width="32.5" customWidth="1"/>
    <col min="9988" max="9988" width="15.5" customWidth="1"/>
    <col min="9989" max="9989" width="13.5" customWidth="1"/>
    <col min="9990" max="9990" width="14.796875" customWidth="1"/>
    <col min="9991" max="9992" width="14" customWidth="1"/>
    <col min="9993" max="9993" width="12" customWidth="1"/>
    <col min="9994" max="9994" width="5.796875" customWidth="1"/>
    <col min="9995" max="9996" width="7.69921875" customWidth="1"/>
    <col min="9997" max="9997" width="13.5" customWidth="1"/>
    <col min="9998" max="9998" width="7.69921875" customWidth="1"/>
    <col min="9999" max="9999" width="10.19921875" customWidth="1"/>
    <col min="10000" max="10000" width="18.796875" customWidth="1"/>
    <col min="10242" max="10242" width="7.69921875" customWidth="1"/>
    <col min="10243" max="10243" width="32.5" customWidth="1"/>
    <col min="10244" max="10244" width="15.5" customWidth="1"/>
    <col min="10245" max="10245" width="13.5" customWidth="1"/>
    <col min="10246" max="10246" width="14.796875" customWidth="1"/>
    <col min="10247" max="10248" width="14" customWidth="1"/>
    <col min="10249" max="10249" width="12" customWidth="1"/>
    <col min="10250" max="10250" width="5.796875" customWidth="1"/>
    <col min="10251" max="10252" width="7.69921875" customWidth="1"/>
    <col min="10253" max="10253" width="13.5" customWidth="1"/>
    <col min="10254" max="10254" width="7.69921875" customWidth="1"/>
    <col min="10255" max="10255" width="10.19921875" customWidth="1"/>
    <col min="10256" max="10256" width="18.796875" customWidth="1"/>
    <col min="10498" max="10498" width="7.69921875" customWidth="1"/>
    <col min="10499" max="10499" width="32.5" customWidth="1"/>
    <col min="10500" max="10500" width="15.5" customWidth="1"/>
    <col min="10501" max="10501" width="13.5" customWidth="1"/>
    <col min="10502" max="10502" width="14.796875" customWidth="1"/>
    <col min="10503" max="10504" width="14" customWidth="1"/>
    <col min="10505" max="10505" width="12" customWidth="1"/>
    <col min="10506" max="10506" width="5.796875" customWidth="1"/>
    <col min="10507" max="10508" width="7.69921875" customWidth="1"/>
    <col min="10509" max="10509" width="13.5" customWidth="1"/>
    <col min="10510" max="10510" width="7.69921875" customWidth="1"/>
    <col min="10511" max="10511" width="10.19921875" customWidth="1"/>
    <col min="10512" max="10512" width="18.796875" customWidth="1"/>
    <col min="10754" max="10754" width="7.69921875" customWidth="1"/>
    <col min="10755" max="10755" width="32.5" customWidth="1"/>
    <col min="10756" max="10756" width="15.5" customWidth="1"/>
    <col min="10757" max="10757" width="13.5" customWidth="1"/>
    <col min="10758" max="10758" width="14.796875" customWidth="1"/>
    <col min="10759" max="10760" width="14" customWidth="1"/>
    <col min="10761" max="10761" width="12" customWidth="1"/>
    <col min="10762" max="10762" width="5.796875" customWidth="1"/>
    <col min="10763" max="10764" width="7.69921875" customWidth="1"/>
    <col min="10765" max="10765" width="13.5" customWidth="1"/>
    <col min="10766" max="10766" width="7.69921875" customWidth="1"/>
    <col min="10767" max="10767" width="10.19921875" customWidth="1"/>
    <col min="10768" max="10768" width="18.796875" customWidth="1"/>
    <col min="11010" max="11010" width="7.69921875" customWidth="1"/>
    <col min="11011" max="11011" width="32.5" customWidth="1"/>
    <col min="11012" max="11012" width="15.5" customWidth="1"/>
    <col min="11013" max="11013" width="13.5" customWidth="1"/>
    <col min="11014" max="11014" width="14.796875" customWidth="1"/>
    <col min="11015" max="11016" width="14" customWidth="1"/>
    <col min="11017" max="11017" width="12" customWidth="1"/>
    <col min="11018" max="11018" width="5.796875" customWidth="1"/>
    <col min="11019" max="11020" width="7.69921875" customWidth="1"/>
    <col min="11021" max="11021" width="13.5" customWidth="1"/>
    <col min="11022" max="11022" width="7.69921875" customWidth="1"/>
    <col min="11023" max="11023" width="10.19921875" customWidth="1"/>
    <col min="11024" max="11024" width="18.796875" customWidth="1"/>
    <col min="11266" max="11266" width="7.69921875" customWidth="1"/>
    <col min="11267" max="11267" width="32.5" customWidth="1"/>
    <col min="11268" max="11268" width="15.5" customWidth="1"/>
    <col min="11269" max="11269" width="13.5" customWidth="1"/>
    <col min="11270" max="11270" width="14.796875" customWidth="1"/>
    <col min="11271" max="11272" width="14" customWidth="1"/>
    <col min="11273" max="11273" width="12" customWidth="1"/>
    <col min="11274" max="11274" width="5.796875" customWidth="1"/>
    <col min="11275" max="11276" width="7.69921875" customWidth="1"/>
    <col min="11277" max="11277" width="13.5" customWidth="1"/>
    <col min="11278" max="11278" width="7.69921875" customWidth="1"/>
    <col min="11279" max="11279" width="10.19921875" customWidth="1"/>
    <col min="11280" max="11280" width="18.796875" customWidth="1"/>
    <col min="11522" max="11522" width="7.69921875" customWidth="1"/>
    <col min="11523" max="11523" width="32.5" customWidth="1"/>
    <col min="11524" max="11524" width="15.5" customWidth="1"/>
    <col min="11525" max="11525" width="13.5" customWidth="1"/>
    <col min="11526" max="11526" width="14.796875" customWidth="1"/>
    <col min="11527" max="11528" width="14" customWidth="1"/>
    <col min="11529" max="11529" width="12" customWidth="1"/>
    <col min="11530" max="11530" width="5.796875" customWidth="1"/>
    <col min="11531" max="11532" width="7.69921875" customWidth="1"/>
    <col min="11533" max="11533" width="13.5" customWidth="1"/>
    <col min="11534" max="11534" width="7.69921875" customWidth="1"/>
    <col min="11535" max="11535" width="10.19921875" customWidth="1"/>
    <col min="11536" max="11536" width="18.796875" customWidth="1"/>
    <col min="11778" max="11778" width="7.69921875" customWidth="1"/>
    <col min="11779" max="11779" width="32.5" customWidth="1"/>
    <col min="11780" max="11780" width="15.5" customWidth="1"/>
    <col min="11781" max="11781" width="13.5" customWidth="1"/>
    <col min="11782" max="11782" width="14.796875" customWidth="1"/>
    <col min="11783" max="11784" width="14" customWidth="1"/>
    <col min="11785" max="11785" width="12" customWidth="1"/>
    <col min="11786" max="11786" width="5.796875" customWidth="1"/>
    <col min="11787" max="11788" width="7.69921875" customWidth="1"/>
    <col min="11789" max="11789" width="13.5" customWidth="1"/>
    <col min="11790" max="11790" width="7.69921875" customWidth="1"/>
    <col min="11791" max="11791" width="10.19921875" customWidth="1"/>
    <col min="11792" max="11792" width="18.796875" customWidth="1"/>
    <col min="12034" max="12034" width="7.69921875" customWidth="1"/>
    <col min="12035" max="12035" width="32.5" customWidth="1"/>
    <col min="12036" max="12036" width="15.5" customWidth="1"/>
    <col min="12037" max="12037" width="13.5" customWidth="1"/>
    <col min="12038" max="12038" width="14.796875" customWidth="1"/>
    <col min="12039" max="12040" width="14" customWidth="1"/>
    <col min="12041" max="12041" width="12" customWidth="1"/>
    <col min="12042" max="12042" width="5.796875" customWidth="1"/>
    <col min="12043" max="12044" width="7.69921875" customWidth="1"/>
    <col min="12045" max="12045" width="13.5" customWidth="1"/>
    <col min="12046" max="12046" width="7.69921875" customWidth="1"/>
    <col min="12047" max="12047" width="10.19921875" customWidth="1"/>
    <col min="12048" max="12048" width="18.796875" customWidth="1"/>
    <col min="12290" max="12290" width="7.69921875" customWidth="1"/>
    <col min="12291" max="12291" width="32.5" customWidth="1"/>
    <col min="12292" max="12292" width="15.5" customWidth="1"/>
    <col min="12293" max="12293" width="13.5" customWidth="1"/>
    <col min="12294" max="12294" width="14.796875" customWidth="1"/>
    <col min="12295" max="12296" width="14" customWidth="1"/>
    <col min="12297" max="12297" width="12" customWidth="1"/>
    <col min="12298" max="12298" width="5.796875" customWidth="1"/>
    <col min="12299" max="12300" width="7.69921875" customWidth="1"/>
    <col min="12301" max="12301" width="13.5" customWidth="1"/>
    <col min="12302" max="12302" width="7.69921875" customWidth="1"/>
    <col min="12303" max="12303" width="10.19921875" customWidth="1"/>
    <col min="12304" max="12304" width="18.796875" customWidth="1"/>
    <col min="12546" max="12546" width="7.69921875" customWidth="1"/>
    <col min="12547" max="12547" width="32.5" customWidth="1"/>
    <col min="12548" max="12548" width="15.5" customWidth="1"/>
    <col min="12549" max="12549" width="13.5" customWidth="1"/>
    <col min="12550" max="12550" width="14.796875" customWidth="1"/>
    <col min="12551" max="12552" width="14" customWidth="1"/>
    <col min="12553" max="12553" width="12" customWidth="1"/>
    <col min="12554" max="12554" width="5.796875" customWidth="1"/>
    <col min="12555" max="12556" width="7.69921875" customWidth="1"/>
    <col min="12557" max="12557" width="13.5" customWidth="1"/>
    <col min="12558" max="12558" width="7.69921875" customWidth="1"/>
    <col min="12559" max="12559" width="10.19921875" customWidth="1"/>
    <col min="12560" max="12560" width="18.796875" customWidth="1"/>
    <col min="12802" max="12802" width="7.69921875" customWidth="1"/>
    <col min="12803" max="12803" width="32.5" customWidth="1"/>
    <col min="12804" max="12804" width="15.5" customWidth="1"/>
    <col min="12805" max="12805" width="13.5" customWidth="1"/>
    <col min="12806" max="12806" width="14.796875" customWidth="1"/>
    <col min="12807" max="12808" width="14" customWidth="1"/>
    <col min="12809" max="12809" width="12" customWidth="1"/>
    <col min="12810" max="12810" width="5.796875" customWidth="1"/>
    <col min="12811" max="12812" width="7.69921875" customWidth="1"/>
    <col min="12813" max="12813" width="13.5" customWidth="1"/>
    <col min="12814" max="12814" width="7.69921875" customWidth="1"/>
    <col min="12815" max="12815" width="10.19921875" customWidth="1"/>
    <col min="12816" max="12816" width="18.796875" customWidth="1"/>
    <col min="13058" max="13058" width="7.69921875" customWidth="1"/>
    <col min="13059" max="13059" width="32.5" customWidth="1"/>
    <col min="13060" max="13060" width="15.5" customWidth="1"/>
    <col min="13061" max="13061" width="13.5" customWidth="1"/>
    <col min="13062" max="13062" width="14.796875" customWidth="1"/>
    <col min="13063" max="13064" width="14" customWidth="1"/>
    <col min="13065" max="13065" width="12" customWidth="1"/>
    <col min="13066" max="13066" width="5.796875" customWidth="1"/>
    <col min="13067" max="13068" width="7.69921875" customWidth="1"/>
    <col min="13069" max="13069" width="13.5" customWidth="1"/>
    <col min="13070" max="13070" width="7.69921875" customWidth="1"/>
    <col min="13071" max="13071" width="10.19921875" customWidth="1"/>
    <col min="13072" max="13072" width="18.796875" customWidth="1"/>
    <col min="13314" max="13314" width="7.69921875" customWidth="1"/>
    <col min="13315" max="13315" width="32.5" customWidth="1"/>
    <col min="13316" max="13316" width="15.5" customWidth="1"/>
    <col min="13317" max="13317" width="13.5" customWidth="1"/>
    <col min="13318" max="13318" width="14.796875" customWidth="1"/>
    <col min="13319" max="13320" width="14" customWidth="1"/>
    <col min="13321" max="13321" width="12" customWidth="1"/>
    <col min="13322" max="13322" width="5.796875" customWidth="1"/>
    <col min="13323" max="13324" width="7.69921875" customWidth="1"/>
    <col min="13325" max="13325" width="13.5" customWidth="1"/>
    <col min="13326" max="13326" width="7.69921875" customWidth="1"/>
    <col min="13327" max="13327" width="10.19921875" customWidth="1"/>
    <col min="13328" max="13328" width="18.796875" customWidth="1"/>
    <col min="13570" max="13570" width="7.69921875" customWidth="1"/>
    <col min="13571" max="13571" width="32.5" customWidth="1"/>
    <col min="13572" max="13572" width="15.5" customWidth="1"/>
    <col min="13573" max="13573" width="13.5" customWidth="1"/>
    <col min="13574" max="13574" width="14.796875" customWidth="1"/>
    <col min="13575" max="13576" width="14" customWidth="1"/>
    <col min="13577" max="13577" width="12" customWidth="1"/>
    <col min="13578" max="13578" width="5.796875" customWidth="1"/>
    <col min="13579" max="13580" width="7.69921875" customWidth="1"/>
    <col min="13581" max="13581" width="13.5" customWidth="1"/>
    <col min="13582" max="13582" width="7.69921875" customWidth="1"/>
    <col min="13583" max="13583" width="10.19921875" customWidth="1"/>
    <col min="13584" max="13584" width="18.796875" customWidth="1"/>
    <col min="13826" max="13826" width="7.69921875" customWidth="1"/>
    <col min="13827" max="13827" width="32.5" customWidth="1"/>
    <col min="13828" max="13828" width="15.5" customWidth="1"/>
    <col min="13829" max="13829" width="13.5" customWidth="1"/>
    <col min="13830" max="13830" width="14.796875" customWidth="1"/>
    <col min="13831" max="13832" width="14" customWidth="1"/>
    <col min="13833" max="13833" width="12" customWidth="1"/>
    <col min="13834" max="13834" width="5.796875" customWidth="1"/>
    <col min="13835" max="13836" width="7.69921875" customWidth="1"/>
    <col min="13837" max="13837" width="13.5" customWidth="1"/>
    <col min="13838" max="13838" width="7.69921875" customWidth="1"/>
    <col min="13839" max="13839" width="10.19921875" customWidth="1"/>
    <col min="13840" max="13840" width="18.796875" customWidth="1"/>
    <col min="14082" max="14082" width="7.69921875" customWidth="1"/>
    <col min="14083" max="14083" width="32.5" customWidth="1"/>
    <col min="14084" max="14084" width="15.5" customWidth="1"/>
    <col min="14085" max="14085" width="13.5" customWidth="1"/>
    <col min="14086" max="14086" width="14.796875" customWidth="1"/>
    <col min="14087" max="14088" width="14" customWidth="1"/>
    <col min="14089" max="14089" width="12" customWidth="1"/>
    <col min="14090" max="14090" width="5.796875" customWidth="1"/>
    <col min="14091" max="14092" width="7.69921875" customWidth="1"/>
    <col min="14093" max="14093" width="13.5" customWidth="1"/>
    <col min="14094" max="14094" width="7.69921875" customWidth="1"/>
    <col min="14095" max="14095" width="10.19921875" customWidth="1"/>
    <col min="14096" max="14096" width="18.796875" customWidth="1"/>
    <col min="14338" max="14338" width="7.69921875" customWidth="1"/>
    <col min="14339" max="14339" width="32.5" customWidth="1"/>
    <col min="14340" max="14340" width="15.5" customWidth="1"/>
    <col min="14341" max="14341" width="13.5" customWidth="1"/>
    <col min="14342" max="14342" width="14.796875" customWidth="1"/>
    <col min="14343" max="14344" width="14" customWidth="1"/>
    <col min="14345" max="14345" width="12" customWidth="1"/>
    <col min="14346" max="14346" width="5.796875" customWidth="1"/>
    <col min="14347" max="14348" width="7.69921875" customWidth="1"/>
    <col min="14349" max="14349" width="13.5" customWidth="1"/>
    <col min="14350" max="14350" width="7.69921875" customWidth="1"/>
    <col min="14351" max="14351" width="10.19921875" customWidth="1"/>
    <col min="14352" max="14352" width="18.796875" customWidth="1"/>
    <col min="14594" max="14594" width="7.69921875" customWidth="1"/>
    <col min="14595" max="14595" width="32.5" customWidth="1"/>
    <col min="14596" max="14596" width="15.5" customWidth="1"/>
    <col min="14597" max="14597" width="13.5" customWidth="1"/>
    <col min="14598" max="14598" width="14.796875" customWidth="1"/>
    <col min="14599" max="14600" width="14" customWidth="1"/>
    <col min="14601" max="14601" width="12" customWidth="1"/>
    <col min="14602" max="14602" width="5.796875" customWidth="1"/>
    <col min="14603" max="14604" width="7.69921875" customWidth="1"/>
    <col min="14605" max="14605" width="13.5" customWidth="1"/>
    <col min="14606" max="14606" width="7.69921875" customWidth="1"/>
    <col min="14607" max="14607" width="10.19921875" customWidth="1"/>
    <col min="14608" max="14608" width="18.796875" customWidth="1"/>
    <col min="14850" max="14850" width="7.69921875" customWidth="1"/>
    <col min="14851" max="14851" width="32.5" customWidth="1"/>
    <col min="14852" max="14852" width="15.5" customWidth="1"/>
    <col min="14853" max="14853" width="13.5" customWidth="1"/>
    <col min="14854" max="14854" width="14.796875" customWidth="1"/>
    <col min="14855" max="14856" width="14" customWidth="1"/>
    <col min="14857" max="14857" width="12" customWidth="1"/>
    <col min="14858" max="14858" width="5.796875" customWidth="1"/>
    <col min="14859" max="14860" width="7.69921875" customWidth="1"/>
    <col min="14861" max="14861" width="13.5" customWidth="1"/>
    <col min="14862" max="14862" width="7.69921875" customWidth="1"/>
    <col min="14863" max="14863" width="10.19921875" customWidth="1"/>
    <col min="14864" max="14864" width="18.796875" customWidth="1"/>
    <col min="15106" max="15106" width="7.69921875" customWidth="1"/>
    <col min="15107" max="15107" width="32.5" customWidth="1"/>
    <col min="15108" max="15108" width="15.5" customWidth="1"/>
    <col min="15109" max="15109" width="13.5" customWidth="1"/>
    <col min="15110" max="15110" width="14.796875" customWidth="1"/>
    <col min="15111" max="15112" width="14" customWidth="1"/>
    <col min="15113" max="15113" width="12" customWidth="1"/>
    <col min="15114" max="15114" width="5.796875" customWidth="1"/>
    <col min="15115" max="15116" width="7.69921875" customWidth="1"/>
    <col min="15117" max="15117" width="13.5" customWidth="1"/>
    <col min="15118" max="15118" width="7.69921875" customWidth="1"/>
    <col min="15119" max="15119" width="10.19921875" customWidth="1"/>
    <col min="15120" max="15120" width="18.796875" customWidth="1"/>
    <col min="15362" max="15362" width="7.69921875" customWidth="1"/>
    <col min="15363" max="15363" width="32.5" customWidth="1"/>
    <col min="15364" max="15364" width="15.5" customWidth="1"/>
    <col min="15365" max="15365" width="13.5" customWidth="1"/>
    <col min="15366" max="15366" width="14.796875" customWidth="1"/>
    <col min="15367" max="15368" width="14" customWidth="1"/>
    <col min="15369" max="15369" width="12" customWidth="1"/>
    <col min="15370" max="15370" width="5.796875" customWidth="1"/>
    <col min="15371" max="15372" width="7.69921875" customWidth="1"/>
    <col min="15373" max="15373" width="13.5" customWidth="1"/>
    <col min="15374" max="15374" width="7.69921875" customWidth="1"/>
    <col min="15375" max="15375" width="10.19921875" customWidth="1"/>
    <col min="15376" max="15376" width="18.796875" customWidth="1"/>
    <col min="15618" max="15618" width="7.69921875" customWidth="1"/>
    <col min="15619" max="15619" width="32.5" customWidth="1"/>
    <col min="15620" max="15620" width="15.5" customWidth="1"/>
    <col min="15621" max="15621" width="13.5" customWidth="1"/>
    <col min="15622" max="15622" width="14.796875" customWidth="1"/>
    <col min="15623" max="15624" width="14" customWidth="1"/>
    <col min="15625" max="15625" width="12" customWidth="1"/>
    <col min="15626" max="15626" width="5.796875" customWidth="1"/>
    <col min="15627" max="15628" width="7.69921875" customWidth="1"/>
    <col min="15629" max="15629" width="13.5" customWidth="1"/>
    <col min="15630" max="15630" width="7.69921875" customWidth="1"/>
    <col min="15631" max="15631" width="10.19921875" customWidth="1"/>
    <col min="15632" max="15632" width="18.796875" customWidth="1"/>
    <col min="15874" max="15874" width="7.69921875" customWidth="1"/>
    <col min="15875" max="15875" width="32.5" customWidth="1"/>
    <col min="15876" max="15876" width="15.5" customWidth="1"/>
    <col min="15877" max="15877" width="13.5" customWidth="1"/>
    <col min="15878" max="15878" width="14.796875" customWidth="1"/>
    <col min="15879" max="15880" width="14" customWidth="1"/>
    <col min="15881" max="15881" width="12" customWidth="1"/>
    <col min="15882" max="15882" width="5.796875" customWidth="1"/>
    <col min="15883" max="15884" width="7.69921875" customWidth="1"/>
    <col min="15885" max="15885" width="13.5" customWidth="1"/>
    <col min="15886" max="15886" width="7.69921875" customWidth="1"/>
    <col min="15887" max="15887" width="10.19921875" customWidth="1"/>
    <col min="15888" max="15888" width="18.796875" customWidth="1"/>
    <col min="16130" max="16130" width="7.69921875" customWidth="1"/>
    <col min="16131" max="16131" width="32.5" customWidth="1"/>
    <col min="16132" max="16132" width="15.5" customWidth="1"/>
    <col min="16133" max="16133" width="13.5" customWidth="1"/>
    <col min="16134" max="16134" width="14.796875" customWidth="1"/>
    <col min="16135" max="16136" width="14" customWidth="1"/>
    <col min="16137" max="16137" width="12" customWidth="1"/>
    <col min="16138" max="16138" width="5.796875" customWidth="1"/>
    <col min="16139" max="16140" width="7.69921875" customWidth="1"/>
    <col min="16141" max="16141" width="13.5" customWidth="1"/>
    <col min="16142" max="16142" width="7.69921875" customWidth="1"/>
    <col min="16143" max="16143" width="10.19921875" customWidth="1"/>
    <col min="16144" max="16144" width="18.796875" customWidth="1"/>
  </cols>
  <sheetData>
    <row r="1" spans="1:60">
      <c r="A1" s="318" t="s">
        <v>1673</v>
      </c>
    </row>
    <row r="2" spans="1:60">
      <c r="A2" s="222" t="s">
        <v>1674</v>
      </c>
      <c r="B2" s="222"/>
      <c r="C2" s="221"/>
      <c r="D2" s="221"/>
      <c r="E2" s="221"/>
      <c r="F2" s="221"/>
      <c r="G2" s="221"/>
      <c r="H2" s="387" t="s">
        <v>1608</v>
      </c>
      <c r="I2" s="388"/>
      <c r="J2" s="388"/>
      <c r="K2" s="389"/>
      <c r="L2" s="387" t="s">
        <v>1609</v>
      </c>
      <c r="M2" s="388"/>
      <c r="N2" s="388"/>
      <c r="O2" s="389"/>
      <c r="P2" s="387" t="s">
        <v>1610</v>
      </c>
      <c r="Q2" s="388"/>
      <c r="R2" s="388"/>
      <c r="S2" s="389"/>
      <c r="T2" s="387" t="s">
        <v>1611</v>
      </c>
      <c r="U2" s="388"/>
      <c r="V2" s="388"/>
      <c r="W2" s="389"/>
      <c r="X2" s="387" t="s">
        <v>1612</v>
      </c>
      <c r="Y2" s="388"/>
      <c r="Z2" s="388"/>
      <c r="AA2" s="389"/>
      <c r="AB2" s="387" t="s">
        <v>1613</v>
      </c>
      <c r="AC2" s="388"/>
      <c r="AD2" s="388"/>
      <c r="AE2" s="389"/>
      <c r="AF2" s="387" t="s">
        <v>1614</v>
      </c>
      <c r="AG2" s="388"/>
      <c r="AH2" s="388"/>
      <c r="AI2" s="389"/>
      <c r="AJ2" s="387" t="s">
        <v>1615</v>
      </c>
      <c r="AK2" s="388"/>
      <c r="AL2" s="388"/>
      <c r="AM2" s="389"/>
      <c r="AN2" s="387" t="s">
        <v>1616</v>
      </c>
      <c r="AO2" s="388"/>
      <c r="AP2" s="388"/>
      <c r="AQ2" s="389"/>
      <c r="AR2" s="387" t="s">
        <v>1617</v>
      </c>
      <c r="AS2" s="388"/>
      <c r="AT2" s="388"/>
      <c r="AU2" s="389"/>
      <c r="AV2" s="387" t="s">
        <v>1618</v>
      </c>
      <c r="AW2" s="388"/>
      <c r="AX2" s="388"/>
      <c r="AY2" s="389"/>
      <c r="AZ2" s="387" t="s">
        <v>1619</v>
      </c>
      <c r="BA2" s="388"/>
      <c r="BB2" s="388"/>
      <c r="BC2" s="389"/>
      <c r="BD2" s="272" t="s">
        <v>1657</v>
      </c>
      <c r="BE2" s="390" t="s">
        <v>1669</v>
      </c>
      <c r="BF2" s="391"/>
      <c r="BG2" s="391"/>
      <c r="BH2" s="392"/>
    </row>
    <row r="3" spans="1:60" ht="18" customHeight="1">
      <c r="A3" s="221"/>
      <c r="B3" s="222" t="s">
        <v>1620</v>
      </c>
      <c r="C3" s="221"/>
      <c r="D3" s="221"/>
      <c r="E3" s="221"/>
      <c r="F3" s="221"/>
      <c r="G3" s="221"/>
      <c r="H3" s="223">
        <f>H23</f>
        <v>501.4</v>
      </c>
      <c r="I3" s="273"/>
      <c r="J3" s="273"/>
      <c r="K3" s="274"/>
      <c r="L3" s="223">
        <f>I23</f>
        <v>503.45</v>
      </c>
      <c r="M3" s="273"/>
      <c r="N3" s="273"/>
      <c r="O3" s="274"/>
      <c r="P3" s="223">
        <f>J23</f>
        <v>506.65</v>
      </c>
      <c r="Q3" s="273"/>
      <c r="R3" s="273"/>
      <c r="S3" s="274"/>
      <c r="T3" s="223">
        <f>K23</f>
        <v>510.09999999999997</v>
      </c>
      <c r="U3" s="273"/>
      <c r="V3" s="273"/>
      <c r="W3" s="274"/>
      <c r="X3" s="223">
        <f>L23</f>
        <v>516.29999999999995</v>
      </c>
      <c r="Y3" s="273"/>
      <c r="Z3" s="273"/>
      <c r="AA3" s="274"/>
      <c r="AB3" s="223">
        <f>M23</f>
        <v>521.15</v>
      </c>
      <c r="AC3" s="273"/>
      <c r="AD3" s="273"/>
      <c r="AE3" s="274"/>
      <c r="AF3" s="223">
        <f>N23</f>
        <v>528.04999999999995</v>
      </c>
      <c r="AG3" s="273"/>
      <c r="AH3" s="273"/>
      <c r="AI3" s="274"/>
      <c r="AJ3" s="223">
        <f>O23</f>
        <v>527.5</v>
      </c>
      <c r="AK3" s="273"/>
      <c r="AL3" s="273"/>
      <c r="AM3" s="274"/>
      <c r="AN3" s="223">
        <f>P23</f>
        <v>522.95000000000005</v>
      </c>
      <c r="AO3" s="273"/>
      <c r="AP3" s="273"/>
      <c r="AQ3" s="274"/>
      <c r="AR3" s="275">
        <f>Q23</f>
        <v>513.25</v>
      </c>
      <c r="AS3" s="273"/>
      <c r="AT3" s="273"/>
      <c r="AU3" s="274"/>
      <c r="AV3" s="275">
        <f>R23</f>
        <v>505.5</v>
      </c>
      <c r="AW3" s="273"/>
      <c r="AX3" s="273"/>
      <c r="AY3" s="274"/>
      <c r="AZ3" s="275">
        <f>S23</f>
        <v>500.85</v>
      </c>
      <c r="BA3" s="273"/>
      <c r="BB3" s="273"/>
      <c r="BC3" s="274"/>
      <c r="BD3" s="276"/>
      <c r="BE3" s="275">
        <f>T23</f>
        <v>554.67000000000007</v>
      </c>
      <c r="BF3" s="273"/>
      <c r="BG3" s="273"/>
      <c r="BH3" s="274"/>
    </row>
    <row r="4" spans="1:60" ht="59.4">
      <c r="A4" s="221"/>
      <c r="B4" s="224" t="s">
        <v>1621</v>
      </c>
      <c r="C4" s="225" t="s">
        <v>1622</v>
      </c>
      <c r="D4" s="225" t="s">
        <v>1623</v>
      </c>
      <c r="E4" s="224" t="s">
        <v>1624</v>
      </c>
      <c r="F4" s="225" t="s">
        <v>1625</v>
      </c>
      <c r="G4" s="225" t="s">
        <v>1626</v>
      </c>
      <c r="H4" s="225" t="s">
        <v>1627</v>
      </c>
      <c r="I4" s="225" t="s">
        <v>1628</v>
      </c>
      <c r="J4" s="225" t="s">
        <v>1629</v>
      </c>
      <c r="K4" s="225" t="s">
        <v>1630</v>
      </c>
      <c r="L4" s="225" t="s">
        <v>1627</v>
      </c>
      <c r="M4" s="225" t="s">
        <v>1628</v>
      </c>
      <c r="N4" s="225" t="s">
        <v>1629</v>
      </c>
      <c r="O4" s="225" t="s">
        <v>1630</v>
      </c>
      <c r="P4" s="225" t="s">
        <v>1627</v>
      </c>
      <c r="Q4" s="225" t="s">
        <v>1628</v>
      </c>
      <c r="R4" s="225" t="s">
        <v>1629</v>
      </c>
      <c r="S4" s="225" t="s">
        <v>1630</v>
      </c>
      <c r="T4" s="225" t="s">
        <v>1627</v>
      </c>
      <c r="U4" s="225" t="s">
        <v>1628</v>
      </c>
      <c r="V4" s="225" t="s">
        <v>1629</v>
      </c>
      <c r="W4" s="225" t="s">
        <v>1630</v>
      </c>
      <c r="X4" s="225" t="s">
        <v>1627</v>
      </c>
      <c r="Y4" s="225" t="s">
        <v>1628</v>
      </c>
      <c r="Z4" s="225" t="s">
        <v>1629</v>
      </c>
      <c r="AA4" s="225" t="s">
        <v>1630</v>
      </c>
      <c r="AB4" s="225" t="s">
        <v>1627</v>
      </c>
      <c r="AC4" s="225" t="s">
        <v>1628</v>
      </c>
      <c r="AD4" s="225" t="s">
        <v>1629</v>
      </c>
      <c r="AE4" s="225" t="s">
        <v>1630</v>
      </c>
      <c r="AF4" s="225" t="s">
        <v>1627</v>
      </c>
      <c r="AG4" s="225" t="s">
        <v>1628</v>
      </c>
      <c r="AH4" s="225" t="s">
        <v>1629</v>
      </c>
      <c r="AI4" s="225" t="s">
        <v>1630</v>
      </c>
      <c r="AJ4" s="225" t="s">
        <v>1627</v>
      </c>
      <c r="AK4" s="225" t="s">
        <v>1628</v>
      </c>
      <c r="AL4" s="225" t="s">
        <v>1629</v>
      </c>
      <c r="AM4" s="225" t="s">
        <v>1630</v>
      </c>
      <c r="AN4" s="225" t="s">
        <v>1627</v>
      </c>
      <c r="AO4" s="225" t="s">
        <v>1628</v>
      </c>
      <c r="AP4" s="225" t="s">
        <v>1629</v>
      </c>
      <c r="AQ4" s="225" t="s">
        <v>1630</v>
      </c>
      <c r="AR4" s="225" t="s">
        <v>1627</v>
      </c>
      <c r="AS4" s="225" t="s">
        <v>1628</v>
      </c>
      <c r="AT4" s="225" t="s">
        <v>1629</v>
      </c>
      <c r="AU4" s="225" t="s">
        <v>1630</v>
      </c>
      <c r="AV4" s="225" t="s">
        <v>1627</v>
      </c>
      <c r="AW4" s="225" t="s">
        <v>1628</v>
      </c>
      <c r="AX4" s="225" t="s">
        <v>1629</v>
      </c>
      <c r="AY4" s="225" t="s">
        <v>1630</v>
      </c>
      <c r="AZ4" s="225" t="s">
        <v>1627</v>
      </c>
      <c r="BA4" s="225" t="s">
        <v>1628</v>
      </c>
      <c r="BB4" s="225" t="s">
        <v>1629</v>
      </c>
      <c r="BC4" s="225" t="s">
        <v>1630</v>
      </c>
      <c r="BD4" s="283" t="s">
        <v>1658</v>
      </c>
      <c r="BE4" s="225" t="s">
        <v>1627</v>
      </c>
      <c r="BF4" s="225" t="s">
        <v>1628</v>
      </c>
      <c r="BG4" s="225" t="s">
        <v>1629</v>
      </c>
      <c r="BH4" s="225" t="s">
        <v>1630</v>
      </c>
    </row>
    <row r="5" spans="1:60">
      <c r="A5" s="221" t="s">
        <v>1595</v>
      </c>
      <c r="B5" s="226" t="s">
        <v>88</v>
      </c>
      <c r="C5" s="271">
        <v>0</v>
      </c>
      <c r="D5" s="228">
        <v>142.19710000000001</v>
      </c>
      <c r="E5" s="229">
        <f t="shared" ref="E5:E14" si="0">C5/D5</f>
        <v>0</v>
      </c>
      <c r="F5" s="230">
        <f t="shared" ref="F5:F17" si="1">E5/$E$18</f>
        <v>0</v>
      </c>
      <c r="G5" s="228">
        <f t="shared" ref="G5:G18" si="2">F5</f>
        <v>0</v>
      </c>
      <c r="H5" s="231">
        <f t="shared" ref="H5:H17" si="3">$G5*$H30</f>
        <v>0</v>
      </c>
      <c r="I5" s="228">
        <f t="shared" ref="I5:I17" si="4">H5/($H$18)</f>
        <v>0</v>
      </c>
      <c r="J5" s="232">
        <f>I5*$D5</f>
        <v>0</v>
      </c>
      <c r="K5" s="233">
        <f t="shared" ref="K5:K17" si="5">J5/$J$18</f>
        <v>0</v>
      </c>
      <c r="L5" s="231">
        <f t="shared" ref="L5:L17" si="6">$G5*I30</f>
        <v>0</v>
      </c>
      <c r="M5" s="228">
        <f t="shared" ref="M5:M17" si="7">L5/($L$18)</f>
        <v>0</v>
      </c>
      <c r="N5" s="232">
        <f>M5*$D5</f>
        <v>0</v>
      </c>
      <c r="O5" s="233">
        <f t="shared" ref="O5:O17" si="8">N5/$N$18</f>
        <v>0</v>
      </c>
      <c r="P5" s="231">
        <f t="shared" ref="P5:P17" si="9">G5*J30</f>
        <v>0</v>
      </c>
      <c r="Q5" s="228">
        <f>P5/($P$18)</f>
        <v>0</v>
      </c>
      <c r="R5" s="232">
        <f t="shared" ref="R5:R15" si="10">Q5*$D5</f>
        <v>0</v>
      </c>
      <c r="S5" s="233">
        <f t="shared" ref="S5:S17" si="11">R5/$R$18</f>
        <v>0</v>
      </c>
      <c r="T5" s="231">
        <f>$G5*K30</f>
        <v>0</v>
      </c>
      <c r="U5" s="228">
        <f>T5/($T$18)</f>
        <v>0</v>
      </c>
      <c r="V5" s="232">
        <f t="shared" ref="V5:V17" si="12">U5*$D5</f>
        <v>0</v>
      </c>
      <c r="W5" s="233">
        <f t="shared" ref="W5:W17" si="13">V5/$V$18</f>
        <v>0</v>
      </c>
      <c r="X5" s="231">
        <f t="shared" ref="X5:X17" si="14">G5*L30</f>
        <v>0</v>
      </c>
      <c r="Y5" s="228">
        <f t="shared" ref="Y5:Y17" si="15">X5/($X$18)</f>
        <v>0</v>
      </c>
      <c r="Z5" s="232">
        <f t="shared" ref="Z5:Z17" si="16">Y5*$D5</f>
        <v>0</v>
      </c>
      <c r="AA5" s="233">
        <f t="shared" ref="AA5:AA17" si="17">Z5/$Z$18</f>
        <v>0</v>
      </c>
      <c r="AB5" s="231">
        <f t="shared" ref="AB5:AB17" si="18">G5*M30</f>
        <v>0</v>
      </c>
      <c r="AC5" s="228">
        <f t="shared" ref="AC5:AC17" si="19">AB5/($AB$18)</f>
        <v>0</v>
      </c>
      <c r="AD5" s="232">
        <f t="shared" ref="AD5:AD17" si="20">AC5*$D5</f>
        <v>0</v>
      </c>
      <c r="AE5" s="233">
        <f t="shared" ref="AE5:AE17" si="21">AD5/$AD$18</f>
        <v>0</v>
      </c>
      <c r="AF5" s="231">
        <f t="shared" ref="AF5:AF17" si="22">G5*N30</f>
        <v>0</v>
      </c>
      <c r="AG5" s="234">
        <f t="shared" ref="AG5:AG17" si="23">AF5/($AF$18)</f>
        <v>0</v>
      </c>
      <c r="AH5" s="231">
        <f t="shared" ref="AH5:AH17" si="24">AG5*$D5</f>
        <v>0</v>
      </c>
      <c r="AI5" s="233">
        <f t="shared" ref="AI5:AI17" si="25">AH5/$AH$18</f>
        <v>0</v>
      </c>
      <c r="AJ5" s="231">
        <f t="shared" ref="AJ5:AJ17" si="26">G5*O30</f>
        <v>0</v>
      </c>
      <c r="AK5" s="234">
        <f t="shared" ref="AK5:AK17" si="27">AJ5/($AJ$18)</f>
        <v>0</v>
      </c>
      <c r="AL5" s="231">
        <f t="shared" ref="AL5:AL17" si="28">AK5*$D5</f>
        <v>0</v>
      </c>
      <c r="AM5" s="233">
        <f t="shared" ref="AM5:AM17" si="29">AL5/$AL$18</f>
        <v>0</v>
      </c>
      <c r="AN5" s="231">
        <f t="shared" ref="AN5:AN17" si="30">G5*P30</f>
        <v>0</v>
      </c>
      <c r="AO5" s="234">
        <f t="shared" ref="AO5:AO17" si="31">AN5/($AN$18)</f>
        <v>0</v>
      </c>
      <c r="AP5" s="231">
        <f t="shared" ref="AP5:AP17" si="32">AO5*$D5</f>
        <v>0</v>
      </c>
      <c r="AQ5" s="233">
        <f t="shared" ref="AQ5:AQ17" si="33">AP5/$AP$18</f>
        <v>0</v>
      </c>
      <c r="AR5" s="231">
        <f t="shared" ref="AR5:AR17" si="34">G5*Q30</f>
        <v>0</v>
      </c>
      <c r="AS5" s="234">
        <f t="shared" ref="AS5:AS17" si="35">AR5/($AR$18)</f>
        <v>0</v>
      </c>
      <c r="AT5" s="231">
        <f t="shared" ref="AT5:AT17" si="36">AS5*$D5</f>
        <v>0</v>
      </c>
      <c r="AU5" s="233">
        <f t="shared" ref="AU5:AU17" si="37">AT5/$AT$18</f>
        <v>0</v>
      </c>
      <c r="AV5" s="231">
        <f t="shared" ref="AV5:AV17" si="38">G5*R30</f>
        <v>0</v>
      </c>
      <c r="AW5" s="234">
        <f t="shared" ref="AW5:AW17" si="39">AV5/($AV$18)</f>
        <v>0</v>
      </c>
      <c r="AX5" s="231">
        <f t="shared" ref="AX5:AX17" si="40">AW5*$D5</f>
        <v>0</v>
      </c>
      <c r="AY5" s="233">
        <f t="shared" ref="AY5:AY17" si="41">AX5/$AX$18</f>
        <v>0</v>
      </c>
      <c r="AZ5" s="231">
        <f t="shared" ref="AZ5:AZ17" si="42">G5*S30</f>
        <v>0</v>
      </c>
      <c r="BA5" s="234">
        <f t="shared" ref="BA5:BA17" si="43">AZ5/($AZ$18)</f>
        <v>0</v>
      </c>
      <c r="BB5" s="231">
        <f t="shared" ref="BB5:BB17" si="44">BA5*$D5</f>
        <v>0</v>
      </c>
      <c r="BC5" s="233">
        <f t="shared" ref="BC5:BC17" si="45">BB5/$BB$18</f>
        <v>0</v>
      </c>
      <c r="BD5" s="284">
        <f t="shared" ref="BD5:BD17" si="46">MAX(K5,O5,S5,W5,AA5,AE5,AI5,AM5,AQ5,AU5,AY5,BC5)</f>
        <v>0</v>
      </c>
      <c r="BE5" s="231">
        <f t="shared" ref="BE5:BE17" si="47">G5*T30</f>
        <v>0</v>
      </c>
      <c r="BF5" s="234">
        <f t="shared" ref="BF5:BF17" si="48">BE5/($BE$18)</f>
        <v>0</v>
      </c>
      <c r="BG5" s="231">
        <f>BF5*$D5</f>
        <v>0</v>
      </c>
      <c r="BH5" s="233">
        <f t="shared" ref="BH5:BH17" si="49">BG5/$BG$18</f>
        <v>0</v>
      </c>
    </row>
    <row r="6" spans="1:60">
      <c r="A6" s="221" t="s">
        <v>1596</v>
      </c>
      <c r="B6" s="226" t="s">
        <v>693</v>
      </c>
      <c r="C6" s="271">
        <v>0</v>
      </c>
      <c r="D6" s="228">
        <v>128.16999999999999</v>
      </c>
      <c r="E6" s="229">
        <f t="shared" si="0"/>
        <v>0</v>
      </c>
      <c r="F6" s="230">
        <f t="shared" si="1"/>
        <v>0</v>
      </c>
      <c r="G6" s="228">
        <f t="shared" si="2"/>
        <v>0</v>
      </c>
      <c r="H6" s="231">
        <f t="shared" si="3"/>
        <v>0</v>
      </c>
      <c r="I6" s="228">
        <f t="shared" si="4"/>
        <v>0</v>
      </c>
      <c r="J6" s="232">
        <f>I6*$D6</f>
        <v>0</v>
      </c>
      <c r="K6" s="233">
        <f t="shared" si="5"/>
        <v>0</v>
      </c>
      <c r="L6" s="231">
        <f t="shared" si="6"/>
        <v>0</v>
      </c>
      <c r="M6" s="228">
        <f t="shared" si="7"/>
        <v>0</v>
      </c>
      <c r="N6" s="232">
        <f t="shared" ref="N6:N8" si="50">M6*$D6</f>
        <v>0</v>
      </c>
      <c r="O6" s="233">
        <f t="shared" si="8"/>
        <v>0</v>
      </c>
      <c r="P6" s="231">
        <f t="shared" si="9"/>
        <v>0</v>
      </c>
      <c r="Q6" s="228">
        <f t="shared" ref="Q6:Q17" si="51">P6/($P$18)</f>
        <v>0</v>
      </c>
      <c r="R6" s="232">
        <f t="shared" si="10"/>
        <v>0</v>
      </c>
      <c r="S6" s="233">
        <f t="shared" si="11"/>
        <v>0</v>
      </c>
      <c r="T6" s="231">
        <f t="shared" ref="T6:T17" si="52">$G6*K31</f>
        <v>0</v>
      </c>
      <c r="U6" s="228">
        <f>T6/($T$18)</f>
        <v>0</v>
      </c>
      <c r="V6" s="232">
        <f t="shared" si="12"/>
        <v>0</v>
      </c>
      <c r="W6" s="233">
        <f t="shared" si="13"/>
        <v>0</v>
      </c>
      <c r="X6" s="231">
        <f t="shared" si="14"/>
        <v>0</v>
      </c>
      <c r="Y6" s="228">
        <f t="shared" si="15"/>
        <v>0</v>
      </c>
      <c r="Z6" s="232">
        <f t="shared" si="16"/>
        <v>0</v>
      </c>
      <c r="AA6" s="233">
        <f t="shared" si="17"/>
        <v>0</v>
      </c>
      <c r="AB6" s="231">
        <f t="shared" si="18"/>
        <v>0</v>
      </c>
      <c r="AC6" s="228">
        <f t="shared" si="19"/>
        <v>0</v>
      </c>
      <c r="AD6" s="232">
        <f t="shared" si="20"/>
        <v>0</v>
      </c>
      <c r="AE6" s="233">
        <f t="shared" si="21"/>
        <v>0</v>
      </c>
      <c r="AF6" s="231">
        <f t="shared" si="22"/>
        <v>0</v>
      </c>
      <c r="AG6" s="234">
        <f t="shared" si="23"/>
        <v>0</v>
      </c>
      <c r="AH6" s="231">
        <f t="shared" si="24"/>
        <v>0</v>
      </c>
      <c r="AI6" s="233">
        <f t="shared" si="25"/>
        <v>0</v>
      </c>
      <c r="AJ6" s="231">
        <f t="shared" si="26"/>
        <v>0</v>
      </c>
      <c r="AK6" s="234">
        <f t="shared" si="27"/>
        <v>0</v>
      </c>
      <c r="AL6" s="231">
        <f t="shared" si="28"/>
        <v>0</v>
      </c>
      <c r="AM6" s="233">
        <f t="shared" si="29"/>
        <v>0</v>
      </c>
      <c r="AN6" s="231">
        <f t="shared" si="30"/>
        <v>0</v>
      </c>
      <c r="AO6" s="234">
        <f t="shared" si="31"/>
        <v>0</v>
      </c>
      <c r="AP6" s="231">
        <f t="shared" si="32"/>
        <v>0</v>
      </c>
      <c r="AQ6" s="233">
        <f t="shared" si="33"/>
        <v>0</v>
      </c>
      <c r="AR6" s="231">
        <f t="shared" si="34"/>
        <v>0</v>
      </c>
      <c r="AS6" s="234">
        <f t="shared" si="35"/>
        <v>0</v>
      </c>
      <c r="AT6" s="231">
        <f t="shared" si="36"/>
        <v>0</v>
      </c>
      <c r="AU6" s="233">
        <f t="shared" si="37"/>
        <v>0</v>
      </c>
      <c r="AV6" s="231">
        <f t="shared" si="38"/>
        <v>0</v>
      </c>
      <c r="AW6" s="234">
        <f t="shared" si="39"/>
        <v>0</v>
      </c>
      <c r="AX6" s="231">
        <f t="shared" si="40"/>
        <v>0</v>
      </c>
      <c r="AY6" s="233">
        <f t="shared" si="41"/>
        <v>0</v>
      </c>
      <c r="AZ6" s="231">
        <f t="shared" si="42"/>
        <v>0</v>
      </c>
      <c r="BA6" s="234">
        <f t="shared" si="43"/>
        <v>0</v>
      </c>
      <c r="BB6" s="231">
        <f t="shared" si="44"/>
        <v>0</v>
      </c>
      <c r="BC6" s="233">
        <f t="shared" si="45"/>
        <v>0</v>
      </c>
      <c r="BD6" s="284">
        <f t="shared" si="46"/>
        <v>0</v>
      </c>
      <c r="BE6" s="231">
        <f t="shared" si="47"/>
        <v>0</v>
      </c>
      <c r="BF6" s="234">
        <f t="shared" si="48"/>
        <v>0</v>
      </c>
      <c r="BG6" s="231">
        <f t="shared" ref="BG6:BG17" si="53">BF6*$D6</f>
        <v>0</v>
      </c>
      <c r="BH6" s="233">
        <f t="shared" si="49"/>
        <v>0</v>
      </c>
    </row>
    <row r="7" spans="1:60">
      <c r="A7" s="221" t="s">
        <v>1597</v>
      </c>
      <c r="B7" s="226" t="s">
        <v>814</v>
      </c>
      <c r="C7" s="227">
        <v>3.4900000000000001E-5</v>
      </c>
      <c r="D7" s="228">
        <v>94.11</v>
      </c>
      <c r="E7" s="229">
        <f t="shared" si="0"/>
        <v>3.708426309637658E-7</v>
      </c>
      <c r="F7" s="230">
        <f t="shared" si="1"/>
        <v>5.2902937821878318E-5</v>
      </c>
      <c r="G7" s="228">
        <f t="shared" si="2"/>
        <v>5.2902937821878318E-5</v>
      </c>
      <c r="H7" s="231">
        <f t="shared" si="3"/>
        <v>3.6706323452286109E-7</v>
      </c>
      <c r="I7" s="228">
        <f t="shared" si="4"/>
        <v>9.4644280503699028E-8</v>
      </c>
      <c r="J7" s="232">
        <f>I7*$D7</f>
        <v>8.9069732382031161E-6</v>
      </c>
      <c r="K7" s="233">
        <f t="shared" si="5"/>
        <v>7.4149858841751922E-8</v>
      </c>
      <c r="L7" s="231">
        <f t="shared" si="6"/>
        <v>4.1467292606392136E-7</v>
      </c>
      <c r="M7" s="228">
        <f t="shared" si="7"/>
        <v>1.020069700718451E-7</v>
      </c>
      <c r="N7" s="232">
        <f t="shared" si="50"/>
        <v>9.5998759534613421E-6</v>
      </c>
      <c r="O7" s="233">
        <f t="shared" si="8"/>
        <v>7.9916053828171171E-8</v>
      </c>
      <c r="P7" s="231">
        <f t="shared" si="9"/>
        <v>5.001050912304238E-7</v>
      </c>
      <c r="Q7" s="228">
        <f t="shared" si="51"/>
        <v>1.1439970025892986E-7</v>
      </c>
      <c r="R7" s="232">
        <f t="shared" si="10"/>
        <v>1.0766155791367889E-5</v>
      </c>
      <c r="S7" s="233">
        <f t="shared" si="11"/>
        <v>8.9621098191740245E-8</v>
      </c>
      <c r="T7" s="231">
        <f t="shared" si="52"/>
        <v>6.0955914521902396E-7</v>
      </c>
      <c r="U7" s="228">
        <f t="shared" ref="U7:U17" si="54">T7/($T$18)</f>
        <v>1.2906098982838539E-7</v>
      </c>
      <c r="V7" s="232">
        <f t="shared" si="12"/>
        <v>1.2145929752749348E-5</v>
      </c>
      <c r="W7" s="233">
        <f t="shared" si="13"/>
        <v>1.0110194056105403E-7</v>
      </c>
      <c r="X7" s="231">
        <f t="shared" si="14"/>
        <v>8.6114698035856277E-7</v>
      </c>
      <c r="Y7" s="228">
        <f t="shared" si="15"/>
        <v>1.590834351906653E-7</v>
      </c>
      <c r="Z7" s="232">
        <f t="shared" si="16"/>
        <v>1.4971342085793511E-5</v>
      </c>
      <c r="AA7" s="233">
        <f t="shared" si="17"/>
        <v>1.2460927382941549E-7</v>
      </c>
      <c r="AB7" s="231">
        <f t="shared" si="18"/>
        <v>1.1186205340275054E-6</v>
      </c>
      <c r="AC7" s="228">
        <f t="shared" si="19"/>
        <v>1.8615478818017382E-7</v>
      </c>
      <c r="AD7" s="232">
        <f t="shared" si="20"/>
        <v>1.7519027115636159E-5</v>
      </c>
      <c r="AE7" s="233">
        <f t="shared" si="21"/>
        <v>1.4580338085002443E-7</v>
      </c>
      <c r="AF7" s="231">
        <f t="shared" si="22"/>
        <v>1.6028032814618886E-6</v>
      </c>
      <c r="AG7" s="234">
        <f t="shared" si="23"/>
        <v>2.3066052817707749E-7</v>
      </c>
      <c r="AH7" s="231">
        <f t="shared" si="24"/>
        <v>2.1707462306744763E-5</v>
      </c>
      <c r="AI7" s="233">
        <f t="shared" si="25"/>
        <v>1.8064206547713523E-7</v>
      </c>
      <c r="AJ7" s="231">
        <f t="shared" si="26"/>
        <v>1.5583176335068278E-6</v>
      </c>
      <c r="AK7" s="234">
        <f t="shared" si="27"/>
        <v>2.2683934001226967E-7</v>
      </c>
      <c r="AL7" s="231">
        <f t="shared" si="28"/>
        <v>2.1347850288554698E-5</v>
      </c>
      <c r="AM7" s="233">
        <f t="shared" si="29"/>
        <v>1.7765109470109389E-7</v>
      </c>
      <c r="AN7" s="231">
        <f t="shared" si="30"/>
        <v>1.2303610473416496E-6</v>
      </c>
      <c r="AO7" s="234">
        <f t="shared" si="31"/>
        <v>1.9706241768824802E-7</v>
      </c>
      <c r="AP7" s="231">
        <f t="shared" si="32"/>
        <v>1.8545544128641022E-5</v>
      </c>
      <c r="AQ7" s="233">
        <f t="shared" si="33"/>
        <v>1.5434230416909971E-7</v>
      </c>
      <c r="AR7" s="231">
        <f t="shared" si="34"/>
        <v>7.276969984036211E-7</v>
      </c>
      <c r="AS7" s="234">
        <f t="shared" si="35"/>
        <v>1.4370049957370582E-7</v>
      </c>
      <c r="AT7" s="231">
        <f t="shared" si="36"/>
        <v>1.3523654014881456E-5</v>
      </c>
      <c r="AU7" s="233">
        <f t="shared" si="37"/>
        <v>1.1256494689966119E-7</v>
      </c>
      <c r="AV7" s="231">
        <f t="shared" si="38"/>
        <v>4.6774287614381294E-7</v>
      </c>
      <c r="AW7" s="234">
        <f t="shared" si="39"/>
        <v>1.098163638055975E-7</v>
      </c>
      <c r="AX7" s="231">
        <f t="shared" si="40"/>
        <v>1.033481799774478E-5</v>
      </c>
      <c r="AY7" s="233">
        <f t="shared" si="41"/>
        <v>8.6031848512386525E-8</v>
      </c>
      <c r="AZ7" s="231">
        <f t="shared" si="42"/>
        <v>3.5515370036757013E-7</v>
      </c>
      <c r="BA7" s="234">
        <f t="shared" si="43"/>
        <v>9.2742587274028919E-8</v>
      </c>
      <c r="BB7" s="231">
        <f t="shared" si="44"/>
        <v>8.7280048883588608E-6</v>
      </c>
      <c r="BC7" s="233">
        <f t="shared" si="45"/>
        <v>7.2660483538485945E-8</v>
      </c>
      <c r="BD7" s="284">
        <f t="shared" si="46"/>
        <v>1.8064206547713523E-7</v>
      </c>
      <c r="BE7" s="231">
        <f t="shared" si="47"/>
        <v>5.6734036475894968E-6</v>
      </c>
      <c r="BF7" s="234">
        <f t="shared" si="48"/>
        <v>4.8210442920614197E-7</v>
      </c>
      <c r="BG7" s="231">
        <f t="shared" si="53"/>
        <v>4.5370847832590017E-5</v>
      </c>
      <c r="BH7" s="233">
        <f t="shared" si="49"/>
        <v>3.7737848348368637E-7</v>
      </c>
    </row>
    <row r="8" spans="1:60" s="277" customFormat="1" ht="14.4">
      <c r="A8" s="221" t="s">
        <v>1598</v>
      </c>
      <c r="B8" s="226" t="s">
        <v>313</v>
      </c>
      <c r="C8" s="227">
        <v>1.2999999999999999E-5</v>
      </c>
      <c r="D8" s="228">
        <v>108.14</v>
      </c>
      <c r="E8" s="229">
        <f t="shared" si="0"/>
        <v>1.2021453671167005E-7</v>
      </c>
      <c r="F8" s="230">
        <f t="shared" si="1"/>
        <v>1.714932866379319E-5</v>
      </c>
      <c r="G8" s="228">
        <f>F8</f>
        <v>1.714932866379319E-5</v>
      </c>
      <c r="H8" s="231">
        <f t="shared" si="3"/>
        <v>6.307355004949131E-8</v>
      </c>
      <c r="I8" s="228">
        <f t="shared" si="4"/>
        <v>1.6263003760122876E-8</v>
      </c>
      <c r="J8" s="232">
        <f t="shared" ref="J8:J17" si="55">I8*$D8</f>
        <v>1.7586812266196879E-6</v>
      </c>
      <c r="K8" s="233">
        <f t="shared" si="5"/>
        <v>1.4640884306484897E-8</v>
      </c>
      <c r="L8" s="231">
        <f t="shared" si="6"/>
        <v>7.1985183349279192E-8</v>
      </c>
      <c r="M8" s="228">
        <f t="shared" si="7"/>
        <v>1.7707909009700552E-8</v>
      </c>
      <c r="N8" s="232">
        <f t="shared" si="50"/>
        <v>1.9149332803090176E-6</v>
      </c>
      <c r="O8" s="233">
        <f t="shared" si="8"/>
        <v>1.5941238391872527E-8</v>
      </c>
      <c r="P8" s="231">
        <f t="shared" si="9"/>
        <v>8.8162889175670637E-8</v>
      </c>
      <c r="Q8" s="228">
        <f t="shared" si="51"/>
        <v>2.0167377362313094E-8</v>
      </c>
      <c r="R8" s="232">
        <f t="shared" si="10"/>
        <v>2.180900187960538E-6</v>
      </c>
      <c r="S8" s="233">
        <f t="shared" si="11"/>
        <v>1.8154545938143325E-8</v>
      </c>
      <c r="T8" s="231">
        <f t="shared" si="52"/>
        <v>1.0918150905116453E-7</v>
      </c>
      <c r="U8" s="228">
        <f t="shared" si="54"/>
        <v>2.3116827529569709E-8</v>
      </c>
      <c r="V8" s="232">
        <f t="shared" si="12"/>
        <v>2.4998537290476682E-6</v>
      </c>
      <c r="W8" s="233">
        <f t="shared" si="13"/>
        <v>2.0808622169768143E-8</v>
      </c>
      <c r="X8" s="231">
        <f t="shared" si="14"/>
        <v>1.58448415557332E-7</v>
      </c>
      <c r="Y8" s="228">
        <f t="shared" si="15"/>
        <v>2.9270866440108736E-8</v>
      </c>
      <c r="Z8" s="232">
        <f t="shared" si="16"/>
        <v>3.1653514968333585E-6</v>
      </c>
      <c r="AA8" s="233">
        <f t="shared" si="17"/>
        <v>2.6345811162082765E-8</v>
      </c>
      <c r="AB8" s="231">
        <f t="shared" si="18"/>
        <v>2.0989894394863465E-7</v>
      </c>
      <c r="AC8" s="228">
        <f t="shared" si="19"/>
        <v>3.4930248695970645E-8</v>
      </c>
      <c r="AD8" s="232">
        <f t="shared" si="20"/>
        <v>3.7773570939822657E-6</v>
      </c>
      <c r="AE8" s="233">
        <f t="shared" si="21"/>
        <v>3.1437329901092437E-8</v>
      </c>
      <c r="AF8" s="231">
        <f t="shared" si="22"/>
        <v>3.0864851973964889E-7</v>
      </c>
      <c r="AG8" s="234">
        <f t="shared" si="23"/>
        <v>4.4417821829817215E-8</v>
      </c>
      <c r="AH8" s="231">
        <f t="shared" si="24"/>
        <v>4.8033432526764337E-6</v>
      </c>
      <c r="AI8" s="233">
        <f t="shared" si="25"/>
        <v>3.9971777174964013E-8</v>
      </c>
      <c r="AJ8" s="231">
        <f t="shared" si="26"/>
        <v>2.9948694515095236E-7</v>
      </c>
      <c r="AK8" s="234">
        <f t="shared" si="27"/>
        <v>4.3595361766812211E-8</v>
      </c>
      <c r="AL8" s="231">
        <f t="shared" si="28"/>
        <v>4.7144024214630724E-6</v>
      </c>
      <c r="AM8" s="233">
        <f t="shared" si="29"/>
        <v>3.9231994777639258E-8</v>
      </c>
      <c r="AN8" s="231">
        <f t="shared" si="30"/>
        <v>2.3248287192884186E-7</v>
      </c>
      <c r="AO8" s="234">
        <f t="shared" si="31"/>
        <v>3.7235929170864972E-8</v>
      </c>
      <c r="AP8" s="231">
        <f t="shared" si="32"/>
        <v>4.0266933805373383E-6</v>
      </c>
      <c r="AQ8" s="233">
        <f t="shared" si="33"/>
        <v>3.351150714282847E-8</v>
      </c>
      <c r="AR8" s="231">
        <f t="shared" si="34"/>
        <v>1.3216960010744346E-7</v>
      </c>
      <c r="AS8" s="234">
        <f t="shared" si="35"/>
        <v>2.6099925663513688E-8</v>
      </c>
      <c r="AT8" s="231">
        <f t="shared" si="36"/>
        <v>2.8224459612523701E-6</v>
      </c>
      <c r="AU8" s="233">
        <f t="shared" si="37"/>
        <v>2.3492798573960053E-8</v>
      </c>
      <c r="AV8" s="231">
        <f t="shared" si="38"/>
        <v>8.200873951461174E-8</v>
      </c>
      <c r="AW8" s="234">
        <f t="shared" si="39"/>
        <v>1.9253957747089479E-8</v>
      </c>
      <c r="AX8" s="231">
        <f t="shared" si="40"/>
        <v>2.0821229907702563E-6</v>
      </c>
      <c r="AY8" s="233">
        <f t="shared" si="41"/>
        <v>1.7332563550242741E-8</v>
      </c>
      <c r="AZ8" s="231">
        <f t="shared" si="42"/>
        <v>6.0857459002626488E-8</v>
      </c>
      <c r="BA8" s="234">
        <f t="shared" si="43"/>
        <v>1.5891931287736337E-8</v>
      </c>
      <c r="BB8" s="231">
        <f t="shared" si="44"/>
        <v>1.7185534494558074E-6</v>
      </c>
      <c r="BC8" s="233">
        <f t="shared" si="45"/>
        <v>1.4306926522319075E-8</v>
      </c>
      <c r="BD8" s="284">
        <f t="shared" si="46"/>
        <v>3.9971777174964013E-8</v>
      </c>
      <c r="BE8" s="231">
        <f t="shared" si="47"/>
        <v>1.1853821436990521E-6</v>
      </c>
      <c r="BF8" s="234">
        <f t="shared" si="48"/>
        <v>1.0072930065922469E-7</v>
      </c>
      <c r="BG8" s="231">
        <f t="shared" si="53"/>
        <v>1.0892866573288559E-5</v>
      </c>
      <c r="BH8" s="233">
        <f t="shared" si="49"/>
        <v>9.0602967865745354E-8</v>
      </c>
    </row>
    <row r="9" spans="1:60" s="277" customFormat="1" ht="14.4">
      <c r="A9" s="221" t="s">
        <v>1599</v>
      </c>
      <c r="B9" s="226" t="s">
        <v>148</v>
      </c>
      <c r="C9" s="227">
        <v>3.8600000000000003E-5</v>
      </c>
      <c r="D9" s="228">
        <v>78.11</v>
      </c>
      <c r="E9" s="229">
        <f>C9/D9</f>
        <v>4.9417488157726291E-7</v>
      </c>
      <c r="F9" s="230">
        <f t="shared" si="1"/>
        <v>7.049702717638854E-5</v>
      </c>
      <c r="G9" s="228">
        <f t="shared" ref="G9:G14" si="56">F9</f>
        <v>7.049702717638854E-5</v>
      </c>
      <c r="H9" s="231">
        <f t="shared" si="3"/>
        <v>3.3519642811278378E-4</v>
      </c>
      <c r="I9" s="228">
        <f t="shared" si="4"/>
        <v>8.6427682705358125E-5</v>
      </c>
      <c r="J9" s="232">
        <f>I9*$D9</f>
        <v>6.7508662961155231E-3</v>
      </c>
      <c r="K9" s="233">
        <f t="shared" si="5"/>
        <v>5.6200436391733483E-5</v>
      </c>
      <c r="L9" s="231">
        <f t="shared" si="6"/>
        <v>3.5655001382782378E-4</v>
      </c>
      <c r="M9" s="228">
        <f t="shared" si="7"/>
        <v>8.7709093851100106E-5</v>
      </c>
      <c r="N9" s="232">
        <f>M9*$D9</f>
        <v>6.850957320709429E-3</v>
      </c>
      <c r="O9" s="233">
        <f t="shared" si="8"/>
        <v>5.7032140484993483E-5</v>
      </c>
      <c r="P9" s="231">
        <f t="shared" si="9"/>
        <v>3.9215207960153293E-4</v>
      </c>
      <c r="Q9" s="228">
        <f t="shared" si="51"/>
        <v>8.9705306242645577E-5</v>
      </c>
      <c r="R9" s="232">
        <f t="shared" si="10"/>
        <v>7.0068814706130463E-3</v>
      </c>
      <c r="S9" s="233">
        <f t="shared" si="11"/>
        <v>5.8327635644952099E-5</v>
      </c>
      <c r="T9" s="231">
        <f t="shared" si="52"/>
        <v>4.33815622448353E-4</v>
      </c>
      <c r="U9" s="228">
        <f t="shared" si="54"/>
        <v>9.1851092835435965E-5</v>
      </c>
      <c r="V9" s="232">
        <f t="shared" si="12"/>
        <v>7.1744888613759035E-3</v>
      </c>
      <c r="W9" s="233">
        <f t="shared" si="13"/>
        <v>5.9719985310682344E-5</v>
      </c>
      <c r="X9" s="231">
        <f t="shared" si="14"/>
        <v>5.1797341118391463E-4</v>
      </c>
      <c r="Y9" s="228">
        <f t="shared" si="15"/>
        <v>9.5687485955364023E-5</v>
      </c>
      <c r="Z9" s="232">
        <f t="shared" si="16"/>
        <v>7.4741495279734838E-3</v>
      </c>
      <c r="AA9" s="233">
        <f t="shared" si="17"/>
        <v>6.220874119608904E-5</v>
      </c>
      <c r="AB9" s="231">
        <f t="shared" si="18"/>
        <v>5.9290344196559464E-4</v>
      </c>
      <c r="AC9" s="228">
        <f t="shared" si="19"/>
        <v>9.8667788846156971E-5</v>
      </c>
      <c r="AD9" s="232">
        <f t="shared" si="20"/>
        <v>7.7069409867733208E-3</v>
      </c>
      <c r="AE9" s="233">
        <f t="shared" si="21"/>
        <v>6.4141578437323479E-5</v>
      </c>
      <c r="AF9" s="231">
        <f t="shared" si="22"/>
        <v>7.1482674816319178E-4</v>
      </c>
      <c r="AG9" s="234">
        <f t="shared" si="23"/>
        <v>1.0287121145399598E-4</v>
      </c>
      <c r="AH9" s="231">
        <f t="shared" si="24"/>
        <v>8.0352703266716261E-3</v>
      </c>
      <c r="AI9" s="233">
        <f t="shared" si="25"/>
        <v>6.6866767195818057E-5</v>
      </c>
      <c r="AJ9" s="231">
        <f t="shared" si="26"/>
        <v>7.0440409853005852E-4</v>
      </c>
      <c r="AK9" s="234">
        <f t="shared" si="27"/>
        <v>1.0253786351176276E-4</v>
      </c>
      <c r="AL9" s="231">
        <f t="shared" si="28"/>
        <v>8.0092325189037895E-3</v>
      </c>
      <c r="AM9" s="233">
        <f t="shared" si="29"/>
        <v>6.6650688732892936E-5</v>
      </c>
      <c r="AN9" s="231">
        <f t="shared" si="30"/>
        <v>6.2290672191479357E-4</v>
      </c>
      <c r="AO9" s="234">
        <f t="shared" si="31"/>
        <v>9.9768685687839784E-5</v>
      </c>
      <c r="AP9" s="231">
        <f t="shared" si="32"/>
        <v>7.7929320390771658E-3</v>
      </c>
      <c r="AQ9" s="233">
        <f t="shared" si="33"/>
        <v>6.4855421809212099E-5</v>
      </c>
      <c r="AR9" s="231">
        <f t="shared" si="34"/>
        <v>4.7502021430831132E-4</v>
      </c>
      <c r="AS9" s="234">
        <f t="shared" si="35"/>
        <v>9.3803660388127656E-5</v>
      </c>
      <c r="AT9" s="231">
        <f t="shared" si="36"/>
        <v>7.3270039129166515E-3</v>
      </c>
      <c r="AU9" s="233">
        <f t="shared" si="37"/>
        <v>6.0986757386982905E-5</v>
      </c>
      <c r="AV9" s="231">
        <f t="shared" si="38"/>
        <v>3.7903048302550044E-4</v>
      </c>
      <c r="AW9" s="234">
        <f t="shared" si="39"/>
        <v>8.8988526689056405E-5</v>
      </c>
      <c r="AX9" s="231">
        <f t="shared" si="40"/>
        <v>6.9508938196821959E-3</v>
      </c>
      <c r="AY9" s="233">
        <f t="shared" si="41"/>
        <v>5.7862484298327748E-5</v>
      </c>
      <c r="AZ9" s="231">
        <f t="shared" si="42"/>
        <v>3.2965333210045435E-4</v>
      </c>
      <c r="BA9" s="234">
        <f t="shared" si="43"/>
        <v>8.6083582659730342E-5</v>
      </c>
      <c r="BB9" s="231">
        <f t="shared" si="44"/>
        <v>6.7239886415515369E-3</v>
      </c>
      <c r="BC9" s="233">
        <f t="shared" si="45"/>
        <v>5.5977084368279733E-5</v>
      </c>
      <c r="BD9" s="284">
        <f t="shared" si="46"/>
        <v>6.6866767195818057E-5</v>
      </c>
      <c r="BE9" s="231">
        <f t="shared" si="47"/>
        <v>1.3954731841794854E-3</v>
      </c>
      <c r="BF9" s="234">
        <f t="shared" si="48"/>
        <v>1.185820443460198E-4</v>
      </c>
      <c r="BG9" s="231">
        <f t="shared" si="53"/>
        <v>9.2624434838676061E-3</v>
      </c>
      <c r="BH9" s="233">
        <f t="shared" si="49"/>
        <v>7.7041691797183473E-5</v>
      </c>
    </row>
    <row r="10" spans="1:60" s="277" customFormat="1" ht="14.4">
      <c r="A10" s="221" t="s">
        <v>1600</v>
      </c>
      <c r="B10" s="226" t="s">
        <v>499</v>
      </c>
      <c r="C10" s="227">
        <v>1.4799999999999999E-4</v>
      </c>
      <c r="D10" s="228">
        <v>106.17</v>
      </c>
      <c r="E10" s="229">
        <f t="shared" si="0"/>
        <v>1.3939907695205801E-6</v>
      </c>
      <c r="F10" s="230">
        <f t="shared" si="1"/>
        <v>1.98861190291321E-4</v>
      </c>
      <c r="G10" s="228">
        <f t="shared" si="56"/>
        <v>1.98861190291321E-4</v>
      </c>
      <c r="H10" s="231">
        <f t="shared" si="3"/>
        <v>7.3007453146143236E-5</v>
      </c>
      <c r="I10" s="228">
        <f t="shared" si="4"/>
        <v>1.8824380173639807E-5</v>
      </c>
      <c r="J10" s="232">
        <f t="shared" ref="J10:J16" si="57">I10*$D10</f>
        <v>1.9985844430353383E-3</v>
      </c>
      <c r="K10" s="233">
        <f t="shared" si="5"/>
        <v>1.6638059907799654E-5</v>
      </c>
      <c r="L10" s="231">
        <f t="shared" si="6"/>
        <v>7.8922062974213003E-5</v>
      </c>
      <c r="M10" s="228">
        <f t="shared" si="7"/>
        <v>1.9414338409394563E-5</v>
      </c>
      <c r="N10" s="232">
        <f t="shared" ref="N10:N15" si="58">M10*$D10</f>
        <v>2.0612203089254207E-3</v>
      </c>
      <c r="O10" s="233">
        <f t="shared" si="8"/>
        <v>1.7159033508178846E-5</v>
      </c>
      <c r="P10" s="231">
        <f t="shared" si="9"/>
        <v>8.8983806505702878E-5</v>
      </c>
      <c r="Q10" s="228">
        <f t="shared" si="51"/>
        <v>2.0355163285991642E-5</v>
      </c>
      <c r="R10" s="232">
        <f t="shared" si="10"/>
        <v>2.1611076860737328E-3</v>
      </c>
      <c r="S10" s="233">
        <f t="shared" si="11"/>
        <v>1.7989786502237724E-5</v>
      </c>
      <c r="T10" s="231">
        <f t="shared" si="52"/>
        <v>1.0105630018172358E-4</v>
      </c>
      <c r="U10" s="228">
        <f t="shared" si="54"/>
        <v>2.1396489958593509E-5</v>
      </c>
      <c r="V10" s="232">
        <f t="shared" si="12"/>
        <v>2.2716653389038728E-3</v>
      </c>
      <c r="W10" s="233">
        <f t="shared" si="13"/>
        <v>1.8909196639843732E-5</v>
      </c>
      <c r="X10" s="231">
        <f t="shared" si="14"/>
        <v>1.2632962610994433E-4</v>
      </c>
      <c r="Y10" s="228">
        <f t="shared" si="15"/>
        <v>2.333742246829267E-5</v>
      </c>
      <c r="Z10" s="232">
        <f t="shared" si="16"/>
        <v>2.4777341434586327E-3</v>
      </c>
      <c r="AA10" s="233">
        <f t="shared" si="17"/>
        <v>2.0622643620688111E-5</v>
      </c>
      <c r="AB10" s="231">
        <f t="shared" si="18"/>
        <v>1.4972893056603977E-4</v>
      </c>
      <c r="AC10" s="228">
        <f t="shared" si="19"/>
        <v>2.4917080016054606E-5</v>
      </c>
      <c r="AD10" s="232">
        <f t="shared" si="20"/>
        <v>2.6454463853045175E-3</v>
      </c>
      <c r="AE10" s="233">
        <f t="shared" si="21"/>
        <v>2.201692047674354E-5</v>
      </c>
      <c r="AF10" s="231">
        <f t="shared" si="22"/>
        <v>1.8938974340532985E-4</v>
      </c>
      <c r="AG10" s="234">
        <f t="shared" si="23"/>
        <v>2.7255208889609012E-5</v>
      </c>
      <c r="AH10" s="231">
        <f t="shared" si="24"/>
        <v>2.8936855278097889E-3</v>
      </c>
      <c r="AI10" s="233">
        <f t="shared" si="25"/>
        <v>2.408025973733645E-5</v>
      </c>
      <c r="AJ10" s="231">
        <f t="shared" si="26"/>
        <v>1.8592825574394149E-4</v>
      </c>
      <c r="AK10" s="234">
        <f t="shared" si="27"/>
        <v>2.7064984644803084E-5</v>
      </c>
      <c r="AL10" s="231">
        <f t="shared" si="28"/>
        <v>2.8734894197387437E-3</v>
      </c>
      <c r="AM10" s="233">
        <f t="shared" si="29"/>
        <v>2.3912409639779218E-5</v>
      </c>
      <c r="AN10" s="231">
        <f t="shared" si="30"/>
        <v>1.5931461623638191E-4</v>
      </c>
      <c r="AO10" s="234">
        <f t="shared" si="31"/>
        <v>2.5516837936676823E-5</v>
      </c>
      <c r="AP10" s="231">
        <f t="shared" si="32"/>
        <v>2.7091226837369785E-3</v>
      </c>
      <c r="AQ10" s="233">
        <f t="shared" si="33"/>
        <v>2.2546237219267843E-5</v>
      </c>
      <c r="AR10" s="231">
        <f t="shared" si="34"/>
        <v>1.1328898063039678E-4</v>
      </c>
      <c r="AS10" s="234">
        <f t="shared" si="35"/>
        <v>2.2371513347584659E-5</v>
      </c>
      <c r="AT10" s="231">
        <f t="shared" si="36"/>
        <v>2.3751835721130634E-3</v>
      </c>
      <c r="AU10" s="233">
        <f t="shared" si="37"/>
        <v>1.9769983199632912E-5</v>
      </c>
      <c r="AV10" s="231">
        <f t="shared" si="38"/>
        <v>8.5247146959810375E-5</v>
      </c>
      <c r="AW10" s="234">
        <f t="shared" si="39"/>
        <v>2.0014268910104066E-5</v>
      </c>
      <c r="AX10" s="231">
        <f t="shared" si="40"/>
        <v>2.1249149301857486E-3</v>
      </c>
      <c r="AY10" s="233">
        <f t="shared" si="41"/>
        <v>1.7688783625927501E-5</v>
      </c>
      <c r="AZ10" s="231">
        <f t="shared" si="42"/>
        <v>7.1487532278782047E-5</v>
      </c>
      <c r="BA10" s="234">
        <f t="shared" si="43"/>
        <v>1.8667801277329158E-5</v>
      </c>
      <c r="BB10" s="231">
        <f t="shared" si="44"/>
        <v>1.981960461614037E-3</v>
      </c>
      <c r="BC10" s="233">
        <f t="shared" si="45"/>
        <v>1.6499785155610195E-5</v>
      </c>
      <c r="BD10" s="284">
        <f t="shared" si="46"/>
        <v>2.408025973733645E-5</v>
      </c>
      <c r="BE10" s="231">
        <f t="shared" si="47"/>
        <v>4.3798095384986035E-4</v>
      </c>
      <c r="BF10" s="234">
        <f t="shared" si="48"/>
        <v>3.7217968414544688E-5</v>
      </c>
      <c r="BG10" s="231">
        <f t="shared" si="53"/>
        <v>3.9514317065722096E-3</v>
      </c>
      <c r="BH10" s="233">
        <f t="shared" si="49"/>
        <v>3.2866595539888773E-5</v>
      </c>
    </row>
    <row r="11" spans="1:60" s="277" customFormat="1" ht="14.4">
      <c r="A11" s="221" t="s">
        <v>1601</v>
      </c>
      <c r="B11" s="226" t="s">
        <v>605</v>
      </c>
      <c r="C11" s="271">
        <v>0</v>
      </c>
      <c r="D11" s="228">
        <v>120.19</v>
      </c>
      <c r="E11" s="229">
        <f t="shared" si="0"/>
        <v>0</v>
      </c>
      <c r="F11" s="230">
        <f t="shared" si="1"/>
        <v>0</v>
      </c>
      <c r="G11" s="228">
        <f t="shared" si="56"/>
        <v>0</v>
      </c>
      <c r="H11" s="231">
        <f t="shared" si="3"/>
        <v>0</v>
      </c>
      <c r="I11" s="228">
        <f t="shared" si="4"/>
        <v>0</v>
      </c>
      <c r="J11" s="232">
        <f t="shared" si="57"/>
        <v>0</v>
      </c>
      <c r="K11" s="233">
        <f t="shared" si="5"/>
        <v>0</v>
      </c>
      <c r="L11" s="231">
        <f t="shared" si="6"/>
        <v>0</v>
      </c>
      <c r="M11" s="228">
        <f t="shared" si="7"/>
        <v>0</v>
      </c>
      <c r="N11" s="232">
        <f t="shared" si="58"/>
        <v>0</v>
      </c>
      <c r="O11" s="233">
        <f t="shared" si="8"/>
        <v>0</v>
      </c>
      <c r="P11" s="231">
        <f t="shared" si="9"/>
        <v>0</v>
      </c>
      <c r="Q11" s="228">
        <f t="shared" si="51"/>
        <v>0</v>
      </c>
      <c r="R11" s="232">
        <f t="shared" si="10"/>
        <v>0</v>
      </c>
      <c r="S11" s="233">
        <f t="shared" si="11"/>
        <v>0</v>
      </c>
      <c r="T11" s="231">
        <f t="shared" si="52"/>
        <v>0</v>
      </c>
      <c r="U11" s="228">
        <f t="shared" si="54"/>
        <v>0</v>
      </c>
      <c r="V11" s="232">
        <f t="shared" si="12"/>
        <v>0</v>
      </c>
      <c r="W11" s="233">
        <f t="shared" si="13"/>
        <v>0</v>
      </c>
      <c r="X11" s="231">
        <f t="shared" si="14"/>
        <v>0</v>
      </c>
      <c r="Y11" s="228">
        <f t="shared" si="15"/>
        <v>0</v>
      </c>
      <c r="Z11" s="232">
        <f t="shared" si="16"/>
        <v>0</v>
      </c>
      <c r="AA11" s="233">
        <f t="shared" si="17"/>
        <v>0</v>
      </c>
      <c r="AB11" s="231">
        <f t="shared" si="18"/>
        <v>0</v>
      </c>
      <c r="AC11" s="228">
        <f t="shared" si="19"/>
        <v>0</v>
      </c>
      <c r="AD11" s="232">
        <f t="shared" si="20"/>
        <v>0</v>
      </c>
      <c r="AE11" s="233">
        <f t="shared" si="21"/>
        <v>0</v>
      </c>
      <c r="AF11" s="231">
        <f t="shared" si="22"/>
        <v>0</v>
      </c>
      <c r="AG11" s="234">
        <f t="shared" si="23"/>
        <v>0</v>
      </c>
      <c r="AH11" s="231">
        <f t="shared" si="24"/>
        <v>0</v>
      </c>
      <c r="AI11" s="233">
        <f t="shared" si="25"/>
        <v>0</v>
      </c>
      <c r="AJ11" s="231">
        <f t="shared" si="26"/>
        <v>0</v>
      </c>
      <c r="AK11" s="234">
        <f t="shared" si="27"/>
        <v>0</v>
      </c>
      <c r="AL11" s="231">
        <f t="shared" si="28"/>
        <v>0</v>
      </c>
      <c r="AM11" s="233">
        <f t="shared" si="29"/>
        <v>0</v>
      </c>
      <c r="AN11" s="231">
        <f t="shared" si="30"/>
        <v>0</v>
      </c>
      <c r="AO11" s="234">
        <f t="shared" si="31"/>
        <v>0</v>
      </c>
      <c r="AP11" s="231">
        <f t="shared" si="32"/>
        <v>0</v>
      </c>
      <c r="AQ11" s="233">
        <f t="shared" si="33"/>
        <v>0</v>
      </c>
      <c r="AR11" s="231">
        <f t="shared" si="34"/>
        <v>0</v>
      </c>
      <c r="AS11" s="234">
        <f t="shared" si="35"/>
        <v>0</v>
      </c>
      <c r="AT11" s="231">
        <f t="shared" si="36"/>
        <v>0</v>
      </c>
      <c r="AU11" s="233">
        <f t="shared" si="37"/>
        <v>0</v>
      </c>
      <c r="AV11" s="231">
        <f t="shared" si="38"/>
        <v>0</v>
      </c>
      <c r="AW11" s="234">
        <f t="shared" si="39"/>
        <v>0</v>
      </c>
      <c r="AX11" s="231">
        <f t="shared" si="40"/>
        <v>0</v>
      </c>
      <c r="AY11" s="233">
        <f t="shared" si="41"/>
        <v>0</v>
      </c>
      <c r="AZ11" s="231">
        <f t="shared" si="42"/>
        <v>0</v>
      </c>
      <c r="BA11" s="234">
        <f t="shared" si="43"/>
        <v>0</v>
      </c>
      <c r="BB11" s="231">
        <f t="shared" si="44"/>
        <v>0</v>
      </c>
      <c r="BC11" s="233">
        <f t="shared" si="45"/>
        <v>0</v>
      </c>
      <c r="BD11" s="284">
        <f t="shared" si="46"/>
        <v>0</v>
      </c>
      <c r="BE11" s="231">
        <f t="shared" si="47"/>
        <v>0</v>
      </c>
      <c r="BF11" s="234">
        <f t="shared" si="48"/>
        <v>0</v>
      </c>
      <c r="BG11" s="231">
        <f t="shared" si="53"/>
        <v>0</v>
      </c>
      <c r="BH11" s="233">
        <f t="shared" si="49"/>
        <v>0</v>
      </c>
    </row>
    <row r="12" spans="1:60" s="277" customFormat="1" ht="14.4">
      <c r="A12" s="221" t="s">
        <v>1602</v>
      </c>
      <c r="B12" s="226" t="s">
        <v>1129</v>
      </c>
      <c r="C12" s="227">
        <v>5.0799999999999999E-4</v>
      </c>
      <c r="D12" s="228">
        <v>92.14</v>
      </c>
      <c r="E12" s="229">
        <f t="shared" si="0"/>
        <v>5.5133492511395701E-6</v>
      </c>
      <c r="F12" s="230">
        <f t="shared" si="1"/>
        <v>7.8651252113415922E-4</v>
      </c>
      <c r="G12" s="228">
        <f t="shared" si="56"/>
        <v>7.8651252113415922E-4</v>
      </c>
      <c r="H12" s="231">
        <f t="shared" si="3"/>
        <v>9.9245419150240338E-4</v>
      </c>
      <c r="I12" s="228">
        <f t="shared" si="4"/>
        <v>2.5589627086930504E-4</v>
      </c>
      <c r="J12" s="232">
        <f t="shared" si="57"/>
        <v>2.3578282397897766E-2</v>
      </c>
      <c r="K12" s="233">
        <f t="shared" si="5"/>
        <v>1.9628736550327718E-4</v>
      </c>
      <c r="L12" s="231">
        <f t="shared" si="6"/>
        <v>1.0634806082535993E-3</v>
      </c>
      <c r="M12" s="228">
        <f t="shared" si="7"/>
        <v>2.6160963921090447E-4</v>
      </c>
      <c r="N12" s="232">
        <f t="shared" si="58"/>
        <v>2.4104712156892739E-2</v>
      </c>
      <c r="O12" s="233">
        <f t="shared" si="8"/>
        <v>2.006644131217387E-4</v>
      </c>
      <c r="P12" s="231">
        <f t="shared" si="9"/>
        <v>1.1830331495966259E-3</v>
      </c>
      <c r="Q12" s="228">
        <f t="shared" si="51"/>
        <v>2.7062039575972714E-4</v>
      </c>
      <c r="R12" s="232">
        <f t="shared" si="10"/>
        <v>2.4934963265301258E-2</v>
      </c>
      <c r="S12" s="233">
        <f t="shared" si="11"/>
        <v>2.0756701226622983E-4</v>
      </c>
      <c r="T12" s="231">
        <f t="shared" si="52"/>
        <v>1.3246085366451889E-3</v>
      </c>
      <c r="U12" s="228">
        <f t="shared" si="54"/>
        <v>2.8045726196615478E-4</v>
      </c>
      <c r="V12" s="232">
        <f t="shared" si="12"/>
        <v>2.58413321175615E-2</v>
      </c>
      <c r="W12" s="233">
        <f t="shared" si="13"/>
        <v>2.1510159180500527E-4</v>
      </c>
      <c r="X12" s="231">
        <f t="shared" si="14"/>
        <v>1.6155003942965958E-3</v>
      </c>
      <c r="Y12" s="228">
        <f t="shared" si="15"/>
        <v>2.9843842937191491E-4</v>
      </c>
      <c r="Z12" s="232">
        <f t="shared" si="16"/>
        <v>2.7498116882328241E-2</v>
      </c>
      <c r="AA12" s="233">
        <f t="shared" si="17"/>
        <v>2.2887195795457641E-4</v>
      </c>
      <c r="AB12" s="231">
        <f t="shared" si="18"/>
        <v>1.8794064530653248E-3</v>
      </c>
      <c r="AC12" s="228">
        <f t="shared" si="19"/>
        <v>3.1276067221400091E-4</v>
      </c>
      <c r="AD12" s="232">
        <f t="shared" si="20"/>
        <v>2.8817768337798044E-2</v>
      </c>
      <c r="AE12" s="233">
        <f t="shared" si="21"/>
        <v>2.3983797869994727E-4</v>
      </c>
      <c r="AF12" s="231">
        <f t="shared" si="22"/>
        <v>2.3173800011158678E-3</v>
      </c>
      <c r="AG12" s="234">
        <f t="shared" si="23"/>
        <v>3.3349575785547982E-4</v>
      </c>
      <c r="AH12" s="231">
        <f t="shared" si="24"/>
        <v>3.0728299128803909E-2</v>
      </c>
      <c r="AI12" s="233">
        <f t="shared" si="25"/>
        <v>2.5571037944410881E-4</v>
      </c>
      <c r="AJ12" s="231">
        <f t="shared" si="26"/>
        <v>2.2795597326987975E-3</v>
      </c>
      <c r="AK12" s="234">
        <f t="shared" si="27"/>
        <v>3.3182825770910167E-4</v>
      </c>
      <c r="AL12" s="231">
        <f t="shared" si="28"/>
        <v>3.0574655665316627E-2</v>
      </c>
      <c r="AM12" s="233">
        <f t="shared" si="29"/>
        <v>2.5443409877970598E-4</v>
      </c>
      <c r="AN12" s="231">
        <f t="shared" si="30"/>
        <v>1.986249884770704E-3</v>
      </c>
      <c r="AO12" s="234">
        <f t="shared" si="31"/>
        <v>3.1813036122333436E-4</v>
      </c>
      <c r="AP12" s="231">
        <f t="shared" si="32"/>
        <v>2.9312531483118028E-2</v>
      </c>
      <c r="AQ12" s="233">
        <f t="shared" si="33"/>
        <v>2.4394882235602731E-4</v>
      </c>
      <c r="AR12" s="231">
        <f t="shared" si="34"/>
        <v>1.4662532220490049E-3</v>
      </c>
      <c r="AS12" s="234">
        <f t="shared" si="35"/>
        <v>2.895454027874541E-4</v>
      </c>
      <c r="AT12" s="231">
        <f t="shared" si="36"/>
        <v>2.6678713412836022E-2</v>
      </c>
      <c r="AU12" s="233">
        <f t="shared" si="37"/>
        <v>2.220618743545614E-4</v>
      </c>
      <c r="AV12" s="231">
        <f t="shared" si="38"/>
        <v>1.1388114027010997E-3</v>
      </c>
      <c r="AW12" s="234">
        <f t="shared" si="39"/>
        <v>2.6736938964418475E-4</v>
      </c>
      <c r="AX12" s="231">
        <f t="shared" si="40"/>
        <v>2.4635415561815182E-2</v>
      </c>
      <c r="AY12" s="233">
        <f t="shared" si="41"/>
        <v>2.050766970561326E-4</v>
      </c>
      <c r="AZ12" s="231">
        <f t="shared" si="42"/>
        <v>9.7410434833052864E-4</v>
      </c>
      <c r="BA12" s="234">
        <f t="shared" si="43"/>
        <v>2.5437143818452624E-4</v>
      </c>
      <c r="BB12" s="231">
        <f t="shared" si="44"/>
        <v>2.3437784314322248E-2</v>
      </c>
      <c r="BC12" s="233">
        <f t="shared" si="45"/>
        <v>1.9511913239425482E-4</v>
      </c>
      <c r="BD12" s="284">
        <f t="shared" si="46"/>
        <v>2.5571037944410881E-4</v>
      </c>
      <c r="BE12" s="231">
        <f t="shared" si="47"/>
        <v>4.904705360726876E-3</v>
      </c>
      <c r="BF12" s="234">
        <f t="shared" si="48"/>
        <v>4.1678335003753747E-4</v>
      </c>
      <c r="BG12" s="231">
        <f t="shared" si="53"/>
        <v>3.8402417872458704E-2</v>
      </c>
      <c r="BH12" s="233">
        <f t="shared" si="49"/>
        <v>3.1941757562673216E-4</v>
      </c>
    </row>
    <row r="13" spans="1:60" s="277" customFormat="1" ht="14.4">
      <c r="A13" s="221" t="s">
        <v>1603</v>
      </c>
      <c r="B13" s="226" t="s">
        <v>579</v>
      </c>
      <c r="C13" s="227">
        <v>5.7000000000000003E-5</v>
      </c>
      <c r="D13" s="228">
        <v>86.18</v>
      </c>
      <c r="E13" s="229">
        <f t="shared" si="0"/>
        <v>6.6140635878394055E-7</v>
      </c>
      <c r="F13" s="230">
        <f t="shared" si="1"/>
        <v>9.4353605956270373E-5</v>
      </c>
      <c r="G13" s="228">
        <f t="shared" si="56"/>
        <v>9.4353605956270373E-5</v>
      </c>
      <c r="H13" s="231">
        <f t="shared" si="3"/>
        <v>7.5719550907612956E-4</v>
      </c>
      <c r="I13" s="228">
        <f t="shared" si="4"/>
        <v>1.9523672603794664E-4</v>
      </c>
      <c r="J13" s="232">
        <f t="shared" si="57"/>
        <v>1.6825501049950242E-2</v>
      </c>
      <c r="K13" s="233">
        <f t="shared" si="5"/>
        <v>1.4007098645412011E-4</v>
      </c>
      <c r="L13" s="231">
        <f t="shared" si="6"/>
        <v>8.023318241453289E-4</v>
      </c>
      <c r="M13" s="228">
        <f t="shared" si="7"/>
        <v>1.9736865666668911E-4</v>
      </c>
      <c r="N13" s="232">
        <f t="shared" si="58"/>
        <v>1.7009230831535268E-2</v>
      </c>
      <c r="O13" s="233">
        <f t="shared" si="8"/>
        <v>1.4159668450909997E-4</v>
      </c>
      <c r="P13" s="231">
        <f t="shared" si="9"/>
        <v>8.7723164337899626E-4</v>
      </c>
      <c r="Q13" s="228">
        <f t="shared" si="51"/>
        <v>2.0066789724795456E-4</v>
      </c>
      <c r="R13" s="232">
        <f t="shared" si="10"/>
        <v>1.7293559384828724E-2</v>
      </c>
      <c r="S13" s="233">
        <f t="shared" si="11"/>
        <v>1.4395739888466806E-4</v>
      </c>
      <c r="T13" s="231">
        <f t="shared" si="52"/>
        <v>9.6437213481482902E-4</v>
      </c>
      <c r="U13" s="228">
        <f t="shared" si="54"/>
        <v>2.0418498066728793E-4</v>
      </c>
      <c r="V13" s="232">
        <f t="shared" si="12"/>
        <v>1.7596661633906874E-2</v>
      </c>
      <c r="W13" s="233">
        <f t="shared" si="13"/>
        <v>1.4647348328204564E-4</v>
      </c>
      <c r="X13" s="231">
        <f t="shared" si="14"/>
        <v>1.1389258958262958E-3</v>
      </c>
      <c r="Y13" s="228">
        <f t="shared" si="15"/>
        <v>2.1039874500890869E-4</v>
      </c>
      <c r="Z13" s="232">
        <f t="shared" si="16"/>
        <v>1.8132163844867752E-2</v>
      </c>
      <c r="AA13" s="233">
        <f t="shared" si="17"/>
        <v>1.5091738313888098E-4</v>
      </c>
      <c r="AB13" s="231">
        <f t="shared" si="18"/>
        <v>1.2929241965088474E-3</v>
      </c>
      <c r="AC13" s="228">
        <f t="shared" si="19"/>
        <v>2.1516146236611798E-4</v>
      </c>
      <c r="AD13" s="232">
        <f t="shared" si="20"/>
        <v>1.8542614826712048E-2</v>
      </c>
      <c r="AE13" s="233">
        <f t="shared" si="21"/>
        <v>1.5432226422672747E-4</v>
      </c>
      <c r="AF13" s="231">
        <f t="shared" si="22"/>
        <v>1.5411309376869003E-3</v>
      </c>
      <c r="AG13" s="234">
        <f t="shared" si="23"/>
        <v>2.2178521855325241E-4</v>
      </c>
      <c r="AH13" s="231">
        <f t="shared" si="24"/>
        <v>1.9113450134919295E-2</v>
      </c>
      <c r="AI13" s="233">
        <f t="shared" si="25"/>
        <v>1.5905558475590479E-4</v>
      </c>
      <c r="AJ13" s="231">
        <f t="shared" si="26"/>
        <v>1.5200158681002152E-3</v>
      </c>
      <c r="AK13" s="234">
        <f t="shared" si="27"/>
        <v>2.212638738817937E-4</v>
      </c>
      <c r="AL13" s="231">
        <f t="shared" si="28"/>
        <v>1.9068520651132983E-2</v>
      </c>
      <c r="AM13" s="233">
        <f t="shared" si="29"/>
        <v>1.5868312369702003E-4</v>
      </c>
      <c r="AN13" s="231">
        <f t="shared" si="30"/>
        <v>1.3542593604049552E-3</v>
      </c>
      <c r="AO13" s="234">
        <f t="shared" si="31"/>
        <v>2.1690675620376234E-4</v>
      </c>
      <c r="AP13" s="231">
        <f t="shared" si="32"/>
        <v>1.8693024249640242E-2</v>
      </c>
      <c r="AQ13" s="233">
        <f t="shared" si="33"/>
        <v>1.5556968372379306E-4</v>
      </c>
      <c r="AR13" s="231">
        <f t="shared" si="34"/>
        <v>1.0500642827617284E-3</v>
      </c>
      <c r="AS13" s="234">
        <f t="shared" si="35"/>
        <v>2.0735932997990858E-4</v>
      </c>
      <c r="AT13" s="231">
        <f t="shared" si="36"/>
        <v>1.7870227057668522E-2</v>
      </c>
      <c r="AU13" s="233">
        <f t="shared" si="37"/>
        <v>1.4874390882950865E-4</v>
      </c>
      <c r="AV13" s="231">
        <f t="shared" si="38"/>
        <v>8.4967566682378622E-4</v>
      </c>
      <c r="AW13" s="234">
        <f t="shared" si="39"/>
        <v>1.9948629237058835E-4</v>
      </c>
      <c r="AX13" s="231">
        <f t="shared" si="40"/>
        <v>1.7191728676497306E-2</v>
      </c>
      <c r="AY13" s="233">
        <f t="shared" si="41"/>
        <v>1.4311197328150494E-4</v>
      </c>
      <c r="AZ13" s="231">
        <f t="shared" si="42"/>
        <v>7.4545095854038708E-4</v>
      </c>
      <c r="BA13" s="234">
        <f t="shared" si="43"/>
        <v>1.9466234058490253E-4</v>
      </c>
      <c r="BB13" s="231">
        <f t="shared" si="44"/>
        <v>1.6776000511606902E-2</v>
      </c>
      <c r="BC13" s="233">
        <f t="shared" si="45"/>
        <v>1.3965990218922143E-4</v>
      </c>
      <c r="BD13" s="284">
        <f t="shared" si="46"/>
        <v>1.5905558475590479E-4</v>
      </c>
      <c r="BE13" s="231">
        <f t="shared" si="47"/>
        <v>2.8903339068544788E-3</v>
      </c>
      <c r="BF13" s="234">
        <f t="shared" si="48"/>
        <v>2.4560966660133195E-4</v>
      </c>
      <c r="BG13" s="231">
        <f t="shared" si="53"/>
        <v>2.1166641067702788E-2</v>
      </c>
      <c r="BH13" s="233">
        <f t="shared" si="49"/>
        <v>1.7605654926367736E-4</v>
      </c>
    </row>
    <row r="14" spans="1:60" s="277" customFormat="1" ht="14.4">
      <c r="A14" s="221" t="s">
        <v>1604</v>
      </c>
      <c r="B14" s="226" t="s">
        <v>1223</v>
      </c>
      <c r="C14" s="227">
        <v>8.1499999999999997E-4</v>
      </c>
      <c r="D14" s="228">
        <v>106.17</v>
      </c>
      <c r="E14" s="229">
        <f t="shared" si="0"/>
        <v>7.6763680889140046E-6</v>
      </c>
      <c r="F14" s="230">
        <f t="shared" si="1"/>
        <v>1.0950802032934229E-3</v>
      </c>
      <c r="G14" s="228">
        <f t="shared" si="56"/>
        <v>1.0950802032934229E-3</v>
      </c>
      <c r="H14" s="231">
        <f t="shared" si="3"/>
        <v>3.4839410798289186E-4</v>
      </c>
      <c r="I14" s="228">
        <f t="shared" si="4"/>
        <v>8.9830597511708025E-5</v>
      </c>
      <c r="J14" s="232">
        <f t="shared" si="57"/>
        <v>9.5373145378180417E-3</v>
      </c>
      <c r="K14" s="233">
        <f t="shared" si="5"/>
        <v>7.9397401091918426E-5</v>
      </c>
      <c r="L14" s="231">
        <f t="shared" si="6"/>
        <v>3.7682799308753548E-4</v>
      </c>
      <c r="M14" s="228">
        <f t="shared" si="7"/>
        <v>9.2697351085776794E-5</v>
      </c>
      <c r="N14" s="232">
        <f t="shared" si="58"/>
        <v>9.8416777647769224E-3</v>
      </c>
      <c r="O14" s="233">
        <f t="shared" si="8"/>
        <v>8.1928980522487225E-5</v>
      </c>
      <c r="P14" s="231">
        <f t="shared" si="9"/>
        <v>4.252408584915152E-4</v>
      </c>
      <c r="Q14" s="228">
        <f t="shared" si="51"/>
        <v>9.727440812408168E-5</v>
      </c>
      <c r="R14" s="232">
        <f t="shared" si="10"/>
        <v>1.0327623910533752E-2</v>
      </c>
      <c r="S14" s="233">
        <f t="shared" si="11"/>
        <v>8.5970611470755206E-5</v>
      </c>
      <c r="T14" s="231">
        <f t="shared" si="52"/>
        <v>4.8339253449923531E-4</v>
      </c>
      <c r="U14" s="228">
        <f t="shared" si="54"/>
        <v>1.0234793369510779E-4</v>
      </c>
      <c r="V14" s="232">
        <f t="shared" si="12"/>
        <v>1.0866280120409594E-2</v>
      </c>
      <c r="W14" s="233">
        <f t="shared" si="13"/>
        <v>9.0450219062458728E-5</v>
      </c>
      <c r="X14" s="231">
        <f t="shared" si="14"/>
        <v>6.0532897322097541E-4</v>
      </c>
      <c r="Y14" s="228">
        <f t="shared" si="15"/>
        <v>1.1182505968996688E-4</v>
      </c>
      <c r="Z14" s="232">
        <f t="shared" si="16"/>
        <v>1.1872466587283784E-2</v>
      </c>
      <c r="AA14" s="233">
        <f t="shared" si="17"/>
        <v>9.8816754805787924E-5</v>
      </c>
      <c r="AB14" s="231">
        <f t="shared" si="18"/>
        <v>7.1843062957886489E-4</v>
      </c>
      <c r="AC14" s="228">
        <f t="shared" si="19"/>
        <v>1.1955734550114565E-4</v>
      </c>
      <c r="AD14" s="232">
        <f t="shared" si="20"/>
        <v>1.2693403371856633E-2</v>
      </c>
      <c r="AE14" s="233">
        <f t="shared" si="21"/>
        <v>1.056417753048607E-4</v>
      </c>
      <c r="AF14" s="231">
        <f t="shared" si="22"/>
        <v>9.105145901621344E-4</v>
      </c>
      <c r="AG14" s="234">
        <f t="shared" si="23"/>
        <v>1.3103278406578867E-4</v>
      </c>
      <c r="AH14" s="231">
        <f t="shared" si="24"/>
        <v>1.3911750684264782E-2</v>
      </c>
      <c r="AI14" s="233">
        <f t="shared" si="25"/>
        <v>1.1576882375733557E-4</v>
      </c>
      <c r="AJ14" s="231">
        <f t="shared" si="26"/>
        <v>8.9373279491176722E-4</v>
      </c>
      <c r="AK14" s="234">
        <f t="shared" si="27"/>
        <v>1.3009783948146421E-4</v>
      </c>
      <c r="AL14" s="231">
        <f t="shared" si="28"/>
        <v>1.3812487617747055E-2</v>
      </c>
      <c r="AM14" s="233">
        <f t="shared" si="29"/>
        <v>1.1494382397620784E-4</v>
      </c>
      <c r="AN14" s="231">
        <f t="shared" si="30"/>
        <v>7.6481431237169324E-4</v>
      </c>
      <c r="AO14" s="234">
        <f t="shared" si="31"/>
        <v>1.2249750413033809E-4</v>
      </c>
      <c r="AP14" s="231">
        <f t="shared" si="32"/>
        <v>1.3005560013517995E-2</v>
      </c>
      <c r="AQ14" s="233">
        <f t="shared" si="33"/>
        <v>1.0823667860981581E-4</v>
      </c>
      <c r="AR14" s="231">
        <f t="shared" si="34"/>
        <v>5.4238024664667614E-4</v>
      </c>
      <c r="AS14" s="234">
        <f t="shared" si="35"/>
        <v>1.0710544714767002E-4</v>
      </c>
      <c r="AT14" s="231">
        <f t="shared" si="36"/>
        <v>1.1371385323668127E-2</v>
      </c>
      <c r="AU14" s="233">
        <f t="shared" si="37"/>
        <v>9.4650409107313263E-5</v>
      </c>
      <c r="AV14" s="231">
        <f t="shared" si="38"/>
        <v>4.0725569553756453E-4</v>
      </c>
      <c r="AW14" s="234">
        <f t="shared" si="39"/>
        <v>9.5615223457308482E-5</v>
      </c>
      <c r="AX14" s="231">
        <f t="shared" si="40"/>
        <v>1.0151468274462441E-2</v>
      </c>
      <c r="AY14" s="233">
        <f t="shared" si="41"/>
        <v>8.4505559842217742E-5</v>
      </c>
      <c r="AZ14" s="231">
        <f t="shared" si="42"/>
        <v>3.4109038408879051E-4</v>
      </c>
      <c r="BA14" s="234">
        <f t="shared" si="43"/>
        <v>8.9070181957690871E-5</v>
      </c>
      <c r="BB14" s="231">
        <f t="shared" si="44"/>
        <v>9.4565812184480395E-3</v>
      </c>
      <c r="BC14" s="233">
        <f t="shared" si="45"/>
        <v>7.8725868367679063E-5</v>
      </c>
      <c r="BD14" s="284">
        <f t="shared" si="46"/>
        <v>1.1576882375733557E-4</v>
      </c>
      <c r="BE14" s="231">
        <f t="shared" si="47"/>
        <v>2.1218834938593299E-3</v>
      </c>
      <c r="BF14" s="234">
        <f t="shared" si="48"/>
        <v>1.8030965081845067E-4</v>
      </c>
      <c r="BG14" s="231">
        <f t="shared" si="53"/>
        <v>1.9143475627394907E-2</v>
      </c>
      <c r="BH14" s="233">
        <f t="shared" si="49"/>
        <v>1.5922858280122194E-4</v>
      </c>
    </row>
    <row r="15" spans="1:60" s="277" customFormat="1" ht="14.4">
      <c r="A15" s="221" t="s">
        <v>1605</v>
      </c>
      <c r="B15" s="226" t="s">
        <v>591</v>
      </c>
      <c r="C15" s="271">
        <v>0</v>
      </c>
      <c r="D15" s="228">
        <v>34.082000000000001</v>
      </c>
      <c r="E15" s="229">
        <f>C15/D15</f>
        <v>0</v>
      </c>
      <c r="F15" s="227">
        <f t="shared" si="1"/>
        <v>0</v>
      </c>
      <c r="G15" s="235">
        <f>F15</f>
        <v>0</v>
      </c>
      <c r="H15" s="231">
        <f t="shared" si="3"/>
        <v>0</v>
      </c>
      <c r="I15" s="236">
        <f t="shared" si="4"/>
        <v>0</v>
      </c>
      <c r="J15" s="232">
        <f t="shared" si="57"/>
        <v>0</v>
      </c>
      <c r="K15" s="233">
        <f t="shared" si="5"/>
        <v>0</v>
      </c>
      <c r="L15" s="231">
        <f t="shared" si="6"/>
        <v>0</v>
      </c>
      <c r="M15" s="228">
        <f t="shared" si="7"/>
        <v>0</v>
      </c>
      <c r="N15" s="232">
        <f t="shared" si="58"/>
        <v>0</v>
      </c>
      <c r="O15" s="233">
        <f t="shared" si="8"/>
        <v>0</v>
      </c>
      <c r="P15" s="231">
        <f t="shared" si="9"/>
        <v>0</v>
      </c>
      <c r="Q15" s="228">
        <f t="shared" si="51"/>
        <v>0</v>
      </c>
      <c r="R15" s="232">
        <f t="shared" si="10"/>
        <v>0</v>
      </c>
      <c r="S15" s="233">
        <f t="shared" si="11"/>
        <v>0</v>
      </c>
      <c r="T15" s="231">
        <f t="shared" si="52"/>
        <v>0</v>
      </c>
      <c r="U15" s="228">
        <f t="shared" si="54"/>
        <v>0</v>
      </c>
      <c r="V15" s="232">
        <f t="shared" si="12"/>
        <v>0</v>
      </c>
      <c r="W15" s="233">
        <f t="shared" si="13"/>
        <v>0</v>
      </c>
      <c r="X15" s="231">
        <f t="shared" si="14"/>
        <v>0</v>
      </c>
      <c r="Y15" s="228">
        <f t="shared" si="15"/>
        <v>0</v>
      </c>
      <c r="Z15" s="232">
        <f t="shared" si="16"/>
        <v>0</v>
      </c>
      <c r="AA15" s="233">
        <f t="shared" si="17"/>
        <v>0</v>
      </c>
      <c r="AB15" s="231">
        <f t="shared" si="18"/>
        <v>0</v>
      </c>
      <c r="AC15" s="228">
        <f t="shared" si="19"/>
        <v>0</v>
      </c>
      <c r="AD15" s="232">
        <f t="shared" si="20"/>
        <v>0</v>
      </c>
      <c r="AE15" s="233">
        <f t="shared" si="21"/>
        <v>0</v>
      </c>
      <c r="AF15" s="231">
        <f t="shared" si="22"/>
        <v>0</v>
      </c>
      <c r="AG15" s="234">
        <f t="shared" si="23"/>
        <v>0</v>
      </c>
      <c r="AH15" s="231">
        <f t="shared" si="24"/>
        <v>0</v>
      </c>
      <c r="AI15" s="233">
        <f t="shared" si="25"/>
        <v>0</v>
      </c>
      <c r="AJ15" s="231">
        <f t="shared" si="26"/>
        <v>0</v>
      </c>
      <c r="AK15" s="234">
        <f t="shared" si="27"/>
        <v>0</v>
      </c>
      <c r="AL15" s="231">
        <f t="shared" si="28"/>
        <v>0</v>
      </c>
      <c r="AM15" s="233">
        <f t="shared" si="29"/>
        <v>0</v>
      </c>
      <c r="AN15" s="231">
        <f t="shared" si="30"/>
        <v>0</v>
      </c>
      <c r="AO15" s="234">
        <f t="shared" si="31"/>
        <v>0</v>
      </c>
      <c r="AP15" s="231">
        <f t="shared" si="32"/>
        <v>0</v>
      </c>
      <c r="AQ15" s="233">
        <f t="shared" si="33"/>
        <v>0</v>
      </c>
      <c r="AR15" s="231">
        <f t="shared" si="34"/>
        <v>0</v>
      </c>
      <c r="AS15" s="234">
        <f t="shared" si="35"/>
        <v>0</v>
      </c>
      <c r="AT15" s="231">
        <f t="shared" si="36"/>
        <v>0</v>
      </c>
      <c r="AU15" s="233">
        <f t="shared" si="37"/>
        <v>0</v>
      </c>
      <c r="AV15" s="231">
        <f t="shared" si="38"/>
        <v>0</v>
      </c>
      <c r="AW15" s="234">
        <f t="shared" si="39"/>
        <v>0</v>
      </c>
      <c r="AX15" s="231">
        <f t="shared" si="40"/>
        <v>0</v>
      </c>
      <c r="AY15" s="233">
        <f t="shared" si="41"/>
        <v>0</v>
      </c>
      <c r="AZ15" s="231">
        <f t="shared" si="42"/>
        <v>0</v>
      </c>
      <c r="BA15" s="234">
        <f t="shared" si="43"/>
        <v>0</v>
      </c>
      <c r="BB15" s="231">
        <f t="shared" si="44"/>
        <v>0</v>
      </c>
      <c r="BC15" s="233">
        <f t="shared" si="45"/>
        <v>0</v>
      </c>
      <c r="BD15" s="284">
        <f t="shared" si="46"/>
        <v>0</v>
      </c>
      <c r="BE15" s="231">
        <f t="shared" si="47"/>
        <v>0</v>
      </c>
      <c r="BF15" s="234">
        <f t="shared" si="48"/>
        <v>0</v>
      </c>
      <c r="BG15" s="231">
        <f t="shared" si="53"/>
        <v>0</v>
      </c>
      <c r="BH15" s="233">
        <f t="shared" si="49"/>
        <v>0</v>
      </c>
    </row>
    <row r="16" spans="1:60" s="277" customFormat="1" ht="14.4">
      <c r="A16" s="221"/>
      <c r="B16" s="226" t="s">
        <v>1631</v>
      </c>
      <c r="C16" s="282">
        <v>0.44</v>
      </c>
      <c r="D16" s="228">
        <v>188</v>
      </c>
      <c r="E16" s="229">
        <f>C16/D16</f>
        <v>2.3404255319148938E-3</v>
      </c>
      <c r="F16" s="230">
        <f t="shared" si="1"/>
        <v>0.33387581700046737</v>
      </c>
      <c r="G16" s="228">
        <f>F16</f>
        <v>0.33387581700046737</v>
      </c>
      <c r="H16" s="231">
        <f t="shared" si="3"/>
        <v>7.9906081538408252E-3</v>
      </c>
      <c r="I16" s="228">
        <f t="shared" si="4"/>
        <v>2.060313560115361E-3</v>
      </c>
      <c r="J16" s="232">
        <f t="shared" si="57"/>
        <v>0.38733894930168788</v>
      </c>
      <c r="K16" s="233">
        <f t="shared" si="5"/>
        <v>3.2245666004074389E-3</v>
      </c>
      <c r="L16" s="231">
        <f t="shared" si="6"/>
        <v>8.590021427561172E-3</v>
      </c>
      <c r="M16" s="228">
        <f t="shared" si="7"/>
        <v>2.1130920385737189E-3</v>
      </c>
      <c r="N16" s="232">
        <f>M16*$D16</f>
        <v>0.39726130325185915</v>
      </c>
      <c r="O16" s="233">
        <f t="shared" si="8"/>
        <v>3.3070797839922163E-3</v>
      </c>
      <c r="P16" s="231">
        <f t="shared" si="9"/>
        <v>9.6055723613627571E-3</v>
      </c>
      <c r="Q16" s="228">
        <f t="shared" si="51"/>
        <v>2.1972873666448105E-3</v>
      </c>
      <c r="R16" s="232">
        <f>Q16*$D16</f>
        <v>0.41309002492922436</v>
      </c>
      <c r="S16" s="233">
        <f t="shared" si="11"/>
        <v>3.4387001640728333E-3</v>
      </c>
      <c r="T16" s="231">
        <f t="shared" si="52"/>
        <v>1.0818361630750967E-2</v>
      </c>
      <c r="U16" s="228">
        <f t="shared" si="54"/>
        <v>2.290554528362394E-3</v>
      </c>
      <c r="V16" s="232">
        <f t="shared" si="12"/>
        <v>0.43062425133213006</v>
      </c>
      <c r="W16" s="233">
        <f t="shared" si="13"/>
        <v>3.584488659871789E-3</v>
      </c>
      <c r="X16" s="231">
        <f t="shared" si="14"/>
        <v>1.3342161179984265E-2</v>
      </c>
      <c r="Y16" s="228">
        <f t="shared" si="15"/>
        <v>2.4647555896853612E-3</v>
      </c>
      <c r="Z16" s="232">
        <f t="shared" si="16"/>
        <v>0.46337405086084793</v>
      </c>
      <c r="AA16" s="233">
        <f t="shared" si="17"/>
        <v>3.8567486908174888E-3</v>
      </c>
      <c r="AB16" s="231">
        <f t="shared" si="18"/>
        <v>1.5665773497646644E-2</v>
      </c>
      <c r="AC16" s="228">
        <f t="shared" si="19"/>
        <v>2.6070134227138054E-3</v>
      </c>
      <c r="AD16" s="232">
        <f t="shared" si="20"/>
        <v>0.49011852347019541</v>
      </c>
      <c r="AE16" s="233">
        <f t="shared" si="21"/>
        <v>4.0790471564140628E-3</v>
      </c>
      <c r="AF16" s="231">
        <f t="shared" si="22"/>
        <v>1.9585824862535912E-2</v>
      </c>
      <c r="AG16" s="234">
        <f t="shared" si="23"/>
        <v>2.8186095947194323E-3</v>
      </c>
      <c r="AH16" s="231">
        <f t="shared" si="24"/>
        <v>0.52989860380725329</v>
      </c>
      <c r="AI16" s="233">
        <f t="shared" si="25"/>
        <v>4.409634665377281E-3</v>
      </c>
      <c r="AJ16" s="231">
        <f t="shared" si="26"/>
        <v>1.924437646143826E-2</v>
      </c>
      <c r="AK16" s="234">
        <f t="shared" si="27"/>
        <v>2.8013426541522771E-3</v>
      </c>
      <c r="AL16" s="231">
        <f t="shared" si="28"/>
        <v>0.52665241898062809</v>
      </c>
      <c r="AM16" s="233">
        <f t="shared" si="29"/>
        <v>4.3826604315774413E-3</v>
      </c>
      <c r="AN16" s="231">
        <f t="shared" si="30"/>
        <v>1.6614999794125094E-2</v>
      </c>
      <c r="AO16" s="234">
        <f t="shared" si="31"/>
        <v>2.6611635961609312E-3</v>
      </c>
      <c r="AP16" s="231">
        <f t="shared" si="32"/>
        <v>0.50029875607825502</v>
      </c>
      <c r="AQ16" s="233">
        <f t="shared" si="33"/>
        <v>4.1636558221444095E-3</v>
      </c>
      <c r="AR16" s="231">
        <f t="shared" si="34"/>
        <v>1.2042126153869469E-2</v>
      </c>
      <c r="AS16" s="234">
        <f t="shared" si="35"/>
        <v>2.3779946159415417E-3</v>
      </c>
      <c r="AT16" s="231">
        <f t="shared" si="36"/>
        <v>0.44706298779700987</v>
      </c>
      <c r="AU16" s="233">
        <f t="shared" si="37"/>
        <v>3.7211556452714689E-3</v>
      </c>
      <c r="AV16" s="231">
        <f t="shared" si="38"/>
        <v>9.2289833991407461E-3</v>
      </c>
      <c r="AW16" s="234">
        <f t="shared" si="39"/>
        <v>2.166774632403487E-3</v>
      </c>
      <c r="AX16" s="231">
        <f t="shared" si="40"/>
        <v>0.40735363089185556</v>
      </c>
      <c r="AY16" s="233">
        <f t="shared" si="41"/>
        <v>3.3910017449273115E-3</v>
      </c>
      <c r="AZ16" s="231">
        <f t="shared" si="42"/>
        <v>7.836241727739739E-3</v>
      </c>
      <c r="BA16" s="234">
        <f t="shared" si="43"/>
        <v>2.0463065190736538E-3</v>
      </c>
      <c r="BB16" s="231">
        <f t="shared" si="44"/>
        <v>0.38470562558584692</v>
      </c>
      <c r="BC16" s="233">
        <f t="shared" si="45"/>
        <v>3.2026674059642273E-3</v>
      </c>
      <c r="BD16" s="284">
        <f t="shared" si="46"/>
        <v>4.409634665377281E-3</v>
      </c>
      <c r="BE16" s="231">
        <f t="shared" si="47"/>
        <v>4.4006184348177414E-2</v>
      </c>
      <c r="BF16" s="234">
        <f t="shared" si="48"/>
        <v>3.7394794561695531E-3</v>
      </c>
      <c r="BG16" s="231">
        <f>BF16*$D16</f>
        <v>0.70302213775987599</v>
      </c>
      <c r="BH16" s="233">
        <f t="shared" si="49"/>
        <v>5.8474866765154771E-3</v>
      </c>
    </row>
    <row r="17" spans="1:60" s="277" customFormat="1" ht="14.4">
      <c r="A17" s="221"/>
      <c r="B17" s="226" t="s">
        <v>1632</v>
      </c>
      <c r="C17" s="233">
        <f>1-SUM(C5:C16)</f>
        <v>0.55838549999999998</v>
      </c>
      <c r="D17" s="228">
        <v>120</v>
      </c>
      <c r="E17" s="229">
        <f>C17/D17</f>
        <v>4.6532125000000001E-3</v>
      </c>
      <c r="F17" s="230">
        <f t="shared" si="1"/>
        <v>0.66380882618519543</v>
      </c>
      <c r="G17" s="228">
        <f>F17</f>
        <v>0.66380882618519543</v>
      </c>
      <c r="H17" s="231">
        <f t="shared" si="3"/>
        <v>3.8678483738876639</v>
      </c>
      <c r="I17" s="228">
        <f t="shared" si="4"/>
        <v>0.99729335987530232</v>
      </c>
      <c r="J17" s="232">
        <f t="shared" si="55"/>
        <v>119.67520318503628</v>
      </c>
      <c r="K17" s="233">
        <f t="shared" si="5"/>
        <v>0.99628675035950054</v>
      </c>
      <c r="L17" s="231">
        <f t="shared" si="6"/>
        <v>4.0538744355371348</v>
      </c>
      <c r="M17" s="228">
        <f t="shared" si="7"/>
        <v>0.99722798916732336</v>
      </c>
      <c r="N17" s="232">
        <f>M17*$D17</f>
        <v>119.66735870007881</v>
      </c>
      <c r="O17" s="233">
        <f t="shared" si="8"/>
        <v>0.99619444310656902</v>
      </c>
      <c r="P17" s="231">
        <f t="shared" si="9"/>
        <v>4.3589866520842433</v>
      </c>
      <c r="Q17" s="228">
        <f t="shared" si="51"/>
        <v>0.99712395489561723</v>
      </c>
      <c r="R17" s="232">
        <f>Q17*$D17</f>
        <v>119.65487458747407</v>
      </c>
      <c r="S17" s="233">
        <f t="shared" si="11"/>
        <v>0.99604737961551426</v>
      </c>
      <c r="T17" s="231">
        <f t="shared" si="52"/>
        <v>4.7089053669545979</v>
      </c>
      <c r="U17" s="228">
        <f t="shared" si="54"/>
        <v>0.99700905553469776</v>
      </c>
      <c r="V17" s="232">
        <f t="shared" si="12"/>
        <v>119.64108666416374</v>
      </c>
      <c r="W17" s="233">
        <f t="shared" si="13"/>
        <v>0.99588473495346541</v>
      </c>
      <c r="X17" s="231">
        <f t="shared" si="14"/>
        <v>5.3958309420869517</v>
      </c>
      <c r="Y17" s="228">
        <f t="shared" si="15"/>
        <v>0.99679536891351861</v>
      </c>
      <c r="Z17" s="232">
        <f t="shared" si="16"/>
        <v>119.61544426962223</v>
      </c>
      <c r="AA17" s="233">
        <f t="shared" si="17"/>
        <v>0.99558166287338157</v>
      </c>
      <c r="AB17" s="231">
        <f t="shared" si="18"/>
        <v>5.9887876667308877</v>
      </c>
      <c r="AC17" s="228">
        <f t="shared" si="19"/>
        <v>0.99662170114330595</v>
      </c>
      <c r="AD17" s="232">
        <f t="shared" si="20"/>
        <v>119.59460413719671</v>
      </c>
      <c r="AE17" s="233">
        <f t="shared" si="21"/>
        <v>0.99533481508572963</v>
      </c>
      <c r="AF17" s="231">
        <f t="shared" si="22"/>
        <v>6.9234930808400081</v>
      </c>
      <c r="AG17" s="234">
        <f t="shared" si="23"/>
        <v>0.99636467514611249</v>
      </c>
      <c r="AH17" s="231">
        <f t="shared" si="24"/>
        <v>119.56376101753349</v>
      </c>
      <c r="AI17" s="233">
        <f t="shared" si="25"/>
        <v>0.99496866290588959</v>
      </c>
      <c r="AJ17" s="231">
        <f t="shared" si="26"/>
        <v>6.8448675655714153</v>
      </c>
      <c r="AK17" s="234">
        <f t="shared" si="27"/>
        <v>0.99638559409191707</v>
      </c>
      <c r="AL17" s="231">
        <f t="shared" si="28"/>
        <v>119.56627129103005</v>
      </c>
      <c r="AM17" s="233">
        <f t="shared" si="29"/>
        <v>0.99499849854050748</v>
      </c>
      <c r="AN17" s="231">
        <f t="shared" si="30"/>
        <v>6.2220053423214692</v>
      </c>
      <c r="AO17" s="234">
        <f t="shared" si="31"/>
        <v>0.99655578196031025</v>
      </c>
      <c r="AP17" s="231">
        <f t="shared" si="32"/>
        <v>119.58669383523723</v>
      </c>
      <c r="AQ17" s="233">
        <f t="shared" si="33"/>
        <v>0.99524099948032618</v>
      </c>
      <c r="AR17" s="231">
        <f t="shared" si="34"/>
        <v>5.0482937827497674</v>
      </c>
      <c r="AS17" s="234">
        <f t="shared" si="35"/>
        <v>0.99690165022998245</v>
      </c>
      <c r="AT17" s="231">
        <f t="shared" si="36"/>
        <v>119.62819802759789</v>
      </c>
      <c r="AU17" s="233">
        <f t="shared" si="37"/>
        <v>0.99573249536410502</v>
      </c>
      <c r="AV17" s="231">
        <f t="shared" si="38"/>
        <v>4.2472290027654855</v>
      </c>
      <c r="AW17" s="234">
        <f t="shared" si="39"/>
        <v>0.99716162259620367</v>
      </c>
      <c r="AX17" s="231">
        <f t="shared" si="40"/>
        <v>119.65939471154444</v>
      </c>
      <c r="AY17" s="233">
        <f t="shared" si="41"/>
        <v>0.99610064939255649</v>
      </c>
      <c r="AZ17" s="231">
        <f t="shared" si="42"/>
        <v>3.8191580201689361</v>
      </c>
      <c r="BA17" s="234">
        <f t="shared" si="43"/>
        <v>0.9973107295017436</v>
      </c>
      <c r="BB17" s="231">
        <f t="shared" si="44"/>
        <v>119.67728754020924</v>
      </c>
      <c r="BC17" s="233">
        <f t="shared" si="45"/>
        <v>0.9963112638541507</v>
      </c>
      <c r="BD17" s="284">
        <f t="shared" si="46"/>
        <v>0.9963112638541507</v>
      </c>
      <c r="BE17" s="231">
        <f t="shared" si="47"/>
        <v>11.712233934671675</v>
      </c>
      <c r="BF17" s="234">
        <f t="shared" si="48"/>
        <v>0.99526143502988274</v>
      </c>
      <c r="BG17" s="231">
        <f t="shared" si="53"/>
        <v>119.43137220358592</v>
      </c>
      <c r="BH17" s="233">
        <f t="shared" si="49"/>
        <v>0.99338743434700449</v>
      </c>
    </row>
    <row r="18" spans="1:60" s="277" customFormat="1" ht="14.4">
      <c r="A18" s="221"/>
      <c r="B18" s="237"/>
      <c r="C18" s="238"/>
      <c r="D18" s="239">
        <f>SUMPRODUCT(C5:D17)/SUM(C5:C17)</f>
        <v>1404.6591000000001</v>
      </c>
      <c r="E18" s="240">
        <f>SUM(E5:E17)</f>
        <v>7.0098683784325048E-3</v>
      </c>
      <c r="F18" s="241">
        <f>SUM(F5:F17)</f>
        <v>1</v>
      </c>
      <c r="G18" s="239">
        <f t="shared" si="2"/>
        <v>1</v>
      </c>
      <c r="H18" s="242">
        <f>SUM(H5:H17)</f>
        <v>3.8783456598681099</v>
      </c>
      <c r="I18" s="239">
        <f>SUM(I5:I17)</f>
        <v>0.99999999999999989</v>
      </c>
      <c r="J18" s="243">
        <f t="shared" ref="J18:BH18" si="59">SUM(J5:J17)</f>
        <v>120.12124334871726</v>
      </c>
      <c r="K18" s="241">
        <f t="shared" si="59"/>
        <v>1</v>
      </c>
      <c r="L18" s="242">
        <f t="shared" si="59"/>
        <v>4.0651430561250939</v>
      </c>
      <c r="M18" s="239">
        <f t="shared" si="59"/>
        <v>1</v>
      </c>
      <c r="N18" s="243">
        <f>SUM(N5:N17)</f>
        <v>120.12449931652274</v>
      </c>
      <c r="O18" s="241">
        <f t="shared" si="59"/>
        <v>1</v>
      </c>
      <c r="P18" s="242">
        <f t="shared" si="59"/>
        <v>4.3715594542511607</v>
      </c>
      <c r="Q18" s="239">
        <f t="shared" si="59"/>
        <v>1</v>
      </c>
      <c r="R18" s="243">
        <f t="shared" si="59"/>
        <v>120.12970169517662</v>
      </c>
      <c r="S18" s="241">
        <f t="shared" si="59"/>
        <v>1</v>
      </c>
      <c r="T18" s="242">
        <f>SUM(T5:T17)</f>
        <v>4.7230316924545921</v>
      </c>
      <c r="U18" s="239">
        <f>SUM(U5:U17)</f>
        <v>1</v>
      </c>
      <c r="V18" s="243">
        <f t="shared" ref="V18:W18" si="60">SUM(V5:V17)</f>
        <v>120.13547598935151</v>
      </c>
      <c r="W18" s="241">
        <f t="shared" si="60"/>
        <v>1</v>
      </c>
      <c r="X18" s="242">
        <f t="shared" si="59"/>
        <v>5.4131781811629693</v>
      </c>
      <c r="Y18" s="239">
        <f t="shared" si="59"/>
        <v>1</v>
      </c>
      <c r="Z18" s="243">
        <f t="shared" si="59"/>
        <v>120.14629108816257</v>
      </c>
      <c r="AA18" s="241">
        <f t="shared" si="59"/>
        <v>1</v>
      </c>
      <c r="AB18" s="242">
        <f t="shared" si="59"/>
        <v>6.0090881623996966</v>
      </c>
      <c r="AC18" s="239">
        <f t="shared" si="59"/>
        <v>1</v>
      </c>
      <c r="AD18" s="243">
        <f t="shared" si="59"/>
        <v>120.15515013095956</v>
      </c>
      <c r="AE18" s="241">
        <f t="shared" si="59"/>
        <v>1</v>
      </c>
      <c r="AF18" s="242">
        <f t="shared" si="59"/>
        <v>6.9487540591748784</v>
      </c>
      <c r="AG18" s="239">
        <f t="shared" si="59"/>
        <v>1</v>
      </c>
      <c r="AH18" s="243">
        <f t="shared" si="59"/>
        <v>120.16836858794878</v>
      </c>
      <c r="AI18" s="241">
        <f t="shared" si="59"/>
        <v>1</v>
      </c>
      <c r="AJ18" s="242">
        <f t="shared" si="59"/>
        <v>6.8696974405874167</v>
      </c>
      <c r="AK18" s="239">
        <f t="shared" si="59"/>
        <v>1</v>
      </c>
      <c r="AL18" s="243">
        <f t="shared" si="59"/>
        <v>120.16728815813623</v>
      </c>
      <c r="AM18" s="241">
        <f t="shared" si="59"/>
        <v>1</v>
      </c>
      <c r="AN18" s="242">
        <f t="shared" si="59"/>
        <v>6.2435093498552119</v>
      </c>
      <c r="AO18" s="239">
        <f t="shared" si="59"/>
        <v>1</v>
      </c>
      <c r="AP18" s="243">
        <f t="shared" si="59"/>
        <v>120.15852833402208</v>
      </c>
      <c r="AQ18" s="241">
        <f t="shared" si="59"/>
        <v>1</v>
      </c>
      <c r="AR18" s="242">
        <f t="shared" si="59"/>
        <v>5.0639837757166317</v>
      </c>
      <c r="AS18" s="239">
        <f t="shared" si="59"/>
        <v>1</v>
      </c>
      <c r="AT18" s="243">
        <f t="shared" si="59"/>
        <v>120.14089987477408</v>
      </c>
      <c r="AU18" s="241">
        <f t="shared" si="59"/>
        <v>1</v>
      </c>
      <c r="AV18" s="242">
        <f t="shared" si="59"/>
        <v>4.2593185563112899</v>
      </c>
      <c r="AW18" s="239">
        <f t="shared" si="59"/>
        <v>1</v>
      </c>
      <c r="AX18" s="243">
        <f t="shared" si="59"/>
        <v>120.12781518063993</v>
      </c>
      <c r="AY18" s="241">
        <f t="shared" si="59"/>
        <v>1</v>
      </c>
      <c r="AZ18" s="242">
        <f t="shared" si="59"/>
        <v>3.8294564644631741</v>
      </c>
      <c r="BA18" s="239">
        <f t="shared" si="59"/>
        <v>1</v>
      </c>
      <c r="BB18" s="243">
        <f t="shared" si="59"/>
        <v>120.12037992750096</v>
      </c>
      <c r="BC18" s="241">
        <f t="shared" si="59"/>
        <v>1</v>
      </c>
      <c r="BD18" s="285">
        <f>SUM(BD5:BD17)</f>
        <v>1.0013426009482611</v>
      </c>
      <c r="BE18" s="242">
        <f t="shared" si="59"/>
        <v>11.767997354705113</v>
      </c>
      <c r="BF18" s="239">
        <f t="shared" si="59"/>
        <v>1</v>
      </c>
      <c r="BG18" s="243">
        <f t="shared" si="59"/>
        <v>120.2263770148182</v>
      </c>
      <c r="BH18" s="241">
        <f t="shared" si="59"/>
        <v>1</v>
      </c>
    </row>
    <row r="19" spans="1:60" s="277" customFormat="1" ht="14.4">
      <c r="A19" s="221" t="s">
        <v>1633</v>
      </c>
      <c r="B19" s="244"/>
      <c r="C19" s="221"/>
      <c r="D19" s="221"/>
      <c r="E19" s="221"/>
      <c r="F19" s="221"/>
      <c r="G19" s="221"/>
      <c r="H19" s="245">
        <f>H18/101.325*14.696</f>
        <v>0.56250844132663946</v>
      </c>
      <c r="I19" s="246" t="s">
        <v>1634</v>
      </c>
      <c r="J19" s="247"/>
      <c r="K19" s="248"/>
      <c r="L19" s="245">
        <f>L18/101.325*14.696</f>
        <v>0.58960120752839251</v>
      </c>
      <c r="M19" s="246" t="s">
        <v>1634</v>
      </c>
      <c r="N19" s="247"/>
      <c r="O19" s="248"/>
      <c r="P19" s="245">
        <f>P18/101.325*14.696</f>
        <v>0.63404330362373607</v>
      </c>
      <c r="Q19" s="246" t="s">
        <v>1634</v>
      </c>
      <c r="R19" s="247"/>
      <c r="S19" s="248"/>
      <c r="T19" s="245">
        <f>T18/101.325*14.696</f>
        <v>0.68502021961325121</v>
      </c>
      <c r="U19" s="246" t="s">
        <v>1634</v>
      </c>
      <c r="V19" s="247"/>
      <c r="W19" s="248"/>
      <c r="X19" s="245">
        <f>X18/101.325*14.696</f>
        <v>0.78511785393901801</v>
      </c>
      <c r="Y19" s="246" t="s">
        <v>1634</v>
      </c>
      <c r="Z19" s="247"/>
      <c r="AA19" s="248"/>
      <c r="AB19" s="245">
        <f>AB18/101.325*14.696</f>
        <v>0.87154759076857569</v>
      </c>
      <c r="AC19" s="246" t="s">
        <v>1634</v>
      </c>
      <c r="AD19" s="247"/>
      <c r="AE19" s="248"/>
      <c r="AF19" s="245">
        <f>AF18/101.325*14.696</f>
        <v>1.0078350817037653</v>
      </c>
      <c r="AG19" s="246" t="s">
        <v>1634</v>
      </c>
      <c r="AH19" s="247"/>
      <c r="AI19" s="248"/>
      <c r="AJ19" s="245">
        <f>AJ18/101.325*14.696</f>
        <v>0.99636884862445285</v>
      </c>
      <c r="AK19" s="246" t="s">
        <v>1634</v>
      </c>
      <c r="AL19" s="247"/>
      <c r="AM19" s="248"/>
      <c r="AN19" s="245">
        <f>AN18/101.325*14.696</f>
        <v>0.90554762798393473</v>
      </c>
      <c r="AO19" s="246" t="s">
        <v>1634</v>
      </c>
      <c r="AP19" s="247"/>
      <c r="AQ19" s="248"/>
      <c r="AR19" s="245">
        <f>AR18/101.325*14.696</f>
        <v>0.73447131081106953</v>
      </c>
      <c r="AS19" s="246" t="s">
        <v>1634</v>
      </c>
      <c r="AT19" s="247"/>
      <c r="AU19" s="248"/>
      <c r="AV19" s="245">
        <f>AV18/101.325*14.696</f>
        <v>0.61776408096275071</v>
      </c>
      <c r="AW19" s="246" t="s">
        <v>1634</v>
      </c>
      <c r="AX19" s="247"/>
      <c r="AY19" s="248"/>
      <c r="AZ19" s="245">
        <f>AZ18/101.325*14.696</f>
        <v>0.55541763830990187</v>
      </c>
      <c r="BA19" s="246" t="s">
        <v>1634</v>
      </c>
      <c r="BB19" s="247"/>
      <c r="BC19" s="248"/>
      <c r="BD19" s="247"/>
      <c r="BE19" s="245">
        <f>BE18/101.325*14.696</f>
        <v>1.7068096632099317</v>
      </c>
      <c r="BF19" s="246" t="s">
        <v>1634</v>
      </c>
      <c r="BG19" s="247"/>
      <c r="BH19" s="248"/>
    </row>
    <row r="20" spans="1:60" s="277" customFormat="1" ht="14.4">
      <c r="A20" s="221" t="s">
        <v>1635</v>
      </c>
      <c r="B20" s="221"/>
      <c r="C20" s="221"/>
      <c r="D20" s="221"/>
      <c r="E20" s="221"/>
      <c r="F20" s="221"/>
      <c r="G20" s="221"/>
      <c r="H20" s="221"/>
      <c r="I20" s="221"/>
      <c r="J20" s="221"/>
      <c r="K20" s="221"/>
      <c r="L20" s="221"/>
      <c r="M20" s="221"/>
      <c r="N20" s="221"/>
    </row>
    <row r="21" spans="1:60" s="277" customFormat="1" ht="14.4">
      <c r="A21" s="221"/>
      <c r="B21" s="221"/>
      <c r="C21" s="221"/>
      <c r="D21" s="221"/>
      <c r="E21" s="221"/>
      <c r="F21" s="221"/>
      <c r="G21" s="221"/>
      <c r="H21" s="221"/>
      <c r="I21" s="221"/>
      <c r="J21" s="221"/>
      <c r="K21" s="221"/>
      <c r="L21" s="221"/>
      <c r="M21" s="221"/>
      <c r="N21" s="221"/>
    </row>
    <row r="22" spans="1:60" s="277" customFormat="1" ht="14.4">
      <c r="A22" s="221"/>
      <c r="B22" s="221"/>
      <c r="C22" s="221"/>
      <c r="D22" s="221"/>
      <c r="E22" s="221"/>
      <c r="F22" s="221"/>
      <c r="G22" s="221"/>
      <c r="H22" s="221"/>
      <c r="I22" s="221"/>
      <c r="J22" s="221"/>
      <c r="K22" s="221"/>
      <c r="L22" s="221"/>
      <c r="M22" s="221"/>
      <c r="N22" s="221"/>
      <c r="T22" s="277" t="s">
        <v>1659</v>
      </c>
    </row>
    <row r="23" spans="1:60" s="277" customFormat="1" ht="18" customHeight="1">
      <c r="A23" s="221"/>
      <c r="C23" s="325" t="s">
        <v>1636</v>
      </c>
      <c r="D23" s="326"/>
      <c r="E23" s="247"/>
      <c r="F23" s="247"/>
      <c r="G23" s="248" t="s">
        <v>1637</v>
      </c>
      <c r="H23" s="278">
        <v>501.4</v>
      </c>
      <c r="I23" s="279">
        <v>503.45</v>
      </c>
      <c r="J23" s="279">
        <v>506.65</v>
      </c>
      <c r="K23" s="279">
        <v>510.09999999999997</v>
      </c>
      <c r="L23" s="279">
        <v>516.29999999999995</v>
      </c>
      <c r="M23" s="279">
        <v>521.15</v>
      </c>
      <c r="N23" s="279">
        <v>528.04999999999995</v>
      </c>
      <c r="O23" s="279">
        <v>527.5</v>
      </c>
      <c r="P23" s="279">
        <v>522.95000000000005</v>
      </c>
      <c r="Q23" s="279">
        <v>513.25</v>
      </c>
      <c r="R23" s="279">
        <v>505.5</v>
      </c>
      <c r="S23" s="279">
        <v>500.85</v>
      </c>
      <c r="T23" s="280">
        <f>459.67+95</f>
        <v>554.67000000000007</v>
      </c>
    </row>
    <row r="24" spans="1:60" s="277" customFormat="1" ht="14.4">
      <c r="A24" s="221"/>
      <c r="C24" s="226" t="s">
        <v>1638</v>
      </c>
      <c r="D24" s="327"/>
      <c r="E24" s="327"/>
      <c r="F24" s="327"/>
      <c r="G24" s="327" t="s">
        <v>1639</v>
      </c>
      <c r="H24" s="328">
        <f>CONVERT(H23,"Rank", "C")</f>
        <v>5.4055555555555657</v>
      </c>
      <c r="I24" s="328">
        <f t="shared" ref="I24:P24" si="61">CONVERT(I23,"Rank", "C")</f>
        <v>6.5444444444444798</v>
      </c>
      <c r="J24" s="328">
        <f t="shared" si="61"/>
        <v>8.3222222222222513</v>
      </c>
      <c r="K24" s="328">
        <f t="shared" si="61"/>
        <v>10.23888888888888</v>
      </c>
      <c r="L24" s="328">
        <f t="shared" si="61"/>
        <v>13.683333333333337</v>
      </c>
      <c r="M24" s="328">
        <f t="shared" si="61"/>
        <v>16.377777777777794</v>
      </c>
      <c r="N24" s="328">
        <f t="shared" si="61"/>
        <v>20.211111111111109</v>
      </c>
      <c r="O24" s="328">
        <f t="shared" si="61"/>
        <v>19.905555555555566</v>
      </c>
      <c r="P24" s="328">
        <f t="shared" si="61"/>
        <v>17.377777777777794</v>
      </c>
      <c r="Q24" s="328">
        <f>CONVERT(Q23,"Rank", "C")</f>
        <v>11.98888888888888</v>
      </c>
      <c r="R24" s="328">
        <f>CONVERT(R23,"Rank", "C")</f>
        <v>7.6833333333333371</v>
      </c>
      <c r="S24" s="328">
        <f>CONVERT(S23,"Rank", "C")</f>
        <v>5.1000000000000227</v>
      </c>
      <c r="T24" s="329">
        <f>CONVERT(T23,"Rank", "C")</f>
        <v>35.000000000000057</v>
      </c>
    </row>
    <row r="25" spans="1:60" s="277" customFormat="1" ht="14.4">
      <c r="A25" s="221"/>
      <c r="C25" s="226" t="s">
        <v>1641</v>
      </c>
      <c r="D25" s="327"/>
      <c r="E25" s="327"/>
      <c r="F25" s="327"/>
      <c r="G25" s="327" t="s">
        <v>1634</v>
      </c>
      <c r="H25" s="330">
        <f>H19</f>
        <v>0.56250844132663946</v>
      </c>
      <c r="I25" s="330">
        <f>L19</f>
        <v>0.58960120752839251</v>
      </c>
      <c r="J25" s="330">
        <f>P19</f>
        <v>0.63404330362373607</v>
      </c>
      <c r="K25" s="330">
        <f>T19</f>
        <v>0.68502021961325121</v>
      </c>
      <c r="L25" s="330">
        <f>X19</f>
        <v>0.78511785393901801</v>
      </c>
      <c r="M25" s="330">
        <f>AB19</f>
        <v>0.87154759076857569</v>
      </c>
      <c r="N25" s="330">
        <f>AF19</f>
        <v>1.0078350817037653</v>
      </c>
      <c r="O25" s="330">
        <f>AJ19</f>
        <v>0.99636884862445285</v>
      </c>
      <c r="P25" s="330">
        <f>AN19</f>
        <v>0.90554762798393473</v>
      </c>
      <c r="Q25" s="330">
        <f>AR19</f>
        <v>0.73447131081106953</v>
      </c>
      <c r="R25" s="330">
        <f>AV19</f>
        <v>0.61776408096275071</v>
      </c>
      <c r="S25" s="330">
        <f>AZ19</f>
        <v>0.55541763830990187</v>
      </c>
      <c r="T25" s="331" t="str">
        <f>BA19</f>
        <v>psi</v>
      </c>
    </row>
    <row r="26" spans="1:60" s="277" customFormat="1" ht="14.4">
      <c r="A26" s="221"/>
      <c r="B26" s="221"/>
      <c r="C26" s="226" t="s">
        <v>1677</v>
      </c>
      <c r="D26" s="327"/>
      <c r="E26" s="327"/>
      <c r="F26" s="327"/>
      <c r="G26" s="327" t="s">
        <v>1643</v>
      </c>
      <c r="H26" s="332">
        <f>J18</f>
        <v>120.12124334871726</v>
      </c>
      <c r="I26" s="332">
        <f>N18</f>
        <v>120.12449931652274</v>
      </c>
      <c r="J26" s="332">
        <f>R18</f>
        <v>120.12970169517662</v>
      </c>
      <c r="K26" s="332">
        <f>V18</f>
        <v>120.13547598935151</v>
      </c>
      <c r="L26" s="332">
        <f>Z18</f>
        <v>120.14629108816257</v>
      </c>
      <c r="M26" s="332">
        <f>AD18</f>
        <v>120.15515013095956</v>
      </c>
      <c r="N26" s="332">
        <f>AH18</f>
        <v>120.16836858794878</v>
      </c>
      <c r="O26" s="332">
        <f>AL18</f>
        <v>120.16728815813623</v>
      </c>
      <c r="P26" s="332">
        <f>AP18</f>
        <v>120.15852833402208</v>
      </c>
      <c r="Q26" s="332">
        <f>AT18</f>
        <v>120.14089987477408</v>
      </c>
      <c r="R26" s="332">
        <f>AX18</f>
        <v>120.12781518063993</v>
      </c>
      <c r="S26" s="333">
        <f>BB18</f>
        <v>120.12037992750096</v>
      </c>
      <c r="T26" s="334">
        <f>BC18</f>
        <v>1</v>
      </c>
    </row>
    <row r="27" spans="1:60" s="277" customFormat="1" ht="18" customHeight="1">
      <c r="A27" s="221"/>
      <c r="B27" s="222" t="s">
        <v>1644</v>
      </c>
      <c r="C27" s="221"/>
      <c r="D27" s="221"/>
      <c r="E27" s="221"/>
      <c r="F27" s="221"/>
      <c r="G27" s="221"/>
      <c r="H27" s="221"/>
      <c r="I27" s="221"/>
      <c r="J27" s="221"/>
      <c r="K27" s="221"/>
      <c r="L27" s="221"/>
      <c r="M27" s="221"/>
      <c r="N27" s="221"/>
      <c r="T27" s="281"/>
    </row>
    <row r="28" spans="1:60" s="277" customFormat="1" ht="16.2">
      <c r="A28" s="221"/>
      <c r="B28" s="393" t="s">
        <v>1621</v>
      </c>
      <c r="C28" s="395" t="s">
        <v>1645</v>
      </c>
      <c r="D28" s="396"/>
      <c r="E28" s="397"/>
      <c r="F28" s="222"/>
      <c r="G28" s="222"/>
      <c r="H28" s="221"/>
      <c r="I28" s="221"/>
      <c r="J28" s="221"/>
      <c r="K28" s="221"/>
      <c r="L28" s="221"/>
      <c r="M28" s="221"/>
      <c r="N28" s="221"/>
      <c r="T28" s="281"/>
    </row>
    <row r="29" spans="1:60" s="277" customFormat="1" ht="14.4">
      <c r="A29" s="221"/>
      <c r="B29" s="394"/>
      <c r="C29" s="224" t="s">
        <v>1646</v>
      </c>
      <c r="D29" s="224" t="s">
        <v>1647</v>
      </c>
      <c r="E29" s="224" t="s">
        <v>1640</v>
      </c>
      <c r="F29" s="320"/>
      <c r="G29" s="320"/>
      <c r="H29" s="249" t="s">
        <v>1642</v>
      </c>
      <c r="I29" s="249" t="s">
        <v>1642</v>
      </c>
      <c r="J29" s="249" t="s">
        <v>1642</v>
      </c>
      <c r="K29" s="249" t="s">
        <v>1642</v>
      </c>
      <c r="L29" s="249" t="s">
        <v>1642</v>
      </c>
      <c r="M29" s="249" t="s">
        <v>1642</v>
      </c>
      <c r="N29" s="249" t="s">
        <v>1642</v>
      </c>
      <c r="O29" s="249" t="s">
        <v>1642</v>
      </c>
      <c r="P29" s="249" t="s">
        <v>1642</v>
      </c>
      <c r="Q29" s="249" t="s">
        <v>1642</v>
      </c>
      <c r="R29" s="249" t="s">
        <v>1642</v>
      </c>
      <c r="S29" s="249" t="s">
        <v>1642</v>
      </c>
      <c r="T29" s="257" t="s">
        <v>1642</v>
      </c>
    </row>
    <row r="30" spans="1:60" s="277" customFormat="1" ht="14.4">
      <c r="A30" s="221" t="s">
        <v>1595</v>
      </c>
      <c r="B30" s="226" t="s">
        <v>88</v>
      </c>
      <c r="C30" s="228">
        <v>4.1933999999999996</v>
      </c>
      <c r="D30" s="228">
        <v>1840.268</v>
      </c>
      <c r="E30" s="228">
        <v>-74.754999999999995</v>
      </c>
      <c r="F30" s="321"/>
      <c r="G30" s="322"/>
      <c r="H30" s="250">
        <f>(10^($C30-($D30/($E30+H$24+273.15))))*100</f>
        <v>1.4576401641250485E-3</v>
      </c>
      <c r="I30" s="250">
        <f t="shared" ref="I30:T30" si="62">(10^($C30-($D30/($E30+I$24+273.15))))*100</f>
        <v>1.6361775343202132E-3</v>
      </c>
      <c r="J30" s="250">
        <f t="shared" si="62"/>
        <v>1.9545876190934066E-3</v>
      </c>
      <c r="K30" s="250">
        <f t="shared" si="62"/>
        <v>2.3596018593913491E-3</v>
      </c>
      <c r="L30" s="250">
        <f t="shared" si="62"/>
        <v>3.2816843222575488E-3</v>
      </c>
      <c r="M30" s="250">
        <f t="shared" si="62"/>
        <v>4.2165612863179318E-3</v>
      </c>
      <c r="N30" s="250">
        <f t="shared" si="62"/>
        <v>5.9594885093456782E-3</v>
      </c>
      <c r="O30" s="250">
        <f t="shared" si="62"/>
        <v>5.79997383602262E-3</v>
      </c>
      <c r="P30" s="250">
        <f t="shared" si="62"/>
        <v>4.6202864476624656E-3</v>
      </c>
      <c r="Q30" s="250">
        <f t="shared" si="62"/>
        <v>2.7938898666305255E-3</v>
      </c>
      <c r="R30" s="250">
        <f t="shared" si="62"/>
        <v>1.834238837918428E-3</v>
      </c>
      <c r="S30" s="250">
        <f t="shared" si="62"/>
        <v>1.4128361890848303E-3</v>
      </c>
      <c r="T30" s="258">
        <f t="shared" si="62"/>
        <v>2.0352650614644818E-2</v>
      </c>
    </row>
    <row r="31" spans="1:60" s="277" customFormat="1" ht="14.4">
      <c r="A31" s="221" t="s">
        <v>1596</v>
      </c>
      <c r="B31" s="226" t="s">
        <v>693</v>
      </c>
      <c r="C31" s="228">
        <v>7.1459999999999999</v>
      </c>
      <c r="D31" s="228">
        <v>1831.6</v>
      </c>
      <c r="E31" s="228">
        <v>211.82</v>
      </c>
      <c r="F31" s="322"/>
      <c r="G31" s="322"/>
      <c r="H31" s="251">
        <f>(10^($C31-($D31/(H$24+$E31))))*0.13332239</f>
        <v>6.9042152050860584E-3</v>
      </c>
      <c r="I31" s="251">
        <f t="shared" ref="I31:T31" si="63">(10^($C31-($D31/(I$24+$E31))))*0.13332239</f>
        <v>7.6399526462368559E-3</v>
      </c>
      <c r="J31" s="251">
        <f t="shared" si="63"/>
        <v>8.9295007873999854E-3</v>
      </c>
      <c r="K31" s="251">
        <f t="shared" si="63"/>
        <v>1.05351474289654E-2</v>
      </c>
      <c r="L31" s="251">
        <f t="shared" si="63"/>
        <v>1.4080837129767864E-2</v>
      </c>
      <c r="M31" s="251">
        <f t="shared" si="63"/>
        <v>1.7560311016553275E-2</v>
      </c>
      <c r="N31" s="251">
        <f t="shared" si="63"/>
        <v>2.3830549440803515E-2</v>
      </c>
      <c r="O31" s="251">
        <f t="shared" si="63"/>
        <v>2.3266189204969489E-2</v>
      </c>
      <c r="P31" s="251">
        <f t="shared" si="63"/>
        <v>1.9034944430265103E-2</v>
      </c>
      <c r="Q31" s="251">
        <f t="shared" si="63"/>
        <v>1.222180058119679E-2</v>
      </c>
      <c r="R31" s="251">
        <f t="shared" si="63"/>
        <v>8.4452142666969557E-3</v>
      </c>
      <c r="S31" s="251">
        <f t="shared" si="63"/>
        <v>6.717957048310623E-3</v>
      </c>
      <c r="T31" s="259">
        <f t="shared" si="63"/>
        <v>7.0812611343001652E-2</v>
      </c>
    </row>
    <row r="32" spans="1:60" s="277" customFormat="1" ht="14.4">
      <c r="A32" s="221" t="s">
        <v>1597</v>
      </c>
      <c r="B32" s="226" t="s">
        <v>814</v>
      </c>
      <c r="C32" s="228">
        <v>7.1219999999999999</v>
      </c>
      <c r="D32" s="228">
        <v>1509.7</v>
      </c>
      <c r="E32" s="228">
        <v>174.2</v>
      </c>
      <c r="F32" s="322"/>
      <c r="G32" s="322"/>
      <c r="H32" s="251">
        <f t="shared" ref="H32:T39" si="64">(10^($C32-($D32/(H$24+$E32))))*0.13332239</f>
        <v>6.9384281787666612E-3</v>
      </c>
      <c r="I32" s="251">
        <f t="shared" si="64"/>
        <v>7.8383723690375277E-3</v>
      </c>
      <c r="J32" s="251">
        <f t="shared" si="64"/>
        <v>9.4532574526249163E-3</v>
      </c>
      <c r="K32" s="251">
        <f t="shared" si="64"/>
        <v>1.1522217296728978E-2</v>
      </c>
      <c r="L32" s="251">
        <f t="shared" si="64"/>
        <v>1.6277866897638157E-2</v>
      </c>
      <c r="M32" s="251">
        <f t="shared" si="64"/>
        <v>2.1144771539793265E-2</v>
      </c>
      <c r="N32" s="251">
        <f t="shared" si="64"/>
        <v>3.0297056221309508E-2</v>
      </c>
      <c r="O32" s="251">
        <f t="shared" si="64"/>
        <v>2.9456164395890626E-2</v>
      </c>
      <c r="P32" s="251">
        <f t="shared" si="64"/>
        <v>2.3256951277152452E-2</v>
      </c>
      <c r="Q32" s="251">
        <f t="shared" si="64"/>
        <v>1.3755323019181701E-2</v>
      </c>
      <c r="R32" s="251">
        <f t="shared" si="64"/>
        <v>8.8415293252461901E-3</v>
      </c>
      <c r="S32" s="251">
        <f t="shared" si="64"/>
        <v>6.7133077101191579E-3</v>
      </c>
      <c r="T32" s="259">
        <f t="shared" si="64"/>
        <v>0.10724175029166769</v>
      </c>
    </row>
    <row r="33" spans="1:57" s="277" customFormat="1" ht="14.4">
      <c r="A33" s="221" t="s">
        <v>1598</v>
      </c>
      <c r="B33" s="226" t="s">
        <v>313</v>
      </c>
      <c r="C33" s="228">
        <v>6.843</v>
      </c>
      <c r="D33" s="228">
        <v>1391.3</v>
      </c>
      <c r="E33" s="228">
        <v>160.18</v>
      </c>
      <c r="F33" s="322"/>
      <c r="G33" s="322"/>
      <c r="H33" s="251">
        <f t="shared" si="64"/>
        <v>3.6779019917354784E-3</v>
      </c>
      <c r="I33" s="251">
        <f t="shared" si="64"/>
        <v>4.197551097219282E-3</v>
      </c>
      <c r="J33" s="251">
        <f t="shared" si="64"/>
        <v>5.1408944865466381E-3</v>
      </c>
      <c r="K33" s="251">
        <f t="shared" si="64"/>
        <v>6.3665179664831916E-3</v>
      </c>
      <c r="L33" s="251">
        <f t="shared" si="64"/>
        <v>9.2393363415944601E-3</v>
      </c>
      <c r="M33" s="251">
        <f t="shared" si="64"/>
        <v>1.2239484592291204E-2</v>
      </c>
      <c r="N33" s="251">
        <f t="shared" si="64"/>
        <v>1.7997702755052348E-2</v>
      </c>
      <c r="O33" s="251">
        <f t="shared" si="64"/>
        <v>1.7463479242965891E-2</v>
      </c>
      <c r="P33" s="251">
        <f t="shared" si="64"/>
        <v>1.3556383254796163E-2</v>
      </c>
      <c r="Q33" s="251">
        <f t="shared" si="64"/>
        <v>7.7069839116494839E-3</v>
      </c>
      <c r="R33" s="251">
        <f t="shared" si="64"/>
        <v>4.7820378932823225E-3</v>
      </c>
      <c r="S33" s="251">
        <f t="shared" si="64"/>
        <v>3.5486787964541626E-3</v>
      </c>
      <c r="T33" s="259">
        <f t="shared" si="64"/>
        <v>6.9121198091078057E-2</v>
      </c>
    </row>
    <row r="34" spans="1:57" s="277" customFormat="1" ht="14.4">
      <c r="A34" s="221" t="s">
        <v>1599</v>
      </c>
      <c r="B34" s="226" t="s">
        <v>148</v>
      </c>
      <c r="C34" s="228">
        <v>6.9059999999999997</v>
      </c>
      <c r="D34" s="228">
        <v>1211</v>
      </c>
      <c r="E34" s="228">
        <v>220.79</v>
      </c>
      <c r="F34" s="322"/>
      <c r="G34" s="322"/>
      <c r="H34" s="251">
        <f t="shared" si="64"/>
        <v>4.7547597613456611</v>
      </c>
      <c r="I34" s="251">
        <f t="shared" si="64"/>
        <v>5.0576602746057713</v>
      </c>
      <c r="J34" s="251">
        <f t="shared" si="64"/>
        <v>5.5626754106998124</v>
      </c>
      <c r="K34" s="251">
        <f t="shared" si="64"/>
        <v>6.1536725706591238</v>
      </c>
      <c r="L34" s="251">
        <f t="shared" si="64"/>
        <v>7.3474504093329864</v>
      </c>
      <c r="M34" s="251">
        <f t="shared" si="64"/>
        <v>8.4103325446916841</v>
      </c>
      <c r="N34" s="251">
        <f t="shared" si="64"/>
        <v>10.139814071516019</v>
      </c>
      <c r="O34" s="251">
        <f t="shared" si="64"/>
        <v>9.9919688353324414</v>
      </c>
      <c r="P34" s="251">
        <f t="shared" si="64"/>
        <v>8.8359289301127113</v>
      </c>
      <c r="Q34" s="251">
        <f t="shared" si="64"/>
        <v>6.7381595130214098</v>
      </c>
      <c r="R34" s="251">
        <f t="shared" si="64"/>
        <v>5.3765456247841401</v>
      </c>
      <c r="S34" s="251">
        <f t="shared" si="64"/>
        <v>4.6761309703973533</v>
      </c>
      <c r="T34" s="259">
        <f t="shared" si="64"/>
        <v>19.794780575468991</v>
      </c>
    </row>
    <row r="35" spans="1:57" s="277" customFormat="1" ht="14.4">
      <c r="A35" s="221" t="s">
        <v>1600</v>
      </c>
      <c r="B35" s="226" t="s">
        <v>499</v>
      </c>
      <c r="C35" s="228">
        <v>6.95</v>
      </c>
      <c r="D35" s="228">
        <v>1419.3</v>
      </c>
      <c r="E35" s="228">
        <v>212.61</v>
      </c>
      <c r="F35" s="322"/>
      <c r="G35" s="322"/>
      <c r="H35" s="251">
        <f t="shared" si="64"/>
        <v>0.3671277087258264</v>
      </c>
      <c r="I35" s="251">
        <f t="shared" si="64"/>
        <v>0.39687011255738941</v>
      </c>
      <c r="J35" s="251">
        <f t="shared" si="64"/>
        <v>0.44746693095493578</v>
      </c>
      <c r="K35" s="251">
        <f t="shared" si="64"/>
        <v>0.50817507445108578</v>
      </c>
      <c r="L35" s="251">
        <f t="shared" si="64"/>
        <v>0.63526536236094222</v>
      </c>
      <c r="M35" s="251">
        <f t="shared" si="64"/>
        <v>0.75293188352485929</v>
      </c>
      <c r="N35" s="251">
        <f t="shared" si="64"/>
        <v>0.95237156696027025</v>
      </c>
      <c r="O35" s="251">
        <f t="shared" si="64"/>
        <v>0.93496501490092931</v>
      </c>
      <c r="P35" s="251">
        <f t="shared" si="64"/>
        <v>0.80113478151767337</v>
      </c>
      <c r="Q35" s="251">
        <f t="shared" si="64"/>
        <v>0.56968873848353463</v>
      </c>
      <c r="R35" s="251">
        <f t="shared" si="64"/>
        <v>0.42867664039890274</v>
      </c>
      <c r="S35" s="251">
        <f t="shared" si="64"/>
        <v>0.35948458406618528</v>
      </c>
      <c r="T35" s="259">
        <f t="shared" si="64"/>
        <v>2.2024456014179625</v>
      </c>
    </row>
    <row r="36" spans="1:57" s="277" customFormat="1" ht="14.4">
      <c r="A36" s="221" t="s">
        <v>1601</v>
      </c>
      <c r="B36" s="226" t="s">
        <v>605</v>
      </c>
      <c r="C36" s="228">
        <v>6.9290000000000003</v>
      </c>
      <c r="D36" s="228">
        <v>1455.8</v>
      </c>
      <c r="E36" s="228">
        <v>207.2</v>
      </c>
      <c r="F36" s="322"/>
      <c r="G36" s="322"/>
      <c r="H36" s="251">
        <f t="shared" si="64"/>
        <v>0.1608721606925396</v>
      </c>
      <c r="I36" s="251">
        <f t="shared" si="64"/>
        <v>0.17497090337768212</v>
      </c>
      <c r="J36" s="251">
        <f t="shared" si="64"/>
        <v>0.19913481747709025</v>
      </c>
      <c r="K36" s="251">
        <f t="shared" si="64"/>
        <v>0.22839605513416517</v>
      </c>
      <c r="L36" s="251">
        <f t="shared" si="64"/>
        <v>0.29046476824009304</v>
      </c>
      <c r="M36" s="251">
        <f t="shared" si="64"/>
        <v>0.34875666170919778</v>
      </c>
      <c r="N36" s="251">
        <f t="shared" si="64"/>
        <v>0.44903579989244974</v>
      </c>
      <c r="O36" s="251">
        <f t="shared" si="64"/>
        <v>0.44021821288736179</v>
      </c>
      <c r="P36" s="251">
        <f t="shared" si="64"/>
        <v>0.37283475475920225</v>
      </c>
      <c r="Q36" s="251">
        <f t="shared" si="64"/>
        <v>0.25831109837031291</v>
      </c>
      <c r="R36" s="251">
        <f t="shared" si="64"/>
        <v>0.19013585872177993</v>
      </c>
      <c r="S36" s="251">
        <f t="shared" si="64"/>
        <v>0.15726267289995433</v>
      </c>
      <c r="T36" s="259">
        <f t="shared" si="64"/>
        <v>1.1045062064766571</v>
      </c>
    </row>
    <row r="37" spans="1:57" s="277" customFormat="1" ht="14.4">
      <c r="A37" s="221" t="s">
        <v>1602</v>
      </c>
      <c r="B37" s="226" t="s">
        <v>1129</v>
      </c>
      <c r="C37" s="228">
        <v>7.0170000000000003</v>
      </c>
      <c r="D37" s="228">
        <v>1377.6</v>
      </c>
      <c r="E37" s="228">
        <v>222.64</v>
      </c>
      <c r="F37" s="322"/>
      <c r="G37" s="322"/>
      <c r="H37" s="251">
        <f t="shared" si="64"/>
        <v>1.2618415661981759</v>
      </c>
      <c r="I37" s="251">
        <f t="shared" si="64"/>
        <v>1.352147079260797</v>
      </c>
      <c r="J37" s="251">
        <f t="shared" si="64"/>
        <v>1.5041504334739386</v>
      </c>
      <c r="K37" s="251">
        <f t="shared" si="64"/>
        <v>1.6841544171923539</v>
      </c>
      <c r="L37" s="251">
        <f t="shared" si="64"/>
        <v>2.0540046736535453</v>
      </c>
      <c r="M37" s="251">
        <f t="shared" si="64"/>
        <v>2.3895442253801646</v>
      </c>
      <c r="N37" s="251">
        <f t="shared" si="64"/>
        <v>2.9463993755295617</v>
      </c>
      <c r="O37" s="251">
        <f t="shared" si="64"/>
        <v>2.8983133407865505</v>
      </c>
      <c r="P37" s="251">
        <f t="shared" si="64"/>
        <v>2.5253887654662015</v>
      </c>
      <c r="Q37" s="251">
        <f t="shared" si="64"/>
        <v>1.8642465093049663</v>
      </c>
      <c r="R37" s="251">
        <f t="shared" si="64"/>
        <v>1.4479253312571831</v>
      </c>
      <c r="S37" s="251">
        <f t="shared" si="64"/>
        <v>1.2385109227833526</v>
      </c>
      <c r="T37" s="259">
        <f t="shared" si="64"/>
        <v>6.2360168833094223</v>
      </c>
    </row>
    <row r="38" spans="1:57" s="277" customFormat="1" ht="14.4">
      <c r="A38" s="221" t="s">
        <v>1603</v>
      </c>
      <c r="B38" s="226" t="s">
        <v>579</v>
      </c>
      <c r="C38" s="228">
        <v>6.8780000000000001</v>
      </c>
      <c r="D38" s="228">
        <v>1171.5</v>
      </c>
      <c r="E38" s="228">
        <v>224.37</v>
      </c>
      <c r="F38" s="322"/>
      <c r="G38" s="322"/>
      <c r="H38" s="251">
        <f t="shared" si="64"/>
        <v>8.0250828932501364</v>
      </c>
      <c r="I38" s="251">
        <f t="shared" si="64"/>
        <v>8.503456926883981</v>
      </c>
      <c r="J38" s="251">
        <f t="shared" si="64"/>
        <v>9.2972773482082154</v>
      </c>
      <c r="K38" s="251">
        <f t="shared" si="64"/>
        <v>10.220829665606868</v>
      </c>
      <c r="L38" s="251">
        <f t="shared" si="64"/>
        <v>12.070825320170046</v>
      </c>
      <c r="M38" s="251">
        <f t="shared" si="64"/>
        <v>13.702965386485312</v>
      </c>
      <c r="N38" s="251">
        <f t="shared" si="64"/>
        <v>16.333566926961552</v>
      </c>
      <c r="O38" s="251">
        <f t="shared" si="64"/>
        <v>16.109780359689591</v>
      </c>
      <c r="P38" s="251">
        <f t="shared" si="64"/>
        <v>14.353021770387954</v>
      </c>
      <c r="Q38" s="251">
        <f t="shared" si="64"/>
        <v>11.129031817272535</v>
      </c>
      <c r="R38" s="251">
        <f t="shared" si="64"/>
        <v>9.005227285299318</v>
      </c>
      <c r="S38" s="251">
        <f t="shared" si="64"/>
        <v>7.9006091074662033</v>
      </c>
      <c r="T38" s="259">
        <f t="shared" si="64"/>
        <v>30.632998893482124</v>
      </c>
    </row>
    <row r="39" spans="1:57" s="277" customFormat="1" ht="14.4">
      <c r="A39" s="221" t="s">
        <v>1604</v>
      </c>
      <c r="B39" s="226" t="s">
        <v>1223</v>
      </c>
      <c r="C39" s="228">
        <v>7.0090000000000003</v>
      </c>
      <c r="D39" s="228">
        <v>1462.3</v>
      </c>
      <c r="E39" s="228">
        <v>215.11</v>
      </c>
      <c r="F39" s="322"/>
      <c r="G39" s="322"/>
      <c r="H39" s="251">
        <f t="shared" si="64"/>
        <v>0.31814483262057552</v>
      </c>
      <c r="I39" s="251">
        <f t="shared" si="64"/>
        <v>0.34410994916558246</v>
      </c>
      <c r="J39" s="251">
        <f t="shared" si="64"/>
        <v>0.38831937351494006</v>
      </c>
      <c r="K39" s="251">
        <f t="shared" si="64"/>
        <v>0.44142203744113523</v>
      </c>
      <c r="L39" s="251">
        <f t="shared" si="64"/>
        <v>0.55277135994282933</v>
      </c>
      <c r="M39" s="251">
        <f t="shared" si="64"/>
        <v>0.65605297896738979</v>
      </c>
      <c r="N39" s="251">
        <f t="shared" si="64"/>
        <v>0.83145927341557946</v>
      </c>
      <c r="O39" s="251">
        <f t="shared" si="64"/>
        <v>0.81613455546350944</v>
      </c>
      <c r="P39" s="251">
        <f t="shared" si="64"/>
        <v>0.69840940423499187</v>
      </c>
      <c r="Q39" s="251">
        <f t="shared" si="64"/>
        <v>0.49528814877255822</v>
      </c>
      <c r="R39" s="251">
        <f t="shared" si="64"/>
        <v>0.37189577011140779</v>
      </c>
      <c r="S39" s="251">
        <f t="shared" si="64"/>
        <v>0.31147525365080181</v>
      </c>
      <c r="T39" s="259">
        <f t="shared" si="64"/>
        <v>1.9376512217806741</v>
      </c>
    </row>
    <row r="40" spans="1:57" s="277" customFormat="1" ht="14.4">
      <c r="A40" s="221" t="s">
        <v>1605</v>
      </c>
      <c r="B40" s="226" t="s">
        <v>591</v>
      </c>
      <c r="C40" s="228">
        <v>4.5288700000000004</v>
      </c>
      <c r="D40" s="228">
        <v>958.58699999999999</v>
      </c>
      <c r="E40" s="228">
        <v>-0.53900000000000003</v>
      </c>
      <c r="F40" s="321"/>
      <c r="G40" s="322"/>
      <c r="H40" s="250">
        <f>(10^($C40-($D40/($E40+H$24+273.15))))*100</f>
        <v>1204.8158083413857</v>
      </c>
      <c r="I40" s="250">
        <f t="shared" ref="I40:T40" si="65">(10^($C40-($D40/($E40+I$24+273.15))))*100</f>
        <v>1244.4787456483989</v>
      </c>
      <c r="J40" s="250">
        <f t="shared" si="65"/>
        <v>1308.3305657599292</v>
      </c>
      <c r="K40" s="250">
        <f t="shared" si="65"/>
        <v>1379.873098077077</v>
      </c>
      <c r="L40" s="250">
        <f t="shared" si="65"/>
        <v>1515.6991941569222</v>
      </c>
      <c r="M40" s="250">
        <f t="shared" si="65"/>
        <v>1628.6627395936364</v>
      </c>
      <c r="N40" s="250">
        <f t="shared" si="65"/>
        <v>1799.9254003606311</v>
      </c>
      <c r="O40" s="250">
        <f t="shared" si="65"/>
        <v>1785.8088380804811</v>
      </c>
      <c r="P40" s="250">
        <f t="shared" si="65"/>
        <v>1672.1285740088192</v>
      </c>
      <c r="Q40" s="250">
        <f t="shared" si="65"/>
        <v>1447.698892934889</v>
      </c>
      <c r="R40" s="250">
        <f t="shared" si="65"/>
        <v>1285.1090969254703</v>
      </c>
      <c r="S40" s="250">
        <f t="shared" si="65"/>
        <v>1194.3373141439406</v>
      </c>
      <c r="T40" s="258">
        <f t="shared" si="65"/>
        <v>2586.0611256389898</v>
      </c>
    </row>
    <row r="41" spans="1:57" s="277" customFormat="1" ht="14.4">
      <c r="A41" s="221"/>
      <c r="B41" s="226" t="s">
        <v>1631</v>
      </c>
      <c r="C41" s="228">
        <v>12.101000000000001</v>
      </c>
      <c r="D41" s="228">
        <v>8907</v>
      </c>
      <c r="E41" s="228"/>
      <c r="F41" s="323"/>
      <c r="G41" s="324"/>
      <c r="H41" s="236">
        <f>EXP($C$41-($D$41/H23))*101.325/14.696</f>
        <v>2.393287488033205E-2</v>
      </c>
      <c r="I41" s="236">
        <f t="shared" ref="I41:T41" si="66">EXP($C$41-($D$41/I23))*101.325/14.696</f>
        <v>2.5728192909368897E-2</v>
      </c>
      <c r="J41" s="236">
        <f t="shared" si="66"/>
        <v>2.8769895488864685E-2</v>
      </c>
      <c r="K41" s="236">
        <f t="shared" si="66"/>
        <v>3.2402351652608082E-2</v>
      </c>
      <c r="L41" s="236">
        <f t="shared" si="66"/>
        <v>3.9961448240995512E-2</v>
      </c>
      <c r="M41" s="236">
        <f t="shared" si="66"/>
        <v>4.6920958931340379E-2</v>
      </c>
      <c r="N41" s="236">
        <f t="shared" si="66"/>
        <v>5.8662005048746899E-2</v>
      </c>
      <c r="O41" s="236">
        <f t="shared" si="66"/>
        <v>5.7639324208411655E-2</v>
      </c>
      <c r="P41" s="236">
        <f t="shared" si="66"/>
        <v>4.976401089301366E-2</v>
      </c>
      <c r="Q41" s="236">
        <f t="shared" si="66"/>
        <v>3.6067680079544702E-2</v>
      </c>
      <c r="R41" s="236">
        <f t="shared" si="66"/>
        <v>2.7641964255014695E-2</v>
      </c>
      <c r="S41" s="236">
        <f t="shared" si="66"/>
        <v>2.3470528048842691E-2</v>
      </c>
      <c r="T41" s="260">
        <f t="shared" si="66"/>
        <v>0.1318040484139521</v>
      </c>
    </row>
    <row r="42" spans="1:57" s="277" customFormat="1" ht="14.4">
      <c r="A42" s="221"/>
      <c r="B42" s="226" t="s">
        <v>1632</v>
      </c>
      <c r="C42" s="251">
        <v>11.368</v>
      </c>
      <c r="D42" s="251">
        <v>5784.3</v>
      </c>
      <c r="E42" s="251"/>
      <c r="F42" s="323"/>
      <c r="G42" s="324"/>
      <c r="H42" s="236">
        <f>EXP($C$42-($D$42/H23))*101.325/14.696</f>
        <v>5.8267504457805694</v>
      </c>
      <c r="I42" s="236">
        <f t="shared" ref="I42:T42" si="67">EXP($C$42-($D$42/I23))*101.325/14.696</f>
        <v>6.1069908618632134</v>
      </c>
      <c r="J42" s="236">
        <f t="shared" si="67"/>
        <v>6.5666295477489385</v>
      </c>
      <c r="K42" s="236">
        <f t="shared" si="67"/>
        <v>7.0937673336100904</v>
      </c>
      <c r="L42" s="236">
        <f t="shared" si="67"/>
        <v>8.1285917409323112</v>
      </c>
      <c r="M42" s="236">
        <f t="shared" si="67"/>
        <v>9.0218560382023014</v>
      </c>
      <c r="N42" s="236">
        <f t="shared" si="67"/>
        <v>10.429950322637664</v>
      </c>
      <c r="O42" s="236">
        <f t="shared" si="67"/>
        <v>10.311504299977132</v>
      </c>
      <c r="P42" s="236">
        <f t="shared" si="67"/>
        <v>9.3731886303446004</v>
      </c>
      <c r="Q42" s="236">
        <f t="shared" si="67"/>
        <v>7.6050416680379431</v>
      </c>
      <c r="R42" s="236">
        <f t="shared" si="67"/>
        <v>6.3982713625150787</v>
      </c>
      <c r="S42" s="236">
        <f t="shared" si="67"/>
        <v>5.7534004814564375</v>
      </c>
      <c r="T42" s="260">
        <f t="shared" si="67"/>
        <v>17.643986450104972</v>
      </c>
    </row>
    <row r="43" spans="1:57" s="277" customFormat="1" ht="14.4">
      <c r="A43" s="221"/>
      <c r="B43" s="252"/>
      <c r="C43" s="253"/>
      <c r="D43" s="221"/>
      <c r="E43" s="221"/>
      <c r="F43" s="221"/>
      <c r="G43" s="221"/>
      <c r="H43" s="221"/>
      <c r="I43" s="221"/>
      <c r="J43" s="221"/>
      <c r="K43" s="221"/>
      <c r="L43" s="221"/>
      <c r="M43" s="221"/>
      <c r="N43" s="221"/>
    </row>
    <row r="44" spans="1:57" s="277" customFormat="1" ht="64.95" customHeight="1">
      <c r="A44" s="221"/>
      <c r="B44" s="384" t="s">
        <v>1648</v>
      </c>
      <c r="C44" s="385"/>
      <c r="D44" s="385"/>
      <c r="E44" s="385"/>
      <c r="F44" s="385"/>
      <c r="G44" s="385"/>
      <c r="H44" s="385"/>
      <c r="I44" s="386"/>
      <c r="J44" s="221"/>
      <c r="K44" s="221"/>
      <c r="L44" s="221"/>
      <c r="M44" s="221"/>
      <c r="N44" s="221"/>
    </row>
    <row r="45" spans="1:57" s="221" customFormat="1" ht="14.4">
      <c r="B45" s="221" t="s">
        <v>1649</v>
      </c>
      <c r="D45" s="254" t="s">
        <v>1650</v>
      </c>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row>
    <row r="46" spans="1:57" s="221" customFormat="1" ht="14.4">
      <c r="B46" s="221" t="s">
        <v>1651</v>
      </c>
      <c r="D46" s="255" t="s">
        <v>1652</v>
      </c>
      <c r="L46" s="256"/>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row>
    <row r="47" spans="1:57" s="221" customFormat="1" ht="14.4">
      <c r="B47" s="221" t="s">
        <v>1653</v>
      </c>
      <c r="D47" s="254" t="s">
        <v>1654</v>
      </c>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row>
    <row r="48" spans="1:57" s="221" customFormat="1" ht="14.4">
      <c r="B48" s="221" t="s">
        <v>1655</v>
      </c>
      <c r="D48" s="249" t="s">
        <v>1656</v>
      </c>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row>
    <row r="49" spans="15:57" s="221" customFormat="1" ht="14.4">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row>
  </sheetData>
  <mergeCells count="16">
    <mergeCell ref="BE2:BH2"/>
    <mergeCell ref="B28:B29"/>
    <mergeCell ref="C28:E28"/>
    <mergeCell ref="AV2:AY2"/>
    <mergeCell ref="AZ2:BC2"/>
    <mergeCell ref="B44:I44"/>
    <mergeCell ref="AF2:AI2"/>
    <mergeCell ref="AJ2:AM2"/>
    <mergeCell ref="AN2:AQ2"/>
    <mergeCell ref="AR2:AU2"/>
    <mergeCell ref="H2:K2"/>
    <mergeCell ref="L2:O2"/>
    <mergeCell ref="P2:S2"/>
    <mergeCell ref="T2:W2"/>
    <mergeCell ref="X2:AA2"/>
    <mergeCell ref="AB2:AE2"/>
  </mergeCells>
  <pageMargins left="0.7" right="0.7" top="0.75" bottom="0.75" header="0.3" footer="0.3"/>
  <pageSetup scale="75" orientation="landscape" cellComments="asDisplayed" r:id="rId1"/>
  <headerFooter>
    <oddFooter xml:space="preserve">&amp;L&amp;"Tahoma,Regular"Hexion, Inc.
Diboll Plant&amp;C&amp;"Tahoma,Regular"Page &amp;P of &amp;N&amp;R&amp;"Tahoma,Regular"Trinity Consultants
204401.0138 </oddFooter>
    <evenFooter>&amp;L&amp;"+,Regular"Momentive Specialty Chemicals Inc.
Diboll Plant&amp;C&amp;"+,Regular"Page &amp;P of &amp;N&amp;R&amp;"+,Regular"Trinity Consultants
134401.0070</evenFooter>
    <firstFooter>&amp;L&amp;"+,Regular"Momentive Specialty Chemicals Inc.
Diboll Plant&amp;C&amp;"+,Regular"Page &amp;P of &amp;N&amp;R&amp;"+,Regular"Trinity Consultants
134401.0070</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00AD-A763-8B42-9714-DC17C1615154}">
  <sheetPr>
    <tabColor theme="0" tint="-0.249977111117893"/>
  </sheetPr>
  <dimension ref="A1:BH48"/>
  <sheetViews>
    <sheetView zoomScale="130" zoomScaleNormal="130" workbookViewId="0">
      <selection activeCell="E20" sqref="E20"/>
    </sheetView>
  </sheetViews>
  <sheetFormatPr defaultColWidth="7.69921875" defaultRowHeight="14.4"/>
  <cols>
    <col min="1" max="1" width="12.796875" style="349" customWidth="1"/>
    <col min="2" max="2" width="42" style="349" customWidth="1"/>
    <col min="3" max="7" width="11.19921875" style="349" customWidth="1"/>
    <col min="8" max="14" width="10.296875" style="221" customWidth="1"/>
    <col min="15" max="55" width="10.296875" style="349" customWidth="1"/>
    <col min="56" max="56" width="9.69921875" style="341" customWidth="1"/>
    <col min="57" max="60" width="11.296875" style="341" customWidth="1"/>
    <col min="61" max="248" width="7.69921875" style="341"/>
    <col min="249" max="249" width="7.69921875" style="341" customWidth="1"/>
    <col min="250" max="250" width="32.5" style="341" customWidth="1"/>
    <col min="251" max="251" width="15.5" style="341" customWidth="1"/>
    <col min="252" max="252" width="13.5" style="341" customWidth="1"/>
    <col min="253" max="253" width="14.796875" style="341" customWidth="1"/>
    <col min="254" max="255" width="14" style="341" customWidth="1"/>
    <col min="256" max="256" width="12" style="341" customWidth="1"/>
    <col min="257" max="257" width="5.796875" style="341" customWidth="1"/>
    <col min="258" max="259" width="7.69921875" style="341" customWidth="1"/>
    <col min="260" max="260" width="13.5" style="341" customWidth="1"/>
    <col min="261" max="261" width="7.69921875" style="341" customWidth="1"/>
    <col min="262" max="262" width="10.19921875" style="341" customWidth="1"/>
    <col min="263" max="263" width="18.796875" style="341" customWidth="1"/>
    <col min="264" max="504" width="7.69921875" style="341"/>
    <col min="505" max="505" width="7.69921875" style="341" customWidth="1"/>
    <col min="506" max="506" width="32.5" style="341" customWidth="1"/>
    <col min="507" max="507" width="15.5" style="341" customWidth="1"/>
    <col min="508" max="508" width="13.5" style="341" customWidth="1"/>
    <col min="509" max="509" width="14.796875" style="341" customWidth="1"/>
    <col min="510" max="511" width="14" style="341" customWidth="1"/>
    <col min="512" max="512" width="12" style="341" customWidth="1"/>
    <col min="513" max="513" width="5.796875" style="341" customWidth="1"/>
    <col min="514" max="515" width="7.69921875" style="341" customWidth="1"/>
    <col min="516" max="516" width="13.5" style="341" customWidth="1"/>
    <col min="517" max="517" width="7.69921875" style="341" customWidth="1"/>
    <col min="518" max="518" width="10.19921875" style="341" customWidth="1"/>
    <col min="519" max="519" width="18.796875" style="341" customWidth="1"/>
    <col min="520" max="760" width="7.69921875" style="341"/>
    <col min="761" max="761" width="7.69921875" style="341" customWidth="1"/>
    <col min="762" max="762" width="32.5" style="341" customWidth="1"/>
    <col min="763" max="763" width="15.5" style="341" customWidth="1"/>
    <col min="764" max="764" width="13.5" style="341" customWidth="1"/>
    <col min="765" max="765" width="14.796875" style="341" customWidth="1"/>
    <col min="766" max="767" width="14" style="341" customWidth="1"/>
    <col min="768" max="768" width="12" style="341" customWidth="1"/>
    <col min="769" max="769" width="5.796875" style="341" customWidth="1"/>
    <col min="770" max="771" width="7.69921875" style="341" customWidth="1"/>
    <col min="772" max="772" width="13.5" style="341" customWidth="1"/>
    <col min="773" max="773" width="7.69921875" style="341" customWidth="1"/>
    <col min="774" max="774" width="10.19921875" style="341" customWidth="1"/>
    <col min="775" max="775" width="18.796875" style="341" customWidth="1"/>
    <col min="776" max="1016" width="7.69921875" style="341"/>
    <col min="1017" max="1017" width="7.69921875" style="341" customWidth="1"/>
    <col min="1018" max="1018" width="32.5" style="341" customWidth="1"/>
    <col min="1019" max="1019" width="15.5" style="341" customWidth="1"/>
    <col min="1020" max="1020" width="13.5" style="341" customWidth="1"/>
    <col min="1021" max="1021" width="14.796875" style="341" customWidth="1"/>
    <col min="1022" max="1023" width="14" style="341" customWidth="1"/>
    <col min="1024" max="1024" width="12" style="341" customWidth="1"/>
    <col min="1025" max="1025" width="5.796875" style="341" customWidth="1"/>
    <col min="1026" max="1027" width="7.69921875" style="341" customWidth="1"/>
    <col min="1028" max="1028" width="13.5" style="341" customWidth="1"/>
    <col min="1029" max="1029" width="7.69921875" style="341" customWidth="1"/>
    <col min="1030" max="1030" width="10.19921875" style="341" customWidth="1"/>
    <col min="1031" max="1031" width="18.796875" style="341" customWidth="1"/>
    <col min="1032" max="1272" width="7.69921875" style="341"/>
    <col min="1273" max="1273" width="7.69921875" style="341" customWidth="1"/>
    <col min="1274" max="1274" width="32.5" style="341" customWidth="1"/>
    <col min="1275" max="1275" width="15.5" style="341" customWidth="1"/>
    <col min="1276" max="1276" width="13.5" style="341" customWidth="1"/>
    <col min="1277" max="1277" width="14.796875" style="341" customWidth="1"/>
    <col min="1278" max="1279" width="14" style="341" customWidth="1"/>
    <col min="1280" max="1280" width="12" style="341" customWidth="1"/>
    <col min="1281" max="1281" width="5.796875" style="341" customWidth="1"/>
    <col min="1282" max="1283" width="7.69921875" style="341" customWidth="1"/>
    <col min="1284" max="1284" width="13.5" style="341" customWidth="1"/>
    <col min="1285" max="1285" width="7.69921875" style="341" customWidth="1"/>
    <col min="1286" max="1286" width="10.19921875" style="341" customWidth="1"/>
    <col min="1287" max="1287" width="18.796875" style="341" customWidth="1"/>
    <col min="1288" max="1528" width="7.69921875" style="341"/>
    <col min="1529" max="1529" width="7.69921875" style="341" customWidth="1"/>
    <col min="1530" max="1530" width="32.5" style="341" customWidth="1"/>
    <col min="1531" max="1531" width="15.5" style="341" customWidth="1"/>
    <col min="1532" max="1532" width="13.5" style="341" customWidth="1"/>
    <col min="1533" max="1533" width="14.796875" style="341" customWidth="1"/>
    <col min="1534" max="1535" width="14" style="341" customWidth="1"/>
    <col min="1536" max="1536" width="12" style="341" customWidth="1"/>
    <col min="1537" max="1537" width="5.796875" style="341" customWidth="1"/>
    <col min="1538" max="1539" width="7.69921875" style="341" customWidth="1"/>
    <col min="1540" max="1540" width="13.5" style="341" customWidth="1"/>
    <col min="1541" max="1541" width="7.69921875" style="341" customWidth="1"/>
    <col min="1542" max="1542" width="10.19921875" style="341" customWidth="1"/>
    <col min="1543" max="1543" width="18.796875" style="341" customWidth="1"/>
    <col min="1544" max="1784" width="7.69921875" style="341"/>
    <col min="1785" max="1785" width="7.69921875" style="341" customWidth="1"/>
    <col min="1786" max="1786" width="32.5" style="341" customWidth="1"/>
    <col min="1787" max="1787" width="15.5" style="341" customWidth="1"/>
    <col min="1788" max="1788" width="13.5" style="341" customWidth="1"/>
    <col min="1789" max="1789" width="14.796875" style="341" customWidth="1"/>
    <col min="1790" max="1791" width="14" style="341" customWidth="1"/>
    <col min="1792" max="1792" width="12" style="341" customWidth="1"/>
    <col min="1793" max="1793" width="5.796875" style="341" customWidth="1"/>
    <col min="1794" max="1795" width="7.69921875" style="341" customWidth="1"/>
    <col min="1796" max="1796" width="13.5" style="341" customWidth="1"/>
    <col min="1797" max="1797" width="7.69921875" style="341" customWidth="1"/>
    <col min="1798" max="1798" width="10.19921875" style="341" customWidth="1"/>
    <col min="1799" max="1799" width="18.796875" style="341" customWidth="1"/>
    <col min="1800" max="2040" width="7.69921875" style="341"/>
    <col min="2041" max="2041" width="7.69921875" style="341" customWidth="1"/>
    <col min="2042" max="2042" width="32.5" style="341" customWidth="1"/>
    <col min="2043" max="2043" width="15.5" style="341" customWidth="1"/>
    <col min="2044" max="2044" width="13.5" style="341" customWidth="1"/>
    <col min="2045" max="2045" width="14.796875" style="341" customWidth="1"/>
    <col min="2046" max="2047" width="14" style="341" customWidth="1"/>
    <col min="2048" max="2048" width="12" style="341" customWidth="1"/>
    <col min="2049" max="2049" width="5.796875" style="341" customWidth="1"/>
    <col min="2050" max="2051" width="7.69921875" style="341" customWidth="1"/>
    <col min="2052" max="2052" width="13.5" style="341" customWidth="1"/>
    <col min="2053" max="2053" width="7.69921875" style="341" customWidth="1"/>
    <col min="2054" max="2054" width="10.19921875" style="341" customWidth="1"/>
    <col min="2055" max="2055" width="18.796875" style="341" customWidth="1"/>
    <col min="2056" max="2296" width="7.69921875" style="341"/>
    <col min="2297" max="2297" width="7.69921875" style="341" customWidth="1"/>
    <col min="2298" max="2298" width="32.5" style="341" customWidth="1"/>
    <col min="2299" max="2299" width="15.5" style="341" customWidth="1"/>
    <col min="2300" max="2300" width="13.5" style="341" customWidth="1"/>
    <col min="2301" max="2301" width="14.796875" style="341" customWidth="1"/>
    <col min="2302" max="2303" width="14" style="341" customWidth="1"/>
    <col min="2304" max="2304" width="12" style="341" customWidth="1"/>
    <col min="2305" max="2305" width="5.796875" style="341" customWidth="1"/>
    <col min="2306" max="2307" width="7.69921875" style="341" customWidth="1"/>
    <col min="2308" max="2308" width="13.5" style="341" customWidth="1"/>
    <col min="2309" max="2309" width="7.69921875" style="341" customWidth="1"/>
    <col min="2310" max="2310" width="10.19921875" style="341" customWidth="1"/>
    <col min="2311" max="2311" width="18.796875" style="341" customWidth="1"/>
    <col min="2312" max="2552" width="7.69921875" style="341"/>
    <col min="2553" max="2553" width="7.69921875" style="341" customWidth="1"/>
    <col min="2554" max="2554" width="32.5" style="341" customWidth="1"/>
    <col min="2555" max="2555" width="15.5" style="341" customWidth="1"/>
    <col min="2556" max="2556" width="13.5" style="341" customWidth="1"/>
    <col min="2557" max="2557" width="14.796875" style="341" customWidth="1"/>
    <col min="2558" max="2559" width="14" style="341" customWidth="1"/>
    <col min="2560" max="2560" width="12" style="341" customWidth="1"/>
    <col min="2561" max="2561" width="5.796875" style="341" customWidth="1"/>
    <col min="2562" max="2563" width="7.69921875" style="341" customWidth="1"/>
    <col min="2564" max="2564" width="13.5" style="341" customWidth="1"/>
    <col min="2565" max="2565" width="7.69921875" style="341" customWidth="1"/>
    <col min="2566" max="2566" width="10.19921875" style="341" customWidth="1"/>
    <col min="2567" max="2567" width="18.796875" style="341" customWidth="1"/>
    <col min="2568" max="2808" width="7.69921875" style="341"/>
    <col min="2809" max="2809" width="7.69921875" style="341" customWidth="1"/>
    <col min="2810" max="2810" width="32.5" style="341" customWidth="1"/>
    <col min="2811" max="2811" width="15.5" style="341" customWidth="1"/>
    <col min="2812" max="2812" width="13.5" style="341" customWidth="1"/>
    <col min="2813" max="2813" width="14.796875" style="341" customWidth="1"/>
    <col min="2814" max="2815" width="14" style="341" customWidth="1"/>
    <col min="2816" max="2816" width="12" style="341" customWidth="1"/>
    <col min="2817" max="2817" width="5.796875" style="341" customWidth="1"/>
    <col min="2818" max="2819" width="7.69921875" style="341" customWidth="1"/>
    <col min="2820" max="2820" width="13.5" style="341" customWidth="1"/>
    <col min="2821" max="2821" width="7.69921875" style="341" customWidth="1"/>
    <col min="2822" max="2822" width="10.19921875" style="341" customWidth="1"/>
    <col min="2823" max="2823" width="18.796875" style="341" customWidth="1"/>
    <col min="2824" max="3064" width="7.69921875" style="341"/>
    <col min="3065" max="3065" width="7.69921875" style="341" customWidth="1"/>
    <col min="3066" max="3066" width="32.5" style="341" customWidth="1"/>
    <col min="3067" max="3067" width="15.5" style="341" customWidth="1"/>
    <col min="3068" max="3068" width="13.5" style="341" customWidth="1"/>
    <col min="3069" max="3069" width="14.796875" style="341" customWidth="1"/>
    <col min="3070" max="3071" width="14" style="341" customWidth="1"/>
    <col min="3072" max="3072" width="12" style="341" customWidth="1"/>
    <col min="3073" max="3073" width="5.796875" style="341" customWidth="1"/>
    <col min="3074" max="3075" width="7.69921875" style="341" customWidth="1"/>
    <col min="3076" max="3076" width="13.5" style="341" customWidth="1"/>
    <col min="3077" max="3077" width="7.69921875" style="341" customWidth="1"/>
    <col min="3078" max="3078" width="10.19921875" style="341" customWidth="1"/>
    <col min="3079" max="3079" width="18.796875" style="341" customWidth="1"/>
    <col min="3080" max="3320" width="7.69921875" style="341"/>
    <col min="3321" max="3321" width="7.69921875" style="341" customWidth="1"/>
    <col min="3322" max="3322" width="32.5" style="341" customWidth="1"/>
    <col min="3323" max="3323" width="15.5" style="341" customWidth="1"/>
    <col min="3324" max="3324" width="13.5" style="341" customWidth="1"/>
    <col min="3325" max="3325" width="14.796875" style="341" customWidth="1"/>
    <col min="3326" max="3327" width="14" style="341" customWidth="1"/>
    <col min="3328" max="3328" width="12" style="341" customWidth="1"/>
    <col min="3329" max="3329" width="5.796875" style="341" customWidth="1"/>
    <col min="3330" max="3331" width="7.69921875" style="341" customWidth="1"/>
    <col min="3332" max="3332" width="13.5" style="341" customWidth="1"/>
    <col min="3333" max="3333" width="7.69921875" style="341" customWidth="1"/>
    <col min="3334" max="3334" width="10.19921875" style="341" customWidth="1"/>
    <col min="3335" max="3335" width="18.796875" style="341" customWidth="1"/>
    <col min="3336" max="3576" width="7.69921875" style="341"/>
    <col min="3577" max="3577" width="7.69921875" style="341" customWidth="1"/>
    <col min="3578" max="3578" width="32.5" style="341" customWidth="1"/>
    <col min="3579" max="3579" width="15.5" style="341" customWidth="1"/>
    <col min="3580" max="3580" width="13.5" style="341" customWidth="1"/>
    <col min="3581" max="3581" width="14.796875" style="341" customWidth="1"/>
    <col min="3582" max="3583" width="14" style="341" customWidth="1"/>
    <col min="3584" max="3584" width="12" style="341" customWidth="1"/>
    <col min="3585" max="3585" width="5.796875" style="341" customWidth="1"/>
    <col min="3586" max="3587" width="7.69921875" style="341" customWidth="1"/>
    <col min="3588" max="3588" width="13.5" style="341" customWidth="1"/>
    <col min="3589" max="3589" width="7.69921875" style="341" customWidth="1"/>
    <col min="3590" max="3590" width="10.19921875" style="341" customWidth="1"/>
    <col min="3591" max="3591" width="18.796875" style="341" customWidth="1"/>
    <col min="3592" max="3832" width="7.69921875" style="341"/>
    <col min="3833" max="3833" width="7.69921875" style="341" customWidth="1"/>
    <col min="3834" max="3834" width="32.5" style="341" customWidth="1"/>
    <col min="3835" max="3835" width="15.5" style="341" customWidth="1"/>
    <col min="3836" max="3836" width="13.5" style="341" customWidth="1"/>
    <col min="3837" max="3837" width="14.796875" style="341" customWidth="1"/>
    <col min="3838" max="3839" width="14" style="341" customWidth="1"/>
    <col min="3840" max="3840" width="12" style="341" customWidth="1"/>
    <col min="3841" max="3841" width="5.796875" style="341" customWidth="1"/>
    <col min="3842" max="3843" width="7.69921875" style="341" customWidth="1"/>
    <col min="3844" max="3844" width="13.5" style="341" customWidth="1"/>
    <col min="3845" max="3845" width="7.69921875" style="341" customWidth="1"/>
    <col min="3846" max="3846" width="10.19921875" style="341" customWidth="1"/>
    <col min="3847" max="3847" width="18.796875" style="341" customWidth="1"/>
    <col min="3848" max="4088" width="7.69921875" style="341"/>
    <col min="4089" max="4089" width="7.69921875" style="341" customWidth="1"/>
    <col min="4090" max="4090" width="32.5" style="341" customWidth="1"/>
    <col min="4091" max="4091" width="15.5" style="341" customWidth="1"/>
    <col min="4092" max="4092" width="13.5" style="341" customWidth="1"/>
    <col min="4093" max="4093" width="14.796875" style="341" customWidth="1"/>
    <col min="4094" max="4095" width="14" style="341" customWidth="1"/>
    <col min="4096" max="4096" width="12" style="341" customWidth="1"/>
    <col min="4097" max="4097" width="5.796875" style="341" customWidth="1"/>
    <col min="4098" max="4099" width="7.69921875" style="341" customWidth="1"/>
    <col min="4100" max="4100" width="13.5" style="341" customWidth="1"/>
    <col min="4101" max="4101" width="7.69921875" style="341" customWidth="1"/>
    <col min="4102" max="4102" width="10.19921875" style="341" customWidth="1"/>
    <col min="4103" max="4103" width="18.796875" style="341" customWidth="1"/>
    <col min="4104" max="4344" width="7.69921875" style="341"/>
    <col min="4345" max="4345" width="7.69921875" style="341" customWidth="1"/>
    <col min="4346" max="4346" width="32.5" style="341" customWidth="1"/>
    <col min="4347" max="4347" width="15.5" style="341" customWidth="1"/>
    <col min="4348" max="4348" width="13.5" style="341" customWidth="1"/>
    <col min="4349" max="4349" width="14.796875" style="341" customWidth="1"/>
    <col min="4350" max="4351" width="14" style="341" customWidth="1"/>
    <col min="4352" max="4352" width="12" style="341" customWidth="1"/>
    <col min="4353" max="4353" width="5.796875" style="341" customWidth="1"/>
    <col min="4354" max="4355" width="7.69921875" style="341" customWidth="1"/>
    <col min="4356" max="4356" width="13.5" style="341" customWidth="1"/>
    <col min="4357" max="4357" width="7.69921875" style="341" customWidth="1"/>
    <col min="4358" max="4358" width="10.19921875" style="341" customWidth="1"/>
    <col min="4359" max="4359" width="18.796875" style="341" customWidth="1"/>
    <col min="4360" max="4600" width="7.69921875" style="341"/>
    <col min="4601" max="4601" width="7.69921875" style="341" customWidth="1"/>
    <col min="4602" max="4602" width="32.5" style="341" customWidth="1"/>
    <col min="4603" max="4603" width="15.5" style="341" customWidth="1"/>
    <col min="4604" max="4604" width="13.5" style="341" customWidth="1"/>
    <col min="4605" max="4605" width="14.796875" style="341" customWidth="1"/>
    <col min="4606" max="4607" width="14" style="341" customWidth="1"/>
    <col min="4608" max="4608" width="12" style="341" customWidth="1"/>
    <col min="4609" max="4609" width="5.796875" style="341" customWidth="1"/>
    <col min="4610" max="4611" width="7.69921875" style="341" customWidth="1"/>
    <col min="4612" max="4612" width="13.5" style="341" customWidth="1"/>
    <col min="4613" max="4613" width="7.69921875" style="341" customWidth="1"/>
    <col min="4614" max="4614" width="10.19921875" style="341" customWidth="1"/>
    <col min="4615" max="4615" width="18.796875" style="341" customWidth="1"/>
    <col min="4616" max="4856" width="7.69921875" style="341"/>
    <col min="4857" max="4857" width="7.69921875" style="341" customWidth="1"/>
    <col min="4858" max="4858" width="32.5" style="341" customWidth="1"/>
    <col min="4859" max="4859" width="15.5" style="341" customWidth="1"/>
    <col min="4860" max="4860" width="13.5" style="341" customWidth="1"/>
    <col min="4861" max="4861" width="14.796875" style="341" customWidth="1"/>
    <col min="4862" max="4863" width="14" style="341" customWidth="1"/>
    <col min="4864" max="4864" width="12" style="341" customWidth="1"/>
    <col min="4865" max="4865" width="5.796875" style="341" customWidth="1"/>
    <col min="4866" max="4867" width="7.69921875" style="341" customWidth="1"/>
    <col min="4868" max="4868" width="13.5" style="341" customWidth="1"/>
    <col min="4869" max="4869" width="7.69921875" style="341" customWidth="1"/>
    <col min="4870" max="4870" width="10.19921875" style="341" customWidth="1"/>
    <col min="4871" max="4871" width="18.796875" style="341" customWidth="1"/>
    <col min="4872" max="5112" width="7.69921875" style="341"/>
    <col min="5113" max="5113" width="7.69921875" style="341" customWidth="1"/>
    <col min="5114" max="5114" width="32.5" style="341" customWidth="1"/>
    <col min="5115" max="5115" width="15.5" style="341" customWidth="1"/>
    <col min="5116" max="5116" width="13.5" style="341" customWidth="1"/>
    <col min="5117" max="5117" width="14.796875" style="341" customWidth="1"/>
    <col min="5118" max="5119" width="14" style="341" customWidth="1"/>
    <col min="5120" max="5120" width="12" style="341" customWidth="1"/>
    <col min="5121" max="5121" width="5.796875" style="341" customWidth="1"/>
    <col min="5122" max="5123" width="7.69921875" style="341" customWidth="1"/>
    <col min="5124" max="5124" width="13.5" style="341" customWidth="1"/>
    <col min="5125" max="5125" width="7.69921875" style="341" customWidth="1"/>
    <col min="5126" max="5126" width="10.19921875" style="341" customWidth="1"/>
    <col min="5127" max="5127" width="18.796875" style="341" customWidth="1"/>
    <col min="5128" max="5368" width="7.69921875" style="341"/>
    <col min="5369" max="5369" width="7.69921875" style="341" customWidth="1"/>
    <col min="5370" max="5370" width="32.5" style="341" customWidth="1"/>
    <col min="5371" max="5371" width="15.5" style="341" customWidth="1"/>
    <col min="5372" max="5372" width="13.5" style="341" customWidth="1"/>
    <col min="5373" max="5373" width="14.796875" style="341" customWidth="1"/>
    <col min="5374" max="5375" width="14" style="341" customWidth="1"/>
    <col min="5376" max="5376" width="12" style="341" customWidth="1"/>
    <col min="5377" max="5377" width="5.796875" style="341" customWidth="1"/>
    <col min="5378" max="5379" width="7.69921875" style="341" customWidth="1"/>
    <col min="5380" max="5380" width="13.5" style="341" customWidth="1"/>
    <col min="5381" max="5381" width="7.69921875" style="341" customWidth="1"/>
    <col min="5382" max="5382" width="10.19921875" style="341" customWidth="1"/>
    <col min="5383" max="5383" width="18.796875" style="341" customWidth="1"/>
    <col min="5384" max="5624" width="7.69921875" style="341"/>
    <col min="5625" max="5625" width="7.69921875" style="341" customWidth="1"/>
    <col min="5626" max="5626" width="32.5" style="341" customWidth="1"/>
    <col min="5627" max="5627" width="15.5" style="341" customWidth="1"/>
    <col min="5628" max="5628" width="13.5" style="341" customWidth="1"/>
    <col min="5629" max="5629" width="14.796875" style="341" customWidth="1"/>
    <col min="5630" max="5631" width="14" style="341" customWidth="1"/>
    <col min="5632" max="5632" width="12" style="341" customWidth="1"/>
    <col min="5633" max="5633" width="5.796875" style="341" customWidth="1"/>
    <col min="5634" max="5635" width="7.69921875" style="341" customWidth="1"/>
    <col min="5636" max="5636" width="13.5" style="341" customWidth="1"/>
    <col min="5637" max="5637" width="7.69921875" style="341" customWidth="1"/>
    <col min="5638" max="5638" width="10.19921875" style="341" customWidth="1"/>
    <col min="5639" max="5639" width="18.796875" style="341" customWidth="1"/>
    <col min="5640" max="5880" width="7.69921875" style="341"/>
    <col min="5881" max="5881" width="7.69921875" style="341" customWidth="1"/>
    <col min="5882" max="5882" width="32.5" style="341" customWidth="1"/>
    <col min="5883" max="5883" width="15.5" style="341" customWidth="1"/>
    <col min="5884" max="5884" width="13.5" style="341" customWidth="1"/>
    <col min="5885" max="5885" width="14.796875" style="341" customWidth="1"/>
    <col min="5886" max="5887" width="14" style="341" customWidth="1"/>
    <col min="5888" max="5888" width="12" style="341" customWidth="1"/>
    <col min="5889" max="5889" width="5.796875" style="341" customWidth="1"/>
    <col min="5890" max="5891" width="7.69921875" style="341" customWidth="1"/>
    <col min="5892" max="5892" width="13.5" style="341" customWidth="1"/>
    <col min="5893" max="5893" width="7.69921875" style="341" customWidth="1"/>
    <col min="5894" max="5894" width="10.19921875" style="341" customWidth="1"/>
    <col min="5895" max="5895" width="18.796875" style="341" customWidth="1"/>
    <col min="5896" max="6136" width="7.69921875" style="341"/>
    <col min="6137" max="6137" width="7.69921875" style="341" customWidth="1"/>
    <col min="6138" max="6138" width="32.5" style="341" customWidth="1"/>
    <col min="6139" max="6139" width="15.5" style="341" customWidth="1"/>
    <col min="6140" max="6140" width="13.5" style="341" customWidth="1"/>
    <col min="6141" max="6141" width="14.796875" style="341" customWidth="1"/>
    <col min="6142" max="6143" width="14" style="341" customWidth="1"/>
    <col min="6144" max="6144" width="12" style="341" customWidth="1"/>
    <col min="6145" max="6145" width="5.796875" style="341" customWidth="1"/>
    <col min="6146" max="6147" width="7.69921875" style="341" customWidth="1"/>
    <col min="6148" max="6148" width="13.5" style="341" customWidth="1"/>
    <col min="6149" max="6149" width="7.69921875" style="341" customWidth="1"/>
    <col min="6150" max="6150" width="10.19921875" style="341" customWidth="1"/>
    <col min="6151" max="6151" width="18.796875" style="341" customWidth="1"/>
    <col min="6152" max="6392" width="7.69921875" style="341"/>
    <col min="6393" max="6393" width="7.69921875" style="341" customWidth="1"/>
    <col min="6394" max="6394" width="32.5" style="341" customWidth="1"/>
    <col min="6395" max="6395" width="15.5" style="341" customWidth="1"/>
    <col min="6396" max="6396" width="13.5" style="341" customWidth="1"/>
    <col min="6397" max="6397" width="14.796875" style="341" customWidth="1"/>
    <col min="6398" max="6399" width="14" style="341" customWidth="1"/>
    <col min="6400" max="6400" width="12" style="341" customWidth="1"/>
    <col min="6401" max="6401" width="5.796875" style="341" customWidth="1"/>
    <col min="6402" max="6403" width="7.69921875" style="341" customWidth="1"/>
    <col min="6404" max="6404" width="13.5" style="341" customWidth="1"/>
    <col min="6405" max="6405" width="7.69921875" style="341" customWidth="1"/>
    <col min="6406" max="6406" width="10.19921875" style="341" customWidth="1"/>
    <col min="6407" max="6407" width="18.796875" style="341" customWidth="1"/>
    <col min="6408" max="6648" width="7.69921875" style="341"/>
    <col min="6649" max="6649" width="7.69921875" style="341" customWidth="1"/>
    <col min="6650" max="6650" width="32.5" style="341" customWidth="1"/>
    <col min="6651" max="6651" width="15.5" style="341" customWidth="1"/>
    <col min="6652" max="6652" width="13.5" style="341" customWidth="1"/>
    <col min="6653" max="6653" width="14.796875" style="341" customWidth="1"/>
    <col min="6654" max="6655" width="14" style="341" customWidth="1"/>
    <col min="6656" max="6656" width="12" style="341" customWidth="1"/>
    <col min="6657" max="6657" width="5.796875" style="341" customWidth="1"/>
    <col min="6658" max="6659" width="7.69921875" style="341" customWidth="1"/>
    <col min="6660" max="6660" width="13.5" style="341" customWidth="1"/>
    <col min="6661" max="6661" width="7.69921875" style="341" customWidth="1"/>
    <col min="6662" max="6662" width="10.19921875" style="341" customWidth="1"/>
    <col min="6663" max="6663" width="18.796875" style="341" customWidth="1"/>
    <col min="6664" max="6904" width="7.69921875" style="341"/>
    <col min="6905" max="6905" width="7.69921875" style="341" customWidth="1"/>
    <col min="6906" max="6906" width="32.5" style="341" customWidth="1"/>
    <col min="6907" max="6907" width="15.5" style="341" customWidth="1"/>
    <col min="6908" max="6908" width="13.5" style="341" customWidth="1"/>
    <col min="6909" max="6909" width="14.796875" style="341" customWidth="1"/>
    <col min="6910" max="6911" width="14" style="341" customWidth="1"/>
    <col min="6912" max="6912" width="12" style="341" customWidth="1"/>
    <col min="6913" max="6913" width="5.796875" style="341" customWidth="1"/>
    <col min="6914" max="6915" width="7.69921875" style="341" customWidth="1"/>
    <col min="6916" max="6916" width="13.5" style="341" customWidth="1"/>
    <col min="6917" max="6917" width="7.69921875" style="341" customWidth="1"/>
    <col min="6918" max="6918" width="10.19921875" style="341" customWidth="1"/>
    <col min="6919" max="6919" width="18.796875" style="341" customWidth="1"/>
    <col min="6920" max="7160" width="7.69921875" style="341"/>
    <col min="7161" max="7161" width="7.69921875" style="341" customWidth="1"/>
    <col min="7162" max="7162" width="32.5" style="341" customWidth="1"/>
    <col min="7163" max="7163" width="15.5" style="341" customWidth="1"/>
    <col min="7164" max="7164" width="13.5" style="341" customWidth="1"/>
    <col min="7165" max="7165" width="14.796875" style="341" customWidth="1"/>
    <col min="7166" max="7167" width="14" style="341" customWidth="1"/>
    <col min="7168" max="7168" width="12" style="341" customWidth="1"/>
    <col min="7169" max="7169" width="5.796875" style="341" customWidth="1"/>
    <col min="7170" max="7171" width="7.69921875" style="341" customWidth="1"/>
    <col min="7172" max="7172" width="13.5" style="341" customWidth="1"/>
    <col min="7173" max="7173" width="7.69921875" style="341" customWidth="1"/>
    <col min="7174" max="7174" width="10.19921875" style="341" customWidth="1"/>
    <col min="7175" max="7175" width="18.796875" style="341" customWidth="1"/>
    <col min="7176" max="7416" width="7.69921875" style="341"/>
    <col min="7417" max="7417" width="7.69921875" style="341" customWidth="1"/>
    <col min="7418" max="7418" width="32.5" style="341" customWidth="1"/>
    <col min="7419" max="7419" width="15.5" style="341" customWidth="1"/>
    <col min="7420" max="7420" width="13.5" style="341" customWidth="1"/>
    <col min="7421" max="7421" width="14.796875" style="341" customWidth="1"/>
    <col min="7422" max="7423" width="14" style="341" customWidth="1"/>
    <col min="7424" max="7424" width="12" style="341" customWidth="1"/>
    <col min="7425" max="7425" width="5.796875" style="341" customWidth="1"/>
    <col min="7426" max="7427" width="7.69921875" style="341" customWidth="1"/>
    <col min="7428" max="7428" width="13.5" style="341" customWidth="1"/>
    <col min="7429" max="7429" width="7.69921875" style="341" customWidth="1"/>
    <col min="7430" max="7430" width="10.19921875" style="341" customWidth="1"/>
    <col min="7431" max="7431" width="18.796875" style="341" customWidth="1"/>
    <col min="7432" max="7672" width="7.69921875" style="341"/>
    <col min="7673" max="7673" width="7.69921875" style="341" customWidth="1"/>
    <col min="7674" max="7674" width="32.5" style="341" customWidth="1"/>
    <col min="7675" max="7675" width="15.5" style="341" customWidth="1"/>
    <col min="7676" max="7676" width="13.5" style="341" customWidth="1"/>
    <col min="7677" max="7677" width="14.796875" style="341" customWidth="1"/>
    <col min="7678" max="7679" width="14" style="341" customWidth="1"/>
    <col min="7680" max="7680" width="12" style="341" customWidth="1"/>
    <col min="7681" max="7681" width="5.796875" style="341" customWidth="1"/>
    <col min="7682" max="7683" width="7.69921875" style="341" customWidth="1"/>
    <col min="7684" max="7684" width="13.5" style="341" customWidth="1"/>
    <col min="7685" max="7685" width="7.69921875" style="341" customWidth="1"/>
    <col min="7686" max="7686" width="10.19921875" style="341" customWidth="1"/>
    <col min="7687" max="7687" width="18.796875" style="341" customWidth="1"/>
    <col min="7688" max="7928" width="7.69921875" style="341"/>
    <col min="7929" max="7929" width="7.69921875" style="341" customWidth="1"/>
    <col min="7930" max="7930" width="32.5" style="341" customWidth="1"/>
    <col min="7931" max="7931" width="15.5" style="341" customWidth="1"/>
    <col min="7932" max="7932" width="13.5" style="341" customWidth="1"/>
    <col min="7933" max="7933" width="14.796875" style="341" customWidth="1"/>
    <col min="7934" max="7935" width="14" style="341" customWidth="1"/>
    <col min="7936" max="7936" width="12" style="341" customWidth="1"/>
    <col min="7937" max="7937" width="5.796875" style="341" customWidth="1"/>
    <col min="7938" max="7939" width="7.69921875" style="341" customWidth="1"/>
    <col min="7940" max="7940" width="13.5" style="341" customWidth="1"/>
    <col min="7941" max="7941" width="7.69921875" style="341" customWidth="1"/>
    <col min="7942" max="7942" width="10.19921875" style="341" customWidth="1"/>
    <col min="7943" max="7943" width="18.796875" style="341" customWidth="1"/>
    <col min="7944" max="8184" width="7.69921875" style="341"/>
    <col min="8185" max="8185" width="7.69921875" style="341" customWidth="1"/>
    <col min="8186" max="8186" width="32.5" style="341" customWidth="1"/>
    <col min="8187" max="8187" width="15.5" style="341" customWidth="1"/>
    <col min="8188" max="8188" width="13.5" style="341" customWidth="1"/>
    <col min="8189" max="8189" width="14.796875" style="341" customWidth="1"/>
    <col min="8190" max="8191" width="14" style="341" customWidth="1"/>
    <col min="8192" max="8192" width="12" style="341" customWidth="1"/>
    <col min="8193" max="8193" width="5.796875" style="341" customWidth="1"/>
    <col min="8194" max="8195" width="7.69921875" style="341" customWidth="1"/>
    <col min="8196" max="8196" width="13.5" style="341" customWidth="1"/>
    <col min="8197" max="8197" width="7.69921875" style="341" customWidth="1"/>
    <col min="8198" max="8198" width="10.19921875" style="341" customWidth="1"/>
    <col min="8199" max="8199" width="18.796875" style="341" customWidth="1"/>
    <col min="8200" max="8440" width="7.69921875" style="341"/>
    <col min="8441" max="8441" width="7.69921875" style="341" customWidth="1"/>
    <col min="8442" max="8442" width="32.5" style="341" customWidth="1"/>
    <col min="8443" max="8443" width="15.5" style="341" customWidth="1"/>
    <col min="8444" max="8444" width="13.5" style="341" customWidth="1"/>
    <col min="8445" max="8445" width="14.796875" style="341" customWidth="1"/>
    <col min="8446" max="8447" width="14" style="341" customWidth="1"/>
    <col min="8448" max="8448" width="12" style="341" customWidth="1"/>
    <col min="8449" max="8449" width="5.796875" style="341" customWidth="1"/>
    <col min="8450" max="8451" width="7.69921875" style="341" customWidth="1"/>
    <col min="8452" max="8452" width="13.5" style="341" customWidth="1"/>
    <col min="8453" max="8453" width="7.69921875" style="341" customWidth="1"/>
    <col min="8454" max="8454" width="10.19921875" style="341" customWidth="1"/>
    <col min="8455" max="8455" width="18.796875" style="341" customWidth="1"/>
    <col min="8456" max="8696" width="7.69921875" style="341"/>
    <col min="8697" max="8697" width="7.69921875" style="341" customWidth="1"/>
    <col min="8698" max="8698" width="32.5" style="341" customWidth="1"/>
    <col min="8699" max="8699" width="15.5" style="341" customWidth="1"/>
    <col min="8700" max="8700" width="13.5" style="341" customWidth="1"/>
    <col min="8701" max="8701" width="14.796875" style="341" customWidth="1"/>
    <col min="8702" max="8703" width="14" style="341" customWidth="1"/>
    <col min="8704" max="8704" width="12" style="341" customWidth="1"/>
    <col min="8705" max="8705" width="5.796875" style="341" customWidth="1"/>
    <col min="8706" max="8707" width="7.69921875" style="341" customWidth="1"/>
    <col min="8708" max="8708" width="13.5" style="341" customWidth="1"/>
    <col min="8709" max="8709" width="7.69921875" style="341" customWidth="1"/>
    <col min="8710" max="8710" width="10.19921875" style="341" customWidth="1"/>
    <col min="8711" max="8711" width="18.796875" style="341" customWidth="1"/>
    <col min="8712" max="8952" width="7.69921875" style="341"/>
    <col min="8953" max="8953" width="7.69921875" style="341" customWidth="1"/>
    <col min="8954" max="8954" width="32.5" style="341" customWidth="1"/>
    <col min="8955" max="8955" width="15.5" style="341" customWidth="1"/>
    <col min="8956" max="8956" width="13.5" style="341" customWidth="1"/>
    <col min="8957" max="8957" width="14.796875" style="341" customWidth="1"/>
    <col min="8958" max="8959" width="14" style="341" customWidth="1"/>
    <col min="8960" max="8960" width="12" style="341" customWidth="1"/>
    <col min="8961" max="8961" width="5.796875" style="341" customWidth="1"/>
    <col min="8962" max="8963" width="7.69921875" style="341" customWidth="1"/>
    <col min="8964" max="8964" width="13.5" style="341" customWidth="1"/>
    <col min="8965" max="8965" width="7.69921875" style="341" customWidth="1"/>
    <col min="8966" max="8966" width="10.19921875" style="341" customWidth="1"/>
    <col min="8967" max="8967" width="18.796875" style="341" customWidth="1"/>
    <col min="8968" max="9208" width="7.69921875" style="341"/>
    <col min="9209" max="9209" width="7.69921875" style="341" customWidth="1"/>
    <col min="9210" max="9210" width="32.5" style="341" customWidth="1"/>
    <col min="9211" max="9211" width="15.5" style="341" customWidth="1"/>
    <col min="9212" max="9212" width="13.5" style="341" customWidth="1"/>
    <col min="9213" max="9213" width="14.796875" style="341" customWidth="1"/>
    <col min="9214" max="9215" width="14" style="341" customWidth="1"/>
    <col min="9216" max="9216" width="12" style="341" customWidth="1"/>
    <col min="9217" max="9217" width="5.796875" style="341" customWidth="1"/>
    <col min="9218" max="9219" width="7.69921875" style="341" customWidth="1"/>
    <col min="9220" max="9220" width="13.5" style="341" customWidth="1"/>
    <col min="9221" max="9221" width="7.69921875" style="341" customWidth="1"/>
    <col min="9222" max="9222" width="10.19921875" style="341" customWidth="1"/>
    <col min="9223" max="9223" width="18.796875" style="341" customWidth="1"/>
    <col min="9224" max="9464" width="7.69921875" style="341"/>
    <col min="9465" max="9465" width="7.69921875" style="341" customWidth="1"/>
    <col min="9466" max="9466" width="32.5" style="341" customWidth="1"/>
    <col min="9467" max="9467" width="15.5" style="341" customWidth="1"/>
    <col min="9468" max="9468" width="13.5" style="341" customWidth="1"/>
    <col min="9469" max="9469" width="14.796875" style="341" customWidth="1"/>
    <col min="9470" max="9471" width="14" style="341" customWidth="1"/>
    <col min="9472" max="9472" width="12" style="341" customWidth="1"/>
    <col min="9473" max="9473" width="5.796875" style="341" customWidth="1"/>
    <col min="9474" max="9475" width="7.69921875" style="341" customWidth="1"/>
    <col min="9476" max="9476" width="13.5" style="341" customWidth="1"/>
    <col min="9477" max="9477" width="7.69921875" style="341" customWidth="1"/>
    <col min="9478" max="9478" width="10.19921875" style="341" customWidth="1"/>
    <col min="9479" max="9479" width="18.796875" style="341" customWidth="1"/>
    <col min="9480" max="9720" width="7.69921875" style="341"/>
    <col min="9721" max="9721" width="7.69921875" style="341" customWidth="1"/>
    <col min="9722" max="9722" width="32.5" style="341" customWidth="1"/>
    <col min="9723" max="9723" width="15.5" style="341" customWidth="1"/>
    <col min="9724" max="9724" width="13.5" style="341" customWidth="1"/>
    <col min="9725" max="9725" width="14.796875" style="341" customWidth="1"/>
    <col min="9726" max="9727" width="14" style="341" customWidth="1"/>
    <col min="9728" max="9728" width="12" style="341" customWidth="1"/>
    <col min="9729" max="9729" width="5.796875" style="341" customWidth="1"/>
    <col min="9730" max="9731" width="7.69921875" style="341" customWidth="1"/>
    <col min="9732" max="9732" width="13.5" style="341" customWidth="1"/>
    <col min="9733" max="9733" width="7.69921875" style="341" customWidth="1"/>
    <col min="9734" max="9734" width="10.19921875" style="341" customWidth="1"/>
    <col min="9735" max="9735" width="18.796875" style="341" customWidth="1"/>
    <col min="9736" max="9976" width="7.69921875" style="341"/>
    <col min="9977" max="9977" width="7.69921875" style="341" customWidth="1"/>
    <col min="9978" max="9978" width="32.5" style="341" customWidth="1"/>
    <col min="9979" max="9979" width="15.5" style="341" customWidth="1"/>
    <col min="9980" max="9980" width="13.5" style="341" customWidth="1"/>
    <col min="9981" max="9981" width="14.796875" style="341" customWidth="1"/>
    <col min="9982" max="9983" width="14" style="341" customWidth="1"/>
    <col min="9984" max="9984" width="12" style="341" customWidth="1"/>
    <col min="9985" max="9985" width="5.796875" style="341" customWidth="1"/>
    <col min="9986" max="9987" width="7.69921875" style="341" customWidth="1"/>
    <col min="9988" max="9988" width="13.5" style="341" customWidth="1"/>
    <col min="9989" max="9989" width="7.69921875" style="341" customWidth="1"/>
    <col min="9990" max="9990" width="10.19921875" style="341" customWidth="1"/>
    <col min="9991" max="9991" width="18.796875" style="341" customWidth="1"/>
    <col min="9992" max="10232" width="7.69921875" style="341"/>
    <col min="10233" max="10233" width="7.69921875" style="341" customWidth="1"/>
    <col min="10234" max="10234" width="32.5" style="341" customWidth="1"/>
    <col min="10235" max="10235" width="15.5" style="341" customWidth="1"/>
    <col min="10236" max="10236" width="13.5" style="341" customWidth="1"/>
    <col min="10237" max="10237" width="14.796875" style="341" customWidth="1"/>
    <col min="10238" max="10239" width="14" style="341" customWidth="1"/>
    <col min="10240" max="10240" width="12" style="341" customWidth="1"/>
    <col min="10241" max="10241" width="5.796875" style="341" customWidth="1"/>
    <col min="10242" max="10243" width="7.69921875" style="341" customWidth="1"/>
    <col min="10244" max="10244" width="13.5" style="341" customWidth="1"/>
    <col min="10245" max="10245" width="7.69921875" style="341" customWidth="1"/>
    <col min="10246" max="10246" width="10.19921875" style="341" customWidth="1"/>
    <col min="10247" max="10247" width="18.796875" style="341" customWidth="1"/>
    <col min="10248" max="10488" width="7.69921875" style="341"/>
    <col min="10489" max="10489" width="7.69921875" style="341" customWidth="1"/>
    <col min="10490" max="10490" width="32.5" style="341" customWidth="1"/>
    <col min="10491" max="10491" width="15.5" style="341" customWidth="1"/>
    <col min="10492" max="10492" width="13.5" style="341" customWidth="1"/>
    <col min="10493" max="10493" width="14.796875" style="341" customWidth="1"/>
    <col min="10494" max="10495" width="14" style="341" customWidth="1"/>
    <col min="10496" max="10496" width="12" style="341" customWidth="1"/>
    <col min="10497" max="10497" width="5.796875" style="341" customWidth="1"/>
    <col min="10498" max="10499" width="7.69921875" style="341" customWidth="1"/>
    <col min="10500" max="10500" width="13.5" style="341" customWidth="1"/>
    <col min="10501" max="10501" width="7.69921875" style="341" customWidth="1"/>
    <col min="10502" max="10502" width="10.19921875" style="341" customWidth="1"/>
    <col min="10503" max="10503" width="18.796875" style="341" customWidth="1"/>
    <col min="10504" max="10744" width="7.69921875" style="341"/>
    <col min="10745" max="10745" width="7.69921875" style="341" customWidth="1"/>
    <col min="10746" max="10746" width="32.5" style="341" customWidth="1"/>
    <col min="10747" max="10747" width="15.5" style="341" customWidth="1"/>
    <col min="10748" max="10748" width="13.5" style="341" customWidth="1"/>
    <col min="10749" max="10749" width="14.796875" style="341" customWidth="1"/>
    <col min="10750" max="10751" width="14" style="341" customWidth="1"/>
    <col min="10752" max="10752" width="12" style="341" customWidth="1"/>
    <col min="10753" max="10753" width="5.796875" style="341" customWidth="1"/>
    <col min="10754" max="10755" width="7.69921875" style="341" customWidth="1"/>
    <col min="10756" max="10756" width="13.5" style="341" customWidth="1"/>
    <col min="10757" max="10757" width="7.69921875" style="341" customWidth="1"/>
    <col min="10758" max="10758" width="10.19921875" style="341" customWidth="1"/>
    <col min="10759" max="10759" width="18.796875" style="341" customWidth="1"/>
    <col min="10760" max="11000" width="7.69921875" style="341"/>
    <col min="11001" max="11001" width="7.69921875" style="341" customWidth="1"/>
    <col min="11002" max="11002" width="32.5" style="341" customWidth="1"/>
    <col min="11003" max="11003" width="15.5" style="341" customWidth="1"/>
    <col min="11004" max="11004" width="13.5" style="341" customWidth="1"/>
    <col min="11005" max="11005" width="14.796875" style="341" customWidth="1"/>
    <col min="11006" max="11007" width="14" style="341" customWidth="1"/>
    <col min="11008" max="11008" width="12" style="341" customWidth="1"/>
    <col min="11009" max="11009" width="5.796875" style="341" customWidth="1"/>
    <col min="11010" max="11011" width="7.69921875" style="341" customWidth="1"/>
    <col min="11012" max="11012" width="13.5" style="341" customWidth="1"/>
    <col min="11013" max="11013" width="7.69921875" style="341" customWidth="1"/>
    <col min="11014" max="11014" width="10.19921875" style="341" customWidth="1"/>
    <col min="11015" max="11015" width="18.796875" style="341" customWidth="1"/>
    <col min="11016" max="11256" width="7.69921875" style="341"/>
    <col min="11257" max="11257" width="7.69921875" style="341" customWidth="1"/>
    <col min="11258" max="11258" width="32.5" style="341" customWidth="1"/>
    <col min="11259" max="11259" width="15.5" style="341" customWidth="1"/>
    <col min="11260" max="11260" width="13.5" style="341" customWidth="1"/>
    <col min="11261" max="11261" width="14.796875" style="341" customWidth="1"/>
    <col min="11262" max="11263" width="14" style="341" customWidth="1"/>
    <col min="11264" max="11264" width="12" style="341" customWidth="1"/>
    <col min="11265" max="11265" width="5.796875" style="341" customWidth="1"/>
    <col min="11266" max="11267" width="7.69921875" style="341" customWidth="1"/>
    <col min="11268" max="11268" width="13.5" style="341" customWidth="1"/>
    <col min="11269" max="11269" width="7.69921875" style="341" customWidth="1"/>
    <col min="11270" max="11270" width="10.19921875" style="341" customWidth="1"/>
    <col min="11271" max="11271" width="18.796875" style="341" customWidth="1"/>
    <col min="11272" max="11512" width="7.69921875" style="341"/>
    <col min="11513" max="11513" width="7.69921875" style="341" customWidth="1"/>
    <col min="11514" max="11514" width="32.5" style="341" customWidth="1"/>
    <col min="11515" max="11515" width="15.5" style="341" customWidth="1"/>
    <col min="11516" max="11516" width="13.5" style="341" customWidth="1"/>
    <col min="11517" max="11517" width="14.796875" style="341" customWidth="1"/>
    <col min="11518" max="11519" width="14" style="341" customWidth="1"/>
    <col min="11520" max="11520" width="12" style="341" customWidth="1"/>
    <col min="11521" max="11521" width="5.796875" style="341" customWidth="1"/>
    <col min="11522" max="11523" width="7.69921875" style="341" customWidth="1"/>
    <col min="11524" max="11524" width="13.5" style="341" customWidth="1"/>
    <col min="11525" max="11525" width="7.69921875" style="341" customWidth="1"/>
    <col min="11526" max="11526" width="10.19921875" style="341" customWidth="1"/>
    <col min="11527" max="11527" width="18.796875" style="341" customWidth="1"/>
    <col min="11528" max="11768" width="7.69921875" style="341"/>
    <col min="11769" max="11769" width="7.69921875" style="341" customWidth="1"/>
    <col min="11770" max="11770" width="32.5" style="341" customWidth="1"/>
    <col min="11771" max="11771" width="15.5" style="341" customWidth="1"/>
    <col min="11772" max="11772" width="13.5" style="341" customWidth="1"/>
    <col min="11773" max="11773" width="14.796875" style="341" customWidth="1"/>
    <col min="11774" max="11775" width="14" style="341" customWidth="1"/>
    <col min="11776" max="11776" width="12" style="341" customWidth="1"/>
    <col min="11777" max="11777" width="5.796875" style="341" customWidth="1"/>
    <col min="11778" max="11779" width="7.69921875" style="341" customWidth="1"/>
    <col min="11780" max="11780" width="13.5" style="341" customWidth="1"/>
    <col min="11781" max="11781" width="7.69921875" style="341" customWidth="1"/>
    <col min="11782" max="11782" width="10.19921875" style="341" customWidth="1"/>
    <col min="11783" max="11783" width="18.796875" style="341" customWidth="1"/>
    <col min="11784" max="12024" width="7.69921875" style="341"/>
    <col min="12025" max="12025" width="7.69921875" style="341" customWidth="1"/>
    <col min="12026" max="12026" width="32.5" style="341" customWidth="1"/>
    <col min="12027" max="12027" width="15.5" style="341" customWidth="1"/>
    <col min="12028" max="12028" width="13.5" style="341" customWidth="1"/>
    <col min="12029" max="12029" width="14.796875" style="341" customWidth="1"/>
    <col min="12030" max="12031" width="14" style="341" customWidth="1"/>
    <col min="12032" max="12032" width="12" style="341" customWidth="1"/>
    <col min="12033" max="12033" width="5.796875" style="341" customWidth="1"/>
    <col min="12034" max="12035" width="7.69921875" style="341" customWidth="1"/>
    <col min="12036" max="12036" width="13.5" style="341" customWidth="1"/>
    <col min="12037" max="12037" width="7.69921875" style="341" customWidth="1"/>
    <col min="12038" max="12038" width="10.19921875" style="341" customWidth="1"/>
    <col min="12039" max="12039" width="18.796875" style="341" customWidth="1"/>
    <col min="12040" max="12280" width="7.69921875" style="341"/>
    <col min="12281" max="12281" width="7.69921875" style="341" customWidth="1"/>
    <col min="12282" max="12282" width="32.5" style="341" customWidth="1"/>
    <col min="12283" max="12283" width="15.5" style="341" customWidth="1"/>
    <col min="12284" max="12284" width="13.5" style="341" customWidth="1"/>
    <col min="12285" max="12285" width="14.796875" style="341" customWidth="1"/>
    <col min="12286" max="12287" width="14" style="341" customWidth="1"/>
    <col min="12288" max="12288" width="12" style="341" customWidth="1"/>
    <col min="12289" max="12289" width="5.796875" style="341" customWidth="1"/>
    <col min="12290" max="12291" width="7.69921875" style="341" customWidth="1"/>
    <col min="12292" max="12292" width="13.5" style="341" customWidth="1"/>
    <col min="12293" max="12293" width="7.69921875" style="341" customWidth="1"/>
    <col min="12294" max="12294" width="10.19921875" style="341" customWidth="1"/>
    <col min="12295" max="12295" width="18.796875" style="341" customWidth="1"/>
    <col min="12296" max="12536" width="7.69921875" style="341"/>
    <col min="12537" max="12537" width="7.69921875" style="341" customWidth="1"/>
    <col min="12538" max="12538" width="32.5" style="341" customWidth="1"/>
    <col min="12539" max="12539" width="15.5" style="341" customWidth="1"/>
    <col min="12540" max="12540" width="13.5" style="341" customWidth="1"/>
    <col min="12541" max="12541" width="14.796875" style="341" customWidth="1"/>
    <col min="12542" max="12543" width="14" style="341" customWidth="1"/>
    <col min="12544" max="12544" width="12" style="341" customWidth="1"/>
    <col min="12545" max="12545" width="5.796875" style="341" customWidth="1"/>
    <col min="12546" max="12547" width="7.69921875" style="341" customWidth="1"/>
    <col min="12548" max="12548" width="13.5" style="341" customWidth="1"/>
    <col min="12549" max="12549" width="7.69921875" style="341" customWidth="1"/>
    <col min="12550" max="12550" width="10.19921875" style="341" customWidth="1"/>
    <col min="12551" max="12551" width="18.796875" style="341" customWidth="1"/>
    <col min="12552" max="12792" width="7.69921875" style="341"/>
    <col min="12793" max="12793" width="7.69921875" style="341" customWidth="1"/>
    <col min="12794" max="12794" width="32.5" style="341" customWidth="1"/>
    <col min="12795" max="12795" width="15.5" style="341" customWidth="1"/>
    <col min="12796" max="12796" width="13.5" style="341" customWidth="1"/>
    <col min="12797" max="12797" width="14.796875" style="341" customWidth="1"/>
    <col min="12798" max="12799" width="14" style="341" customWidth="1"/>
    <col min="12800" max="12800" width="12" style="341" customWidth="1"/>
    <col min="12801" max="12801" width="5.796875" style="341" customWidth="1"/>
    <col min="12802" max="12803" width="7.69921875" style="341" customWidth="1"/>
    <col min="12804" max="12804" width="13.5" style="341" customWidth="1"/>
    <col min="12805" max="12805" width="7.69921875" style="341" customWidth="1"/>
    <col min="12806" max="12806" width="10.19921875" style="341" customWidth="1"/>
    <col min="12807" max="12807" width="18.796875" style="341" customWidth="1"/>
    <col min="12808" max="13048" width="7.69921875" style="341"/>
    <col min="13049" max="13049" width="7.69921875" style="341" customWidth="1"/>
    <col min="13050" max="13050" width="32.5" style="341" customWidth="1"/>
    <col min="13051" max="13051" width="15.5" style="341" customWidth="1"/>
    <col min="13052" max="13052" width="13.5" style="341" customWidth="1"/>
    <col min="13053" max="13053" width="14.796875" style="341" customWidth="1"/>
    <col min="13054" max="13055" width="14" style="341" customWidth="1"/>
    <col min="13056" max="13056" width="12" style="341" customWidth="1"/>
    <col min="13057" max="13057" width="5.796875" style="341" customWidth="1"/>
    <col min="13058" max="13059" width="7.69921875" style="341" customWidth="1"/>
    <col min="13060" max="13060" width="13.5" style="341" customWidth="1"/>
    <col min="13061" max="13061" width="7.69921875" style="341" customWidth="1"/>
    <col min="13062" max="13062" width="10.19921875" style="341" customWidth="1"/>
    <col min="13063" max="13063" width="18.796875" style="341" customWidth="1"/>
    <col min="13064" max="13304" width="7.69921875" style="341"/>
    <col min="13305" max="13305" width="7.69921875" style="341" customWidth="1"/>
    <col min="13306" max="13306" width="32.5" style="341" customWidth="1"/>
    <col min="13307" max="13307" width="15.5" style="341" customWidth="1"/>
    <col min="13308" max="13308" width="13.5" style="341" customWidth="1"/>
    <col min="13309" max="13309" width="14.796875" style="341" customWidth="1"/>
    <col min="13310" max="13311" width="14" style="341" customWidth="1"/>
    <col min="13312" max="13312" width="12" style="341" customWidth="1"/>
    <col min="13313" max="13313" width="5.796875" style="341" customWidth="1"/>
    <col min="13314" max="13315" width="7.69921875" style="341" customWidth="1"/>
    <col min="13316" max="13316" width="13.5" style="341" customWidth="1"/>
    <col min="13317" max="13317" width="7.69921875" style="341" customWidth="1"/>
    <col min="13318" max="13318" width="10.19921875" style="341" customWidth="1"/>
    <col min="13319" max="13319" width="18.796875" style="341" customWidth="1"/>
    <col min="13320" max="13560" width="7.69921875" style="341"/>
    <col min="13561" max="13561" width="7.69921875" style="341" customWidth="1"/>
    <col min="13562" max="13562" width="32.5" style="341" customWidth="1"/>
    <col min="13563" max="13563" width="15.5" style="341" customWidth="1"/>
    <col min="13564" max="13564" width="13.5" style="341" customWidth="1"/>
    <col min="13565" max="13565" width="14.796875" style="341" customWidth="1"/>
    <col min="13566" max="13567" width="14" style="341" customWidth="1"/>
    <col min="13568" max="13568" width="12" style="341" customWidth="1"/>
    <col min="13569" max="13569" width="5.796875" style="341" customWidth="1"/>
    <col min="13570" max="13571" width="7.69921875" style="341" customWidth="1"/>
    <col min="13572" max="13572" width="13.5" style="341" customWidth="1"/>
    <col min="13573" max="13573" width="7.69921875" style="341" customWidth="1"/>
    <col min="13574" max="13574" width="10.19921875" style="341" customWidth="1"/>
    <col min="13575" max="13575" width="18.796875" style="341" customWidth="1"/>
    <col min="13576" max="13816" width="7.69921875" style="341"/>
    <col min="13817" max="13817" width="7.69921875" style="341" customWidth="1"/>
    <col min="13818" max="13818" width="32.5" style="341" customWidth="1"/>
    <col min="13819" max="13819" width="15.5" style="341" customWidth="1"/>
    <col min="13820" max="13820" width="13.5" style="341" customWidth="1"/>
    <col min="13821" max="13821" width="14.796875" style="341" customWidth="1"/>
    <col min="13822" max="13823" width="14" style="341" customWidth="1"/>
    <col min="13824" max="13824" width="12" style="341" customWidth="1"/>
    <col min="13825" max="13825" width="5.796875" style="341" customWidth="1"/>
    <col min="13826" max="13827" width="7.69921875" style="341" customWidth="1"/>
    <col min="13828" max="13828" width="13.5" style="341" customWidth="1"/>
    <col min="13829" max="13829" width="7.69921875" style="341" customWidth="1"/>
    <col min="13830" max="13830" width="10.19921875" style="341" customWidth="1"/>
    <col min="13831" max="13831" width="18.796875" style="341" customWidth="1"/>
    <col min="13832" max="14072" width="7.69921875" style="341"/>
    <col min="14073" max="14073" width="7.69921875" style="341" customWidth="1"/>
    <col min="14074" max="14074" width="32.5" style="341" customWidth="1"/>
    <col min="14075" max="14075" width="15.5" style="341" customWidth="1"/>
    <col min="14076" max="14076" width="13.5" style="341" customWidth="1"/>
    <col min="14077" max="14077" width="14.796875" style="341" customWidth="1"/>
    <col min="14078" max="14079" width="14" style="341" customWidth="1"/>
    <col min="14080" max="14080" width="12" style="341" customWidth="1"/>
    <col min="14081" max="14081" width="5.796875" style="341" customWidth="1"/>
    <col min="14082" max="14083" width="7.69921875" style="341" customWidth="1"/>
    <col min="14084" max="14084" width="13.5" style="341" customWidth="1"/>
    <col min="14085" max="14085" width="7.69921875" style="341" customWidth="1"/>
    <col min="14086" max="14086" width="10.19921875" style="341" customWidth="1"/>
    <col min="14087" max="14087" width="18.796875" style="341" customWidth="1"/>
    <col min="14088" max="14328" width="7.69921875" style="341"/>
    <col min="14329" max="14329" width="7.69921875" style="341" customWidth="1"/>
    <col min="14330" max="14330" width="32.5" style="341" customWidth="1"/>
    <col min="14331" max="14331" width="15.5" style="341" customWidth="1"/>
    <col min="14332" max="14332" width="13.5" style="341" customWidth="1"/>
    <col min="14333" max="14333" width="14.796875" style="341" customWidth="1"/>
    <col min="14334" max="14335" width="14" style="341" customWidth="1"/>
    <col min="14336" max="14336" width="12" style="341" customWidth="1"/>
    <col min="14337" max="14337" width="5.796875" style="341" customWidth="1"/>
    <col min="14338" max="14339" width="7.69921875" style="341" customWidth="1"/>
    <col min="14340" max="14340" width="13.5" style="341" customWidth="1"/>
    <col min="14341" max="14341" width="7.69921875" style="341" customWidth="1"/>
    <col min="14342" max="14342" width="10.19921875" style="341" customWidth="1"/>
    <col min="14343" max="14343" width="18.796875" style="341" customWidth="1"/>
    <col min="14344" max="14584" width="7.69921875" style="341"/>
    <col min="14585" max="14585" width="7.69921875" style="341" customWidth="1"/>
    <col min="14586" max="14586" width="32.5" style="341" customWidth="1"/>
    <col min="14587" max="14587" width="15.5" style="341" customWidth="1"/>
    <col min="14588" max="14588" width="13.5" style="341" customWidth="1"/>
    <col min="14589" max="14589" width="14.796875" style="341" customWidth="1"/>
    <col min="14590" max="14591" width="14" style="341" customWidth="1"/>
    <col min="14592" max="14592" width="12" style="341" customWidth="1"/>
    <col min="14593" max="14593" width="5.796875" style="341" customWidth="1"/>
    <col min="14594" max="14595" width="7.69921875" style="341" customWidth="1"/>
    <col min="14596" max="14596" width="13.5" style="341" customWidth="1"/>
    <col min="14597" max="14597" width="7.69921875" style="341" customWidth="1"/>
    <col min="14598" max="14598" width="10.19921875" style="341" customWidth="1"/>
    <col min="14599" max="14599" width="18.796875" style="341" customWidth="1"/>
    <col min="14600" max="14840" width="7.69921875" style="341"/>
    <col min="14841" max="14841" width="7.69921875" style="341" customWidth="1"/>
    <col min="14842" max="14842" width="32.5" style="341" customWidth="1"/>
    <col min="14843" max="14843" width="15.5" style="341" customWidth="1"/>
    <col min="14844" max="14844" width="13.5" style="341" customWidth="1"/>
    <col min="14845" max="14845" width="14.796875" style="341" customWidth="1"/>
    <col min="14846" max="14847" width="14" style="341" customWidth="1"/>
    <col min="14848" max="14848" width="12" style="341" customWidth="1"/>
    <col min="14849" max="14849" width="5.796875" style="341" customWidth="1"/>
    <col min="14850" max="14851" width="7.69921875" style="341" customWidth="1"/>
    <col min="14852" max="14852" width="13.5" style="341" customWidth="1"/>
    <col min="14853" max="14853" width="7.69921875" style="341" customWidth="1"/>
    <col min="14854" max="14854" width="10.19921875" style="341" customWidth="1"/>
    <col min="14855" max="14855" width="18.796875" style="341" customWidth="1"/>
    <col min="14856" max="15096" width="7.69921875" style="341"/>
    <col min="15097" max="15097" width="7.69921875" style="341" customWidth="1"/>
    <col min="15098" max="15098" width="32.5" style="341" customWidth="1"/>
    <col min="15099" max="15099" width="15.5" style="341" customWidth="1"/>
    <col min="15100" max="15100" width="13.5" style="341" customWidth="1"/>
    <col min="15101" max="15101" width="14.796875" style="341" customWidth="1"/>
    <col min="15102" max="15103" width="14" style="341" customWidth="1"/>
    <col min="15104" max="15104" width="12" style="341" customWidth="1"/>
    <col min="15105" max="15105" width="5.796875" style="341" customWidth="1"/>
    <col min="15106" max="15107" width="7.69921875" style="341" customWidth="1"/>
    <col min="15108" max="15108" width="13.5" style="341" customWidth="1"/>
    <col min="15109" max="15109" width="7.69921875" style="341" customWidth="1"/>
    <col min="15110" max="15110" width="10.19921875" style="341" customWidth="1"/>
    <col min="15111" max="15111" width="18.796875" style="341" customWidth="1"/>
    <col min="15112" max="15352" width="7.69921875" style="341"/>
    <col min="15353" max="15353" width="7.69921875" style="341" customWidth="1"/>
    <col min="15354" max="15354" width="32.5" style="341" customWidth="1"/>
    <col min="15355" max="15355" width="15.5" style="341" customWidth="1"/>
    <col min="15356" max="15356" width="13.5" style="341" customWidth="1"/>
    <col min="15357" max="15357" width="14.796875" style="341" customWidth="1"/>
    <col min="15358" max="15359" width="14" style="341" customWidth="1"/>
    <col min="15360" max="15360" width="12" style="341" customWidth="1"/>
    <col min="15361" max="15361" width="5.796875" style="341" customWidth="1"/>
    <col min="15362" max="15363" width="7.69921875" style="341" customWidth="1"/>
    <col min="15364" max="15364" width="13.5" style="341" customWidth="1"/>
    <col min="15365" max="15365" width="7.69921875" style="341" customWidth="1"/>
    <col min="15366" max="15366" width="10.19921875" style="341" customWidth="1"/>
    <col min="15367" max="15367" width="18.796875" style="341" customWidth="1"/>
    <col min="15368" max="15608" width="7.69921875" style="341"/>
    <col min="15609" max="15609" width="7.69921875" style="341" customWidth="1"/>
    <col min="15610" max="15610" width="32.5" style="341" customWidth="1"/>
    <col min="15611" max="15611" width="15.5" style="341" customWidth="1"/>
    <col min="15612" max="15612" width="13.5" style="341" customWidth="1"/>
    <col min="15613" max="15613" width="14.796875" style="341" customWidth="1"/>
    <col min="15614" max="15615" width="14" style="341" customWidth="1"/>
    <col min="15616" max="15616" width="12" style="341" customWidth="1"/>
    <col min="15617" max="15617" width="5.796875" style="341" customWidth="1"/>
    <col min="15618" max="15619" width="7.69921875" style="341" customWidth="1"/>
    <col min="15620" max="15620" width="13.5" style="341" customWidth="1"/>
    <col min="15621" max="15621" width="7.69921875" style="341" customWidth="1"/>
    <col min="15622" max="15622" width="10.19921875" style="341" customWidth="1"/>
    <col min="15623" max="15623" width="18.796875" style="341" customWidth="1"/>
    <col min="15624" max="15864" width="7.69921875" style="341"/>
    <col min="15865" max="15865" width="7.69921875" style="341" customWidth="1"/>
    <col min="15866" max="15866" width="32.5" style="341" customWidth="1"/>
    <col min="15867" max="15867" width="15.5" style="341" customWidth="1"/>
    <col min="15868" max="15868" width="13.5" style="341" customWidth="1"/>
    <col min="15869" max="15869" width="14.796875" style="341" customWidth="1"/>
    <col min="15870" max="15871" width="14" style="341" customWidth="1"/>
    <col min="15872" max="15872" width="12" style="341" customWidth="1"/>
    <col min="15873" max="15873" width="5.796875" style="341" customWidth="1"/>
    <col min="15874" max="15875" width="7.69921875" style="341" customWidth="1"/>
    <col min="15876" max="15876" width="13.5" style="341" customWidth="1"/>
    <col min="15877" max="15877" width="7.69921875" style="341" customWidth="1"/>
    <col min="15878" max="15878" width="10.19921875" style="341" customWidth="1"/>
    <col min="15879" max="15879" width="18.796875" style="341" customWidth="1"/>
    <col min="15880" max="16120" width="7.69921875" style="341"/>
    <col min="16121" max="16121" width="7.69921875" style="341" customWidth="1"/>
    <col min="16122" max="16122" width="32.5" style="341" customWidth="1"/>
    <col min="16123" max="16123" width="15.5" style="341" customWidth="1"/>
    <col min="16124" max="16124" width="13.5" style="341" customWidth="1"/>
    <col min="16125" max="16125" width="14.796875" style="341" customWidth="1"/>
    <col min="16126" max="16127" width="14" style="341" customWidth="1"/>
    <col min="16128" max="16128" width="12" style="341" customWidth="1"/>
    <col min="16129" max="16129" width="5.796875" style="341" customWidth="1"/>
    <col min="16130" max="16131" width="7.69921875" style="341" customWidth="1"/>
    <col min="16132" max="16132" width="13.5" style="341" customWidth="1"/>
    <col min="16133" max="16133" width="7.69921875" style="341" customWidth="1"/>
    <col min="16134" max="16134" width="10.19921875" style="341" customWidth="1"/>
    <col min="16135" max="16135" width="18.796875" style="341" customWidth="1"/>
    <col min="16136" max="16384" width="7.69921875" style="341"/>
  </cols>
  <sheetData>
    <row r="1" spans="1:60">
      <c r="A1" s="221"/>
      <c r="B1" s="222"/>
      <c r="C1" s="221"/>
      <c r="D1" s="221"/>
      <c r="E1" s="221"/>
      <c r="F1" s="221"/>
      <c r="G1" s="221"/>
      <c r="H1" s="401" t="s">
        <v>1608</v>
      </c>
      <c r="I1" s="402"/>
      <c r="J1" s="402"/>
      <c r="K1" s="403"/>
      <c r="L1" s="401" t="s">
        <v>1609</v>
      </c>
      <c r="M1" s="402"/>
      <c r="N1" s="402"/>
      <c r="O1" s="403"/>
      <c r="P1" s="401" t="s">
        <v>1610</v>
      </c>
      <c r="Q1" s="402"/>
      <c r="R1" s="402"/>
      <c r="S1" s="403"/>
      <c r="T1" s="401" t="s">
        <v>1611</v>
      </c>
      <c r="U1" s="402"/>
      <c r="V1" s="402"/>
      <c r="W1" s="403"/>
      <c r="X1" s="401" t="s">
        <v>1612</v>
      </c>
      <c r="Y1" s="402"/>
      <c r="Z1" s="402"/>
      <c r="AA1" s="403"/>
      <c r="AB1" s="401" t="s">
        <v>1613</v>
      </c>
      <c r="AC1" s="402"/>
      <c r="AD1" s="402"/>
      <c r="AE1" s="403"/>
      <c r="AF1" s="401" t="s">
        <v>1614</v>
      </c>
      <c r="AG1" s="402"/>
      <c r="AH1" s="402"/>
      <c r="AI1" s="403"/>
      <c r="AJ1" s="401" t="s">
        <v>1615</v>
      </c>
      <c r="AK1" s="402"/>
      <c r="AL1" s="402"/>
      <c r="AM1" s="403"/>
      <c r="AN1" s="401" t="s">
        <v>1616</v>
      </c>
      <c r="AO1" s="402"/>
      <c r="AP1" s="402"/>
      <c r="AQ1" s="403"/>
      <c r="AR1" s="401" t="s">
        <v>1617</v>
      </c>
      <c r="AS1" s="402"/>
      <c r="AT1" s="402"/>
      <c r="AU1" s="403"/>
      <c r="AV1" s="401" t="s">
        <v>1618</v>
      </c>
      <c r="AW1" s="402"/>
      <c r="AX1" s="402"/>
      <c r="AY1" s="403"/>
      <c r="AZ1" s="401" t="s">
        <v>1619</v>
      </c>
      <c r="BA1" s="402"/>
      <c r="BB1" s="402"/>
      <c r="BC1" s="403"/>
      <c r="BD1" s="340" t="s">
        <v>1657</v>
      </c>
      <c r="BE1" s="398" t="s">
        <v>1669</v>
      </c>
      <c r="BF1" s="399"/>
      <c r="BG1" s="399"/>
      <c r="BH1" s="400"/>
    </row>
    <row r="2" spans="1:60" ht="18" customHeight="1">
      <c r="A2" s="221"/>
      <c r="B2" s="222" t="s">
        <v>1620</v>
      </c>
      <c r="C2" s="221"/>
      <c r="D2" s="221"/>
      <c r="E2" s="221"/>
      <c r="F2" s="221"/>
      <c r="G2" s="221"/>
      <c r="H2" s="223">
        <f>H22</f>
        <v>501.4</v>
      </c>
      <c r="I2" s="342"/>
      <c r="J2" s="342"/>
      <c r="K2" s="343"/>
      <c r="L2" s="223">
        <f>I22</f>
        <v>503.45</v>
      </c>
      <c r="M2" s="342"/>
      <c r="N2" s="342"/>
      <c r="O2" s="343"/>
      <c r="P2" s="223">
        <f>J22</f>
        <v>506.65</v>
      </c>
      <c r="Q2" s="342"/>
      <c r="R2" s="342"/>
      <c r="S2" s="343"/>
      <c r="T2" s="223">
        <f>K22</f>
        <v>510.09999999999997</v>
      </c>
      <c r="U2" s="342"/>
      <c r="V2" s="342"/>
      <c r="W2" s="343"/>
      <c r="X2" s="223">
        <f>L22</f>
        <v>516.29999999999995</v>
      </c>
      <c r="Y2" s="342"/>
      <c r="Z2" s="342"/>
      <c r="AA2" s="343"/>
      <c r="AB2" s="223">
        <f>M22</f>
        <v>521.15</v>
      </c>
      <c r="AC2" s="342"/>
      <c r="AD2" s="342"/>
      <c r="AE2" s="343"/>
      <c r="AF2" s="223">
        <f>N22</f>
        <v>528.04999999999995</v>
      </c>
      <c r="AG2" s="342"/>
      <c r="AH2" s="342"/>
      <c r="AI2" s="343"/>
      <c r="AJ2" s="223">
        <f>O22</f>
        <v>527.5</v>
      </c>
      <c r="AK2" s="342"/>
      <c r="AL2" s="342"/>
      <c r="AM2" s="343"/>
      <c r="AN2" s="223">
        <f>P22</f>
        <v>522.95000000000005</v>
      </c>
      <c r="AO2" s="342"/>
      <c r="AP2" s="342"/>
      <c r="AQ2" s="343"/>
      <c r="AR2" s="344">
        <f>Q22</f>
        <v>513.25</v>
      </c>
      <c r="AS2" s="342"/>
      <c r="AT2" s="342"/>
      <c r="AU2" s="343"/>
      <c r="AV2" s="344">
        <f>R22</f>
        <v>505.5</v>
      </c>
      <c r="AW2" s="342"/>
      <c r="AX2" s="342"/>
      <c r="AY2" s="343"/>
      <c r="AZ2" s="344">
        <f>S22</f>
        <v>500.85</v>
      </c>
      <c r="BA2" s="342"/>
      <c r="BB2" s="342"/>
      <c r="BC2" s="343"/>
      <c r="BD2" s="345"/>
      <c r="BE2" s="344">
        <f>T22</f>
        <v>554.67000000000007</v>
      </c>
      <c r="BF2" s="342"/>
      <c r="BG2" s="342"/>
      <c r="BH2" s="343"/>
    </row>
    <row r="3" spans="1:60" ht="59.4">
      <c r="A3" s="224" t="s">
        <v>24</v>
      </c>
      <c r="B3" s="224" t="s">
        <v>1621</v>
      </c>
      <c r="C3" s="225" t="s">
        <v>1622</v>
      </c>
      <c r="D3" s="225" t="s">
        <v>1623</v>
      </c>
      <c r="E3" s="224" t="s">
        <v>1624</v>
      </c>
      <c r="F3" s="225" t="s">
        <v>1625</v>
      </c>
      <c r="G3" s="225" t="s">
        <v>1626</v>
      </c>
      <c r="H3" s="225" t="s">
        <v>1627</v>
      </c>
      <c r="I3" s="225" t="s">
        <v>1628</v>
      </c>
      <c r="J3" s="225" t="s">
        <v>1629</v>
      </c>
      <c r="K3" s="225" t="s">
        <v>1630</v>
      </c>
      <c r="L3" s="225" t="s">
        <v>1627</v>
      </c>
      <c r="M3" s="225" t="s">
        <v>1628</v>
      </c>
      <c r="N3" s="225" t="s">
        <v>1629</v>
      </c>
      <c r="O3" s="225" t="s">
        <v>1630</v>
      </c>
      <c r="P3" s="225" t="s">
        <v>1627</v>
      </c>
      <c r="Q3" s="225" t="s">
        <v>1628</v>
      </c>
      <c r="R3" s="225" t="s">
        <v>1629</v>
      </c>
      <c r="S3" s="225" t="s">
        <v>1630</v>
      </c>
      <c r="T3" s="225" t="s">
        <v>1627</v>
      </c>
      <c r="U3" s="225" t="s">
        <v>1628</v>
      </c>
      <c r="V3" s="225" t="s">
        <v>1629</v>
      </c>
      <c r="W3" s="225" t="s">
        <v>1630</v>
      </c>
      <c r="X3" s="225" t="s">
        <v>1627</v>
      </c>
      <c r="Y3" s="225" t="s">
        <v>1628</v>
      </c>
      <c r="Z3" s="225" t="s">
        <v>1629</v>
      </c>
      <c r="AA3" s="225" t="s">
        <v>1630</v>
      </c>
      <c r="AB3" s="225" t="s">
        <v>1627</v>
      </c>
      <c r="AC3" s="225" t="s">
        <v>1628</v>
      </c>
      <c r="AD3" s="225" t="s">
        <v>1629</v>
      </c>
      <c r="AE3" s="225" t="s">
        <v>1630</v>
      </c>
      <c r="AF3" s="225" t="s">
        <v>1627</v>
      </c>
      <c r="AG3" s="225" t="s">
        <v>1628</v>
      </c>
      <c r="AH3" s="225" t="s">
        <v>1629</v>
      </c>
      <c r="AI3" s="225" t="s">
        <v>1630</v>
      </c>
      <c r="AJ3" s="225" t="s">
        <v>1627</v>
      </c>
      <c r="AK3" s="225" t="s">
        <v>1628</v>
      </c>
      <c r="AL3" s="225" t="s">
        <v>1629</v>
      </c>
      <c r="AM3" s="225" t="s">
        <v>1630</v>
      </c>
      <c r="AN3" s="225" t="s">
        <v>1627</v>
      </c>
      <c r="AO3" s="225" t="s">
        <v>1628</v>
      </c>
      <c r="AP3" s="225" t="s">
        <v>1629</v>
      </c>
      <c r="AQ3" s="225" t="s">
        <v>1630</v>
      </c>
      <c r="AR3" s="225" t="s">
        <v>1627</v>
      </c>
      <c r="AS3" s="225" t="s">
        <v>1628</v>
      </c>
      <c r="AT3" s="225" t="s">
        <v>1629</v>
      </c>
      <c r="AU3" s="225" t="s">
        <v>1630</v>
      </c>
      <c r="AV3" s="225" t="s">
        <v>1627</v>
      </c>
      <c r="AW3" s="225" t="s">
        <v>1628</v>
      </c>
      <c r="AX3" s="225" t="s">
        <v>1629</v>
      </c>
      <c r="AY3" s="225" t="s">
        <v>1630</v>
      </c>
      <c r="AZ3" s="225" t="s">
        <v>1627</v>
      </c>
      <c r="BA3" s="225" t="s">
        <v>1628</v>
      </c>
      <c r="BB3" s="225" t="s">
        <v>1629</v>
      </c>
      <c r="BC3" s="225" t="s">
        <v>1630</v>
      </c>
      <c r="BD3" s="346" t="s">
        <v>1658</v>
      </c>
      <c r="BE3" s="225" t="s">
        <v>1627</v>
      </c>
      <c r="BF3" s="225" t="s">
        <v>1628</v>
      </c>
      <c r="BG3" s="225" t="s">
        <v>1629</v>
      </c>
      <c r="BH3" s="225" t="s">
        <v>1630</v>
      </c>
    </row>
    <row r="4" spans="1:60">
      <c r="A4" s="226" t="s">
        <v>1683</v>
      </c>
      <c r="B4" s="226" t="s">
        <v>631</v>
      </c>
      <c r="C4" s="271">
        <v>0.08</v>
      </c>
      <c r="D4" s="228">
        <v>32.04</v>
      </c>
      <c r="E4" s="229">
        <f>C4/D4</f>
        <v>2.4968789013732834E-3</v>
      </c>
      <c r="F4" s="230">
        <f t="shared" ref="F4:F16" si="0">E4/$E$17</f>
        <v>4.66259573587249E-2</v>
      </c>
      <c r="G4" s="228">
        <f t="shared" ref="G4:G17" si="1">F4</f>
        <v>4.66259573587249E-2</v>
      </c>
      <c r="H4" s="231">
        <f>$G4*$H29</f>
        <v>0.26285023120241252</v>
      </c>
      <c r="I4" s="228">
        <f t="shared" ref="I4:I16" si="2">H4/($H$17)</f>
        <v>0.23921835068701319</v>
      </c>
      <c r="J4" s="232">
        <f>I4*$D4</f>
        <v>7.6645559560119025</v>
      </c>
      <c r="K4" s="233">
        <f t="shared" ref="K4:K16" si="3">J4/$J$17</f>
        <v>0.35859515642569972</v>
      </c>
      <c r="L4" s="231">
        <f t="shared" ref="L4:L16" si="4">$G4*I29</f>
        <v>0.28155221408310377</v>
      </c>
      <c r="M4" s="228">
        <f t="shared" ref="M4:M16" si="5">L4/($L$17)</f>
        <v>0.23716198131664884</v>
      </c>
      <c r="N4" s="232">
        <f>M4*$D4</f>
        <v>7.5986698813854288</v>
      </c>
      <c r="O4" s="233">
        <f t="shared" ref="O4:O16" si="6">N4/$N$17</f>
        <v>0.35599278394356965</v>
      </c>
      <c r="P4" s="231">
        <f t="shared" ref="P4:P16" si="7">G4*J29</f>
        <v>0.31304510265453472</v>
      </c>
      <c r="Q4" s="228">
        <f>P4/($P$17)</f>
        <v>0.23402789719882669</v>
      </c>
      <c r="R4" s="232">
        <f t="shared" ref="R4:R14" si="8">Q4*$D4</f>
        <v>7.4982538262504068</v>
      </c>
      <c r="S4" s="233">
        <f t="shared" ref="S4:S16" si="9">R4/$R$17</f>
        <v>0.35201299429764665</v>
      </c>
      <c r="T4" s="231">
        <f>$G4*K29</f>
        <v>0.350363134127882</v>
      </c>
      <c r="U4" s="228">
        <f>T4/($T$17)</f>
        <v>0.23074913851205292</v>
      </c>
      <c r="V4" s="232">
        <f t="shared" ref="V4:V16" si="10">U4*$D4</f>
        <v>7.3932023979261752</v>
      </c>
      <c r="W4" s="233">
        <f t="shared" ref="W4:W16" si="11">V4/$V$17</f>
        <v>0.34783187948222527</v>
      </c>
      <c r="X4" s="231">
        <f t="shared" ref="X4:X16" si="12">G4*L29</f>
        <v>0.4271271406468346</v>
      </c>
      <c r="Y4" s="228">
        <f t="shared" ref="Y4:Y16" si="13">X4/($X$17)</f>
        <v>0.2251055717651157</v>
      </c>
      <c r="Z4" s="232">
        <f t="shared" ref="Z4:Z16" si="14">Y4*$D4</f>
        <v>7.212382519354307</v>
      </c>
      <c r="AA4" s="233">
        <f t="shared" ref="AA4:AA16" si="15">Z4/$Z$17</f>
        <v>0.34059261860823076</v>
      </c>
      <c r="AB4" s="231">
        <f t="shared" ref="AB4:AB16" si="16">G4*M29</f>
        <v>0.49687585942510687</v>
      </c>
      <c r="AC4" s="228">
        <f t="shared" ref="AC4:AC16" si="17">AB4/($AB$17)</f>
        <v>0.22090164221954822</v>
      </c>
      <c r="AD4" s="232">
        <f t="shared" ref="AD4:AD16" si="18">AC4*$D4</f>
        <v>7.0776886167143251</v>
      </c>
      <c r="AE4" s="233">
        <f t="shared" ref="AE4:AE16" si="19">AD4/$AD$17</f>
        <v>0.33516478983479892</v>
      </c>
      <c r="AF4" s="231">
        <f t="shared" ref="AF4:AF16" si="20">G4*N29</f>
        <v>0.6128541745241024</v>
      </c>
      <c r="AG4" s="234">
        <f t="shared" ref="AG4:AG16" si="21">AF4/($AF$17)</f>
        <v>0.21521877223567334</v>
      </c>
      <c r="AH4" s="231">
        <f t="shared" ref="AH4:AH16" si="22">AG4*$D4</f>
        <v>6.8956094624309738</v>
      </c>
      <c r="AI4" s="233">
        <f t="shared" ref="AI4:AI16" si="23">AH4/$AH$17</f>
        <v>0.32777910853673586</v>
      </c>
      <c r="AJ4" s="231">
        <f t="shared" ref="AJ4:AJ16" si="24">G4*O29</f>
        <v>0.60282814951347252</v>
      </c>
      <c r="AK4" s="234">
        <f t="shared" ref="AK4:AK16" si="25">AJ4/($AJ$17)</f>
        <v>0.21565944954577412</v>
      </c>
      <c r="AL4" s="231">
        <f t="shared" ref="AL4:AL16" si="26">AK4*$D4</f>
        <v>6.9097287634466031</v>
      </c>
      <c r="AM4" s="233">
        <f t="shared" ref="AM4:AM16" si="27">AL4/$AL$17</f>
        <v>0.32835383035380294</v>
      </c>
      <c r="AN4" s="231">
        <f t="shared" ref="AN4:AN16" si="28">G4*P29</f>
        <v>0.52514293772798293</v>
      </c>
      <c r="AO4" s="234">
        <f t="shared" ref="AO4:AO16" si="29">AN4/($AN$17)</f>
        <v>0.21938625582286669</v>
      </c>
      <c r="AP4" s="231">
        <f t="shared" ref="AP4:AP16" si="30">AO4*$D4</f>
        <v>7.0291356365646482</v>
      </c>
      <c r="AQ4" s="233">
        <f t="shared" ref="AQ4:AQ16" si="31">AP4/$AP$17</f>
        <v>0.33320078880142201</v>
      </c>
      <c r="AR4" s="231">
        <f t="shared" ref="AR4:AR16" si="32">G4*Q29</f>
        <v>0.38772695596802714</v>
      </c>
      <c r="AS4" s="234">
        <f t="shared" ref="AS4:AS16" si="33">AR4/($AR$17)</f>
        <v>0.2278429090658215</v>
      </c>
      <c r="AT4" s="231">
        <f t="shared" ref="AT4:AT16" si="34">AS4*$D4</f>
        <v>7.3000868064689204</v>
      </c>
      <c r="AU4" s="233">
        <f t="shared" ref="AU4:AU16" si="35">AT4/$AT$17</f>
        <v>0.34411067019984615</v>
      </c>
      <c r="AV4" s="231">
        <f t="shared" ref="AV4:AV16" si="36">G4*R29</f>
        <v>0.30139401653527281</v>
      </c>
      <c r="AW4" s="234">
        <f t="shared" ref="AW4:AW16" si="37">AV4/($AV$17)</f>
        <v>0.23514373168795125</v>
      </c>
      <c r="AX4" s="231">
        <f t="shared" ref="AX4:AX16" si="38">AW4*$D4</f>
        <v>7.5340051632819574</v>
      </c>
      <c r="AY4" s="233">
        <f t="shared" ref="AY4:AY16" si="39">AX4/$AX$17</f>
        <v>0.35343180792553253</v>
      </c>
      <c r="AZ4" s="231">
        <f>G4*S29</f>
        <v>0.25801942626441127</v>
      </c>
      <c r="BA4" s="234">
        <f t="shared" ref="BA4:BA16" si="40">AZ4/($AZ$17)</f>
        <v>0.23977666289267524</v>
      </c>
      <c r="BB4" s="231">
        <f t="shared" ref="BB4:BB16" si="41">BA4*$D4</f>
        <v>7.6824442790813148</v>
      </c>
      <c r="BC4" s="233">
        <f t="shared" ref="BC4:BC16" si="42">BB4/$BB$17</f>
        <v>0.35930049922665658</v>
      </c>
      <c r="BD4" s="347">
        <f t="shared" ref="BD4:BD16" si="43">MAX(K4,O4,S4,W4,AA4,AE4,AI4,AM4,AQ4,AU4,AY4,BC4)</f>
        <v>0.35930049922665658</v>
      </c>
      <c r="BE4" s="231">
        <f>G4*T29</f>
        <v>1.3032306788266383</v>
      </c>
      <c r="BF4" s="234">
        <f>BE4/($BE$17)</f>
        <v>0.19614689581410233</v>
      </c>
      <c r="BG4" s="231">
        <f>BF4*$D4</f>
        <v>6.2845465418838389</v>
      </c>
      <c r="BH4" s="233">
        <f t="shared" ref="BH4:BH16" si="44">BG4/$BG$17</f>
        <v>0.30257837029367607</v>
      </c>
    </row>
    <row r="5" spans="1:60">
      <c r="A5" s="226"/>
      <c r="B5" s="226" t="s">
        <v>1684</v>
      </c>
      <c r="C5" s="271">
        <v>0.92</v>
      </c>
      <c r="D5" s="348">
        <v>18.02</v>
      </c>
      <c r="E5" s="229">
        <f>C5/D5</f>
        <v>5.1054384017758053E-2</v>
      </c>
      <c r="F5" s="230">
        <f t="shared" si="0"/>
        <v>0.95337404264127512</v>
      </c>
      <c r="G5" s="228">
        <f t="shared" si="1"/>
        <v>0.95337404264127512</v>
      </c>
      <c r="H5" s="231">
        <f t="shared" ref="H5:H16" si="45">$G5*$H30</f>
        <v>0.83593767719813761</v>
      </c>
      <c r="I5" s="228">
        <f t="shared" si="2"/>
        <v>0.76078164931298686</v>
      </c>
      <c r="J5" s="232">
        <f>I5*$D5</f>
        <v>13.709285320620022</v>
      </c>
      <c r="K5" s="233">
        <f t="shared" si="3"/>
        <v>0.64140484357430028</v>
      </c>
      <c r="L5" s="231">
        <f t="shared" si="4"/>
        <v>0.90562042008032462</v>
      </c>
      <c r="M5" s="228">
        <f t="shared" si="5"/>
        <v>0.76283801868335122</v>
      </c>
      <c r="N5" s="232">
        <f t="shared" ref="N5:N7" si="46">M5*$D5</f>
        <v>13.746341096673989</v>
      </c>
      <c r="O5" s="233">
        <f t="shared" si="6"/>
        <v>0.64400721605643041</v>
      </c>
      <c r="P5" s="231">
        <f t="shared" si="7"/>
        <v>1.0245950094923355</v>
      </c>
      <c r="Q5" s="228">
        <f t="shared" ref="Q5:Q16" si="47">P5/($P$17)</f>
        <v>0.76597210280117334</v>
      </c>
      <c r="R5" s="232">
        <f t="shared" si="8"/>
        <v>13.802817292477144</v>
      </c>
      <c r="S5" s="233">
        <f t="shared" si="9"/>
        <v>0.64798700570235346</v>
      </c>
      <c r="T5" s="231">
        <f t="shared" ref="T5:T16" si="48">$G5*K30</f>
        <v>1.1680093130549758</v>
      </c>
      <c r="U5" s="228">
        <f>T5/($T$17)</f>
        <v>0.76925086148794719</v>
      </c>
      <c r="V5" s="232">
        <f t="shared" si="10"/>
        <v>13.861900524012809</v>
      </c>
      <c r="W5" s="233">
        <f t="shared" si="11"/>
        <v>0.65216812051777473</v>
      </c>
      <c r="X5" s="231">
        <f t="shared" si="12"/>
        <v>1.4703254070516134</v>
      </c>
      <c r="Y5" s="228">
        <f t="shared" si="13"/>
        <v>0.7748944282348843</v>
      </c>
      <c r="Z5" s="232">
        <f t="shared" si="14"/>
        <v>13.963597596792615</v>
      </c>
      <c r="AA5" s="233">
        <f t="shared" si="15"/>
        <v>0.65940738139176913</v>
      </c>
      <c r="AB5" s="231">
        <f t="shared" si="16"/>
        <v>1.7524322689919525</v>
      </c>
      <c r="AC5" s="228">
        <f t="shared" si="17"/>
        <v>0.77909835778045178</v>
      </c>
      <c r="AD5" s="232">
        <f t="shared" si="18"/>
        <v>14.03935240720374</v>
      </c>
      <c r="AE5" s="233">
        <f t="shared" si="19"/>
        <v>0.66483521016520108</v>
      </c>
      <c r="AF5" s="231">
        <f t="shared" si="20"/>
        <v>2.234732809444945</v>
      </c>
      <c r="AG5" s="234">
        <f t="shared" si="21"/>
        <v>0.78478122776432668</v>
      </c>
      <c r="AH5" s="231">
        <f t="shared" si="22"/>
        <v>14.141757724313166</v>
      </c>
      <c r="AI5" s="233">
        <f t="shared" si="23"/>
        <v>0.67222089146326403</v>
      </c>
      <c r="AJ5" s="231">
        <f t="shared" si="24"/>
        <v>2.1924500114164576</v>
      </c>
      <c r="AK5" s="234">
        <f t="shared" si="25"/>
        <v>0.7843405504542259</v>
      </c>
      <c r="AL5" s="231">
        <f t="shared" si="26"/>
        <v>14.13381671918515</v>
      </c>
      <c r="AM5" s="233">
        <f t="shared" si="27"/>
        <v>0.67164616964619706</v>
      </c>
      <c r="AN5" s="231">
        <f t="shared" si="28"/>
        <v>1.868548206497503</v>
      </c>
      <c r="AO5" s="234">
        <f t="shared" si="29"/>
        <v>0.78061374417713336</v>
      </c>
      <c r="AP5" s="231">
        <f t="shared" si="30"/>
        <v>14.066659670071942</v>
      </c>
      <c r="AQ5" s="233">
        <f t="shared" si="31"/>
        <v>0.6667992111985781</v>
      </c>
      <c r="AR5" s="231">
        <f t="shared" si="32"/>
        <v>1.31400235199133</v>
      </c>
      <c r="AS5" s="234">
        <f t="shared" si="33"/>
        <v>0.7721570909341785</v>
      </c>
      <c r="AT5" s="231">
        <f t="shared" si="34"/>
        <v>13.914270778633897</v>
      </c>
      <c r="AU5" s="233">
        <f t="shared" si="35"/>
        <v>0.6558893298001538</v>
      </c>
      <c r="AV5" s="231">
        <f t="shared" si="36"/>
        <v>0.98034976788012196</v>
      </c>
      <c r="AW5" s="234">
        <f t="shared" si="37"/>
        <v>0.76485626831204878</v>
      </c>
      <c r="AX5" s="231">
        <f t="shared" si="38"/>
        <v>13.782709954983119</v>
      </c>
      <c r="AY5" s="233">
        <f t="shared" si="39"/>
        <v>0.64656819207446747</v>
      </c>
      <c r="AZ5" s="231">
        <f t="shared" ref="AZ5:AZ16" si="49">G5*S30</f>
        <v>0.81806288780091352</v>
      </c>
      <c r="BA5" s="234">
        <f t="shared" si="40"/>
        <v>0.7602233371073247</v>
      </c>
      <c r="BB5" s="231">
        <f t="shared" si="41"/>
        <v>13.699224534673991</v>
      </c>
      <c r="BC5" s="233">
        <f t="shared" si="42"/>
        <v>0.64069950077334348</v>
      </c>
      <c r="BD5" s="347">
        <f t="shared" si="43"/>
        <v>0.67222089146326403</v>
      </c>
      <c r="BE5" s="231">
        <f t="shared" ref="BE5:BE16" si="50">G5*T30</f>
        <v>5.3409258520101872</v>
      </c>
      <c r="BF5" s="234">
        <f t="shared" ref="BF5:BF16" si="51">BE5/($BE$17)</f>
        <v>0.80385310418589762</v>
      </c>
      <c r="BG5" s="231">
        <f t="shared" ref="BG5:BG16" si="52">BF5*$D5</f>
        <v>14.485432937429875</v>
      </c>
      <c r="BH5" s="233">
        <f t="shared" si="44"/>
        <v>0.69742162970632382</v>
      </c>
    </row>
    <row r="6" spans="1:60">
      <c r="A6" s="226"/>
      <c r="B6" s="226"/>
      <c r="C6" s="271">
        <v>0</v>
      </c>
      <c r="D6" s="348">
        <v>0</v>
      </c>
      <c r="E6" s="348">
        <v>0</v>
      </c>
      <c r="F6" s="230">
        <f t="shared" si="0"/>
        <v>0</v>
      </c>
      <c r="G6" s="228">
        <f t="shared" si="1"/>
        <v>0</v>
      </c>
      <c r="H6" s="231">
        <f t="shared" si="45"/>
        <v>0</v>
      </c>
      <c r="I6" s="228">
        <f t="shared" si="2"/>
        <v>0</v>
      </c>
      <c r="J6" s="232">
        <f>I6*$D6</f>
        <v>0</v>
      </c>
      <c r="K6" s="233">
        <f t="shared" si="3"/>
        <v>0</v>
      </c>
      <c r="L6" s="231">
        <f t="shared" si="4"/>
        <v>0</v>
      </c>
      <c r="M6" s="228">
        <f t="shared" si="5"/>
        <v>0</v>
      </c>
      <c r="N6" s="232">
        <f t="shared" si="46"/>
        <v>0</v>
      </c>
      <c r="O6" s="233">
        <f t="shared" si="6"/>
        <v>0</v>
      </c>
      <c r="P6" s="231">
        <f t="shared" si="7"/>
        <v>0</v>
      </c>
      <c r="Q6" s="228">
        <f t="shared" si="47"/>
        <v>0</v>
      </c>
      <c r="R6" s="232">
        <f t="shared" si="8"/>
        <v>0</v>
      </c>
      <c r="S6" s="233">
        <f t="shared" si="9"/>
        <v>0</v>
      </c>
      <c r="T6" s="231">
        <f t="shared" si="48"/>
        <v>0</v>
      </c>
      <c r="U6" s="228">
        <f t="shared" ref="U6:U16" si="53">T6/($T$17)</f>
        <v>0</v>
      </c>
      <c r="V6" s="232">
        <f t="shared" si="10"/>
        <v>0</v>
      </c>
      <c r="W6" s="233">
        <f t="shared" si="11"/>
        <v>0</v>
      </c>
      <c r="X6" s="231">
        <f t="shared" si="12"/>
        <v>0</v>
      </c>
      <c r="Y6" s="228">
        <f t="shared" si="13"/>
        <v>0</v>
      </c>
      <c r="Z6" s="232">
        <f t="shared" si="14"/>
        <v>0</v>
      </c>
      <c r="AA6" s="233">
        <f t="shared" si="15"/>
        <v>0</v>
      </c>
      <c r="AB6" s="231">
        <f t="shared" si="16"/>
        <v>0</v>
      </c>
      <c r="AC6" s="228">
        <f t="shared" si="17"/>
        <v>0</v>
      </c>
      <c r="AD6" s="232">
        <f t="shared" si="18"/>
        <v>0</v>
      </c>
      <c r="AE6" s="233">
        <f t="shared" si="19"/>
        <v>0</v>
      </c>
      <c r="AF6" s="231">
        <f t="shared" si="20"/>
        <v>0</v>
      </c>
      <c r="AG6" s="234">
        <f t="shared" si="21"/>
        <v>0</v>
      </c>
      <c r="AH6" s="231">
        <f t="shared" si="22"/>
        <v>0</v>
      </c>
      <c r="AI6" s="233">
        <f t="shared" si="23"/>
        <v>0</v>
      </c>
      <c r="AJ6" s="231">
        <f t="shared" si="24"/>
        <v>0</v>
      </c>
      <c r="AK6" s="234">
        <f t="shared" si="25"/>
        <v>0</v>
      </c>
      <c r="AL6" s="231">
        <f t="shared" si="26"/>
        <v>0</v>
      </c>
      <c r="AM6" s="233">
        <f t="shared" si="27"/>
        <v>0</v>
      </c>
      <c r="AN6" s="231">
        <f t="shared" si="28"/>
        <v>0</v>
      </c>
      <c r="AO6" s="234">
        <f t="shared" si="29"/>
        <v>0</v>
      </c>
      <c r="AP6" s="231">
        <f t="shared" si="30"/>
        <v>0</v>
      </c>
      <c r="AQ6" s="233">
        <f t="shared" si="31"/>
        <v>0</v>
      </c>
      <c r="AR6" s="231">
        <f t="shared" si="32"/>
        <v>0</v>
      </c>
      <c r="AS6" s="234">
        <f t="shared" si="33"/>
        <v>0</v>
      </c>
      <c r="AT6" s="231">
        <f t="shared" si="34"/>
        <v>0</v>
      </c>
      <c r="AU6" s="233">
        <f t="shared" si="35"/>
        <v>0</v>
      </c>
      <c r="AV6" s="231">
        <f t="shared" si="36"/>
        <v>0</v>
      </c>
      <c r="AW6" s="234">
        <f t="shared" si="37"/>
        <v>0</v>
      </c>
      <c r="AX6" s="231">
        <f t="shared" si="38"/>
        <v>0</v>
      </c>
      <c r="AY6" s="233">
        <f t="shared" si="39"/>
        <v>0</v>
      </c>
      <c r="AZ6" s="231">
        <f t="shared" si="49"/>
        <v>0</v>
      </c>
      <c r="BA6" s="234">
        <f t="shared" si="40"/>
        <v>0</v>
      </c>
      <c r="BB6" s="231">
        <f t="shared" si="41"/>
        <v>0</v>
      </c>
      <c r="BC6" s="233">
        <f t="shared" si="42"/>
        <v>0</v>
      </c>
      <c r="BD6" s="347">
        <f t="shared" si="43"/>
        <v>0</v>
      </c>
      <c r="BE6" s="231">
        <f t="shared" si="50"/>
        <v>0</v>
      </c>
      <c r="BF6" s="234">
        <f t="shared" si="51"/>
        <v>0</v>
      </c>
      <c r="BG6" s="231">
        <f t="shared" si="52"/>
        <v>0</v>
      </c>
      <c r="BH6" s="233">
        <f t="shared" si="44"/>
        <v>0</v>
      </c>
    </row>
    <row r="7" spans="1:60" s="349" customFormat="1">
      <c r="A7" s="226"/>
      <c r="B7" s="226"/>
      <c r="C7" s="271">
        <v>0</v>
      </c>
      <c r="D7" s="348">
        <v>0</v>
      </c>
      <c r="E7" s="348">
        <v>0</v>
      </c>
      <c r="F7" s="230">
        <f t="shared" si="0"/>
        <v>0</v>
      </c>
      <c r="G7" s="228">
        <f>F7</f>
        <v>0</v>
      </c>
      <c r="H7" s="231">
        <f t="shared" si="45"/>
        <v>0</v>
      </c>
      <c r="I7" s="228">
        <f t="shared" si="2"/>
        <v>0</v>
      </c>
      <c r="J7" s="232">
        <f t="shared" ref="J7:J16" si="54">I7*$D7</f>
        <v>0</v>
      </c>
      <c r="K7" s="233">
        <f t="shared" si="3"/>
        <v>0</v>
      </c>
      <c r="L7" s="231">
        <f t="shared" si="4"/>
        <v>0</v>
      </c>
      <c r="M7" s="228">
        <f t="shared" si="5"/>
        <v>0</v>
      </c>
      <c r="N7" s="232">
        <f t="shared" si="46"/>
        <v>0</v>
      </c>
      <c r="O7" s="233">
        <f t="shared" si="6"/>
        <v>0</v>
      </c>
      <c r="P7" s="231">
        <f t="shared" si="7"/>
        <v>0</v>
      </c>
      <c r="Q7" s="228">
        <f t="shared" si="47"/>
        <v>0</v>
      </c>
      <c r="R7" s="232">
        <f t="shared" si="8"/>
        <v>0</v>
      </c>
      <c r="S7" s="233">
        <f t="shared" si="9"/>
        <v>0</v>
      </c>
      <c r="T7" s="231">
        <f t="shared" si="48"/>
        <v>0</v>
      </c>
      <c r="U7" s="228">
        <f t="shared" si="53"/>
        <v>0</v>
      </c>
      <c r="V7" s="232">
        <f t="shared" si="10"/>
        <v>0</v>
      </c>
      <c r="W7" s="233">
        <f t="shared" si="11"/>
        <v>0</v>
      </c>
      <c r="X7" s="231">
        <f t="shared" si="12"/>
        <v>0</v>
      </c>
      <c r="Y7" s="228">
        <f t="shared" si="13"/>
        <v>0</v>
      </c>
      <c r="Z7" s="232">
        <f t="shared" si="14"/>
        <v>0</v>
      </c>
      <c r="AA7" s="233">
        <f t="shared" si="15"/>
        <v>0</v>
      </c>
      <c r="AB7" s="231">
        <f t="shared" si="16"/>
        <v>0</v>
      </c>
      <c r="AC7" s="228">
        <f t="shared" si="17"/>
        <v>0</v>
      </c>
      <c r="AD7" s="232">
        <f t="shared" si="18"/>
        <v>0</v>
      </c>
      <c r="AE7" s="233">
        <f t="shared" si="19"/>
        <v>0</v>
      </c>
      <c r="AF7" s="231">
        <f t="shared" si="20"/>
        <v>0</v>
      </c>
      <c r="AG7" s="234">
        <f t="shared" si="21"/>
        <v>0</v>
      </c>
      <c r="AH7" s="231">
        <f t="shared" si="22"/>
        <v>0</v>
      </c>
      <c r="AI7" s="233">
        <f t="shared" si="23"/>
        <v>0</v>
      </c>
      <c r="AJ7" s="231">
        <f t="shared" si="24"/>
        <v>0</v>
      </c>
      <c r="AK7" s="234">
        <f t="shared" si="25"/>
        <v>0</v>
      </c>
      <c r="AL7" s="231">
        <f t="shared" si="26"/>
        <v>0</v>
      </c>
      <c r="AM7" s="233">
        <f t="shared" si="27"/>
        <v>0</v>
      </c>
      <c r="AN7" s="231">
        <f t="shared" si="28"/>
        <v>0</v>
      </c>
      <c r="AO7" s="234">
        <f t="shared" si="29"/>
        <v>0</v>
      </c>
      <c r="AP7" s="231">
        <f t="shared" si="30"/>
        <v>0</v>
      </c>
      <c r="AQ7" s="233">
        <f t="shared" si="31"/>
        <v>0</v>
      </c>
      <c r="AR7" s="231">
        <f t="shared" si="32"/>
        <v>0</v>
      </c>
      <c r="AS7" s="234">
        <f t="shared" si="33"/>
        <v>0</v>
      </c>
      <c r="AT7" s="231">
        <f t="shared" si="34"/>
        <v>0</v>
      </c>
      <c r="AU7" s="233">
        <f t="shared" si="35"/>
        <v>0</v>
      </c>
      <c r="AV7" s="231">
        <f t="shared" si="36"/>
        <v>0</v>
      </c>
      <c r="AW7" s="234">
        <f t="shared" si="37"/>
        <v>0</v>
      </c>
      <c r="AX7" s="231">
        <f t="shared" si="38"/>
        <v>0</v>
      </c>
      <c r="AY7" s="233">
        <f t="shared" si="39"/>
        <v>0</v>
      </c>
      <c r="AZ7" s="231">
        <f t="shared" si="49"/>
        <v>0</v>
      </c>
      <c r="BA7" s="234">
        <f t="shared" si="40"/>
        <v>0</v>
      </c>
      <c r="BB7" s="231">
        <f t="shared" si="41"/>
        <v>0</v>
      </c>
      <c r="BC7" s="233">
        <f t="shared" si="42"/>
        <v>0</v>
      </c>
      <c r="BD7" s="347">
        <f t="shared" si="43"/>
        <v>0</v>
      </c>
      <c r="BE7" s="231">
        <f t="shared" si="50"/>
        <v>0</v>
      </c>
      <c r="BF7" s="234">
        <f t="shared" si="51"/>
        <v>0</v>
      </c>
      <c r="BG7" s="231">
        <f t="shared" si="52"/>
        <v>0</v>
      </c>
      <c r="BH7" s="233">
        <f t="shared" si="44"/>
        <v>0</v>
      </c>
    </row>
    <row r="8" spans="1:60" s="349" customFormat="1">
      <c r="A8" s="226"/>
      <c r="B8" s="226"/>
      <c r="C8" s="271">
        <v>0</v>
      </c>
      <c r="D8" s="348">
        <v>0</v>
      </c>
      <c r="E8" s="348">
        <v>0</v>
      </c>
      <c r="F8" s="230">
        <f t="shared" si="0"/>
        <v>0</v>
      </c>
      <c r="G8" s="228">
        <f t="shared" ref="G8:G13" si="55">F8</f>
        <v>0</v>
      </c>
      <c r="H8" s="231">
        <f t="shared" si="45"/>
        <v>0</v>
      </c>
      <c r="I8" s="228">
        <f t="shared" si="2"/>
        <v>0</v>
      </c>
      <c r="J8" s="232">
        <f>I8*$D8</f>
        <v>0</v>
      </c>
      <c r="K8" s="233">
        <f t="shared" si="3"/>
        <v>0</v>
      </c>
      <c r="L8" s="231">
        <f t="shared" si="4"/>
        <v>0</v>
      </c>
      <c r="M8" s="228">
        <f t="shared" si="5"/>
        <v>0</v>
      </c>
      <c r="N8" s="232">
        <f>M8*$D8</f>
        <v>0</v>
      </c>
      <c r="O8" s="233">
        <f t="shared" si="6"/>
        <v>0</v>
      </c>
      <c r="P8" s="231">
        <f t="shared" si="7"/>
        <v>0</v>
      </c>
      <c r="Q8" s="228">
        <f t="shared" si="47"/>
        <v>0</v>
      </c>
      <c r="R8" s="232">
        <f t="shared" si="8"/>
        <v>0</v>
      </c>
      <c r="S8" s="233">
        <f t="shared" si="9"/>
        <v>0</v>
      </c>
      <c r="T8" s="231">
        <f t="shared" si="48"/>
        <v>0</v>
      </c>
      <c r="U8" s="228">
        <f t="shared" si="53"/>
        <v>0</v>
      </c>
      <c r="V8" s="232">
        <f t="shared" si="10"/>
        <v>0</v>
      </c>
      <c r="W8" s="233">
        <f t="shared" si="11"/>
        <v>0</v>
      </c>
      <c r="X8" s="231">
        <f t="shared" si="12"/>
        <v>0</v>
      </c>
      <c r="Y8" s="228">
        <f t="shared" si="13"/>
        <v>0</v>
      </c>
      <c r="Z8" s="232">
        <f t="shared" si="14"/>
        <v>0</v>
      </c>
      <c r="AA8" s="233">
        <f t="shared" si="15"/>
        <v>0</v>
      </c>
      <c r="AB8" s="231">
        <f t="shared" si="16"/>
        <v>0</v>
      </c>
      <c r="AC8" s="228">
        <f t="shared" si="17"/>
        <v>0</v>
      </c>
      <c r="AD8" s="232">
        <f t="shared" si="18"/>
        <v>0</v>
      </c>
      <c r="AE8" s="233">
        <f t="shared" si="19"/>
        <v>0</v>
      </c>
      <c r="AF8" s="231">
        <f t="shared" si="20"/>
        <v>0</v>
      </c>
      <c r="AG8" s="234">
        <f t="shared" si="21"/>
        <v>0</v>
      </c>
      <c r="AH8" s="231">
        <f t="shared" si="22"/>
        <v>0</v>
      </c>
      <c r="AI8" s="233">
        <f t="shared" si="23"/>
        <v>0</v>
      </c>
      <c r="AJ8" s="231">
        <f t="shared" si="24"/>
        <v>0</v>
      </c>
      <c r="AK8" s="234">
        <f t="shared" si="25"/>
        <v>0</v>
      </c>
      <c r="AL8" s="231">
        <f t="shared" si="26"/>
        <v>0</v>
      </c>
      <c r="AM8" s="233">
        <f t="shared" si="27"/>
        <v>0</v>
      </c>
      <c r="AN8" s="231">
        <f t="shared" si="28"/>
        <v>0</v>
      </c>
      <c r="AO8" s="234">
        <f t="shared" si="29"/>
        <v>0</v>
      </c>
      <c r="AP8" s="231">
        <f t="shared" si="30"/>
        <v>0</v>
      </c>
      <c r="AQ8" s="233">
        <f t="shared" si="31"/>
        <v>0</v>
      </c>
      <c r="AR8" s="231">
        <f t="shared" si="32"/>
        <v>0</v>
      </c>
      <c r="AS8" s="234">
        <f t="shared" si="33"/>
        <v>0</v>
      </c>
      <c r="AT8" s="231">
        <f t="shared" si="34"/>
        <v>0</v>
      </c>
      <c r="AU8" s="233">
        <f t="shared" si="35"/>
        <v>0</v>
      </c>
      <c r="AV8" s="231">
        <f t="shared" si="36"/>
        <v>0</v>
      </c>
      <c r="AW8" s="234">
        <f t="shared" si="37"/>
        <v>0</v>
      </c>
      <c r="AX8" s="231">
        <f t="shared" si="38"/>
        <v>0</v>
      </c>
      <c r="AY8" s="233">
        <f t="shared" si="39"/>
        <v>0</v>
      </c>
      <c r="AZ8" s="231">
        <f t="shared" si="49"/>
        <v>0</v>
      </c>
      <c r="BA8" s="234">
        <f t="shared" si="40"/>
        <v>0</v>
      </c>
      <c r="BB8" s="231">
        <f t="shared" si="41"/>
        <v>0</v>
      </c>
      <c r="BC8" s="233">
        <f t="shared" si="42"/>
        <v>0</v>
      </c>
      <c r="BD8" s="347">
        <f t="shared" si="43"/>
        <v>0</v>
      </c>
      <c r="BE8" s="231">
        <f t="shared" si="50"/>
        <v>0</v>
      </c>
      <c r="BF8" s="234">
        <f t="shared" si="51"/>
        <v>0</v>
      </c>
      <c r="BG8" s="231">
        <f t="shared" si="52"/>
        <v>0</v>
      </c>
      <c r="BH8" s="233">
        <f t="shared" si="44"/>
        <v>0</v>
      </c>
    </row>
    <row r="9" spans="1:60" s="349" customFormat="1">
      <c r="A9" s="226"/>
      <c r="B9" s="226"/>
      <c r="C9" s="271">
        <v>0</v>
      </c>
      <c r="D9" s="348">
        <v>0</v>
      </c>
      <c r="E9" s="348">
        <v>0</v>
      </c>
      <c r="F9" s="230">
        <f t="shared" si="0"/>
        <v>0</v>
      </c>
      <c r="G9" s="228">
        <f t="shared" si="55"/>
        <v>0</v>
      </c>
      <c r="H9" s="231">
        <f t="shared" si="45"/>
        <v>0</v>
      </c>
      <c r="I9" s="228">
        <f t="shared" si="2"/>
        <v>0</v>
      </c>
      <c r="J9" s="232">
        <f t="shared" ref="J9:J15" si="56">I9*$D9</f>
        <v>0</v>
      </c>
      <c r="K9" s="233">
        <f t="shared" si="3"/>
        <v>0</v>
      </c>
      <c r="L9" s="231">
        <f t="shared" si="4"/>
        <v>0</v>
      </c>
      <c r="M9" s="228">
        <f t="shared" si="5"/>
        <v>0</v>
      </c>
      <c r="N9" s="232">
        <f t="shared" ref="N9:N14" si="57">M9*$D9</f>
        <v>0</v>
      </c>
      <c r="O9" s="233">
        <f t="shared" si="6"/>
        <v>0</v>
      </c>
      <c r="P9" s="231">
        <f t="shared" si="7"/>
        <v>0</v>
      </c>
      <c r="Q9" s="228">
        <f t="shared" si="47"/>
        <v>0</v>
      </c>
      <c r="R9" s="232">
        <f t="shared" si="8"/>
        <v>0</v>
      </c>
      <c r="S9" s="233">
        <f t="shared" si="9"/>
        <v>0</v>
      </c>
      <c r="T9" s="231">
        <f t="shared" si="48"/>
        <v>0</v>
      </c>
      <c r="U9" s="228">
        <f t="shared" si="53"/>
        <v>0</v>
      </c>
      <c r="V9" s="232">
        <f t="shared" si="10"/>
        <v>0</v>
      </c>
      <c r="W9" s="233">
        <f t="shared" si="11"/>
        <v>0</v>
      </c>
      <c r="X9" s="231">
        <f t="shared" si="12"/>
        <v>0</v>
      </c>
      <c r="Y9" s="228">
        <f t="shared" si="13"/>
        <v>0</v>
      </c>
      <c r="Z9" s="232">
        <f t="shared" si="14"/>
        <v>0</v>
      </c>
      <c r="AA9" s="233">
        <f t="shared" si="15"/>
        <v>0</v>
      </c>
      <c r="AB9" s="231">
        <f t="shared" si="16"/>
        <v>0</v>
      </c>
      <c r="AC9" s="228">
        <f t="shared" si="17"/>
        <v>0</v>
      </c>
      <c r="AD9" s="232">
        <f t="shared" si="18"/>
        <v>0</v>
      </c>
      <c r="AE9" s="233">
        <f t="shared" si="19"/>
        <v>0</v>
      </c>
      <c r="AF9" s="231">
        <f t="shared" si="20"/>
        <v>0</v>
      </c>
      <c r="AG9" s="234">
        <f t="shared" si="21"/>
        <v>0</v>
      </c>
      <c r="AH9" s="231">
        <f t="shared" si="22"/>
        <v>0</v>
      </c>
      <c r="AI9" s="233">
        <f t="shared" si="23"/>
        <v>0</v>
      </c>
      <c r="AJ9" s="231">
        <f t="shared" si="24"/>
        <v>0</v>
      </c>
      <c r="AK9" s="234">
        <f t="shared" si="25"/>
        <v>0</v>
      </c>
      <c r="AL9" s="231">
        <f t="shared" si="26"/>
        <v>0</v>
      </c>
      <c r="AM9" s="233">
        <f t="shared" si="27"/>
        <v>0</v>
      </c>
      <c r="AN9" s="231">
        <f t="shared" si="28"/>
        <v>0</v>
      </c>
      <c r="AO9" s="234">
        <f t="shared" si="29"/>
        <v>0</v>
      </c>
      <c r="AP9" s="231">
        <f t="shared" si="30"/>
        <v>0</v>
      </c>
      <c r="AQ9" s="233">
        <f t="shared" si="31"/>
        <v>0</v>
      </c>
      <c r="AR9" s="231">
        <f t="shared" si="32"/>
        <v>0</v>
      </c>
      <c r="AS9" s="234">
        <f t="shared" si="33"/>
        <v>0</v>
      </c>
      <c r="AT9" s="231">
        <f t="shared" si="34"/>
        <v>0</v>
      </c>
      <c r="AU9" s="233">
        <f t="shared" si="35"/>
        <v>0</v>
      </c>
      <c r="AV9" s="231">
        <f t="shared" si="36"/>
        <v>0</v>
      </c>
      <c r="AW9" s="234">
        <f t="shared" si="37"/>
        <v>0</v>
      </c>
      <c r="AX9" s="231">
        <f t="shared" si="38"/>
        <v>0</v>
      </c>
      <c r="AY9" s="233">
        <f t="shared" si="39"/>
        <v>0</v>
      </c>
      <c r="AZ9" s="231">
        <f t="shared" si="49"/>
        <v>0</v>
      </c>
      <c r="BA9" s="234">
        <f t="shared" si="40"/>
        <v>0</v>
      </c>
      <c r="BB9" s="231">
        <f t="shared" si="41"/>
        <v>0</v>
      </c>
      <c r="BC9" s="233">
        <f t="shared" si="42"/>
        <v>0</v>
      </c>
      <c r="BD9" s="347">
        <f t="shared" si="43"/>
        <v>0</v>
      </c>
      <c r="BE9" s="231">
        <f t="shared" si="50"/>
        <v>0</v>
      </c>
      <c r="BF9" s="234">
        <f t="shared" si="51"/>
        <v>0</v>
      </c>
      <c r="BG9" s="231">
        <f t="shared" si="52"/>
        <v>0</v>
      </c>
      <c r="BH9" s="233">
        <f t="shared" si="44"/>
        <v>0</v>
      </c>
    </row>
    <row r="10" spans="1:60" s="349" customFormat="1">
      <c r="A10" s="226"/>
      <c r="B10" s="226"/>
      <c r="C10" s="271">
        <v>0</v>
      </c>
      <c r="D10" s="348">
        <v>0</v>
      </c>
      <c r="E10" s="348">
        <v>0</v>
      </c>
      <c r="F10" s="230">
        <f t="shared" si="0"/>
        <v>0</v>
      </c>
      <c r="G10" s="228">
        <f t="shared" si="55"/>
        <v>0</v>
      </c>
      <c r="H10" s="231">
        <f t="shared" si="45"/>
        <v>0</v>
      </c>
      <c r="I10" s="228">
        <f t="shared" si="2"/>
        <v>0</v>
      </c>
      <c r="J10" s="232">
        <f t="shared" si="56"/>
        <v>0</v>
      </c>
      <c r="K10" s="233">
        <f t="shared" si="3"/>
        <v>0</v>
      </c>
      <c r="L10" s="231">
        <f t="shared" si="4"/>
        <v>0</v>
      </c>
      <c r="M10" s="228">
        <f t="shared" si="5"/>
        <v>0</v>
      </c>
      <c r="N10" s="232">
        <f t="shared" si="57"/>
        <v>0</v>
      </c>
      <c r="O10" s="233">
        <f t="shared" si="6"/>
        <v>0</v>
      </c>
      <c r="P10" s="231">
        <f t="shared" si="7"/>
        <v>0</v>
      </c>
      <c r="Q10" s="228">
        <f t="shared" si="47"/>
        <v>0</v>
      </c>
      <c r="R10" s="232">
        <f t="shared" si="8"/>
        <v>0</v>
      </c>
      <c r="S10" s="233">
        <f t="shared" si="9"/>
        <v>0</v>
      </c>
      <c r="T10" s="231">
        <f t="shared" si="48"/>
        <v>0</v>
      </c>
      <c r="U10" s="228">
        <f t="shared" si="53"/>
        <v>0</v>
      </c>
      <c r="V10" s="232">
        <f t="shared" si="10"/>
        <v>0</v>
      </c>
      <c r="W10" s="233">
        <f t="shared" si="11"/>
        <v>0</v>
      </c>
      <c r="X10" s="231">
        <f t="shared" si="12"/>
        <v>0</v>
      </c>
      <c r="Y10" s="228">
        <f t="shared" si="13"/>
        <v>0</v>
      </c>
      <c r="Z10" s="232">
        <f t="shared" si="14"/>
        <v>0</v>
      </c>
      <c r="AA10" s="233">
        <f t="shared" si="15"/>
        <v>0</v>
      </c>
      <c r="AB10" s="231">
        <f t="shared" si="16"/>
        <v>0</v>
      </c>
      <c r="AC10" s="228">
        <f t="shared" si="17"/>
        <v>0</v>
      </c>
      <c r="AD10" s="232">
        <f t="shared" si="18"/>
        <v>0</v>
      </c>
      <c r="AE10" s="233">
        <f t="shared" si="19"/>
        <v>0</v>
      </c>
      <c r="AF10" s="231">
        <f t="shared" si="20"/>
        <v>0</v>
      </c>
      <c r="AG10" s="234">
        <f t="shared" si="21"/>
        <v>0</v>
      </c>
      <c r="AH10" s="231">
        <f t="shared" si="22"/>
        <v>0</v>
      </c>
      <c r="AI10" s="233">
        <f t="shared" si="23"/>
        <v>0</v>
      </c>
      <c r="AJ10" s="231">
        <f t="shared" si="24"/>
        <v>0</v>
      </c>
      <c r="AK10" s="234">
        <f t="shared" si="25"/>
        <v>0</v>
      </c>
      <c r="AL10" s="231">
        <f t="shared" si="26"/>
        <v>0</v>
      </c>
      <c r="AM10" s="233">
        <f t="shared" si="27"/>
        <v>0</v>
      </c>
      <c r="AN10" s="231">
        <f t="shared" si="28"/>
        <v>0</v>
      </c>
      <c r="AO10" s="234">
        <f t="shared" si="29"/>
        <v>0</v>
      </c>
      <c r="AP10" s="231">
        <f t="shared" si="30"/>
        <v>0</v>
      </c>
      <c r="AQ10" s="233">
        <f t="shared" si="31"/>
        <v>0</v>
      </c>
      <c r="AR10" s="231">
        <f t="shared" si="32"/>
        <v>0</v>
      </c>
      <c r="AS10" s="234">
        <f t="shared" si="33"/>
        <v>0</v>
      </c>
      <c r="AT10" s="231">
        <f t="shared" si="34"/>
        <v>0</v>
      </c>
      <c r="AU10" s="233">
        <f t="shared" si="35"/>
        <v>0</v>
      </c>
      <c r="AV10" s="231">
        <f t="shared" si="36"/>
        <v>0</v>
      </c>
      <c r="AW10" s="234">
        <f t="shared" si="37"/>
        <v>0</v>
      </c>
      <c r="AX10" s="231">
        <f t="shared" si="38"/>
        <v>0</v>
      </c>
      <c r="AY10" s="233">
        <f t="shared" si="39"/>
        <v>0</v>
      </c>
      <c r="AZ10" s="231">
        <f t="shared" si="49"/>
        <v>0</v>
      </c>
      <c r="BA10" s="234">
        <f t="shared" si="40"/>
        <v>0</v>
      </c>
      <c r="BB10" s="231">
        <f t="shared" si="41"/>
        <v>0</v>
      </c>
      <c r="BC10" s="233">
        <f t="shared" si="42"/>
        <v>0</v>
      </c>
      <c r="BD10" s="347">
        <f t="shared" si="43"/>
        <v>0</v>
      </c>
      <c r="BE10" s="231">
        <f t="shared" si="50"/>
        <v>0</v>
      </c>
      <c r="BF10" s="234">
        <f t="shared" si="51"/>
        <v>0</v>
      </c>
      <c r="BG10" s="231">
        <f t="shared" si="52"/>
        <v>0</v>
      </c>
      <c r="BH10" s="233">
        <f t="shared" si="44"/>
        <v>0</v>
      </c>
    </row>
    <row r="11" spans="1:60" s="349" customFormat="1">
      <c r="A11" s="226"/>
      <c r="B11" s="226"/>
      <c r="C11" s="271">
        <v>0</v>
      </c>
      <c r="D11" s="348">
        <v>0</v>
      </c>
      <c r="E11" s="348">
        <v>0</v>
      </c>
      <c r="F11" s="230">
        <f t="shared" si="0"/>
        <v>0</v>
      </c>
      <c r="G11" s="228">
        <f t="shared" si="55"/>
        <v>0</v>
      </c>
      <c r="H11" s="231">
        <f t="shared" si="45"/>
        <v>0</v>
      </c>
      <c r="I11" s="228">
        <f t="shared" si="2"/>
        <v>0</v>
      </c>
      <c r="J11" s="232">
        <f t="shared" si="56"/>
        <v>0</v>
      </c>
      <c r="K11" s="233">
        <f t="shared" si="3"/>
        <v>0</v>
      </c>
      <c r="L11" s="231">
        <f t="shared" si="4"/>
        <v>0</v>
      </c>
      <c r="M11" s="228">
        <f t="shared" si="5"/>
        <v>0</v>
      </c>
      <c r="N11" s="232">
        <f t="shared" si="57"/>
        <v>0</v>
      </c>
      <c r="O11" s="233">
        <f t="shared" si="6"/>
        <v>0</v>
      </c>
      <c r="P11" s="231">
        <f t="shared" si="7"/>
        <v>0</v>
      </c>
      <c r="Q11" s="228">
        <f t="shared" si="47"/>
        <v>0</v>
      </c>
      <c r="R11" s="232">
        <f t="shared" si="8"/>
        <v>0</v>
      </c>
      <c r="S11" s="233">
        <f t="shared" si="9"/>
        <v>0</v>
      </c>
      <c r="T11" s="231">
        <f t="shared" si="48"/>
        <v>0</v>
      </c>
      <c r="U11" s="228">
        <f t="shared" si="53"/>
        <v>0</v>
      </c>
      <c r="V11" s="232">
        <f t="shared" si="10"/>
        <v>0</v>
      </c>
      <c r="W11" s="233">
        <f t="shared" si="11"/>
        <v>0</v>
      </c>
      <c r="X11" s="231">
        <f t="shared" si="12"/>
        <v>0</v>
      </c>
      <c r="Y11" s="228">
        <f t="shared" si="13"/>
        <v>0</v>
      </c>
      <c r="Z11" s="232">
        <f t="shared" si="14"/>
        <v>0</v>
      </c>
      <c r="AA11" s="233">
        <f t="shared" si="15"/>
        <v>0</v>
      </c>
      <c r="AB11" s="231">
        <f t="shared" si="16"/>
        <v>0</v>
      </c>
      <c r="AC11" s="228">
        <f t="shared" si="17"/>
        <v>0</v>
      </c>
      <c r="AD11" s="232">
        <f t="shared" si="18"/>
        <v>0</v>
      </c>
      <c r="AE11" s="233">
        <f t="shared" si="19"/>
        <v>0</v>
      </c>
      <c r="AF11" s="231">
        <f t="shared" si="20"/>
        <v>0</v>
      </c>
      <c r="AG11" s="234">
        <f t="shared" si="21"/>
        <v>0</v>
      </c>
      <c r="AH11" s="231">
        <f t="shared" si="22"/>
        <v>0</v>
      </c>
      <c r="AI11" s="233">
        <f t="shared" si="23"/>
        <v>0</v>
      </c>
      <c r="AJ11" s="231">
        <f t="shared" si="24"/>
        <v>0</v>
      </c>
      <c r="AK11" s="234">
        <f t="shared" si="25"/>
        <v>0</v>
      </c>
      <c r="AL11" s="231">
        <f t="shared" si="26"/>
        <v>0</v>
      </c>
      <c r="AM11" s="233">
        <f t="shared" si="27"/>
        <v>0</v>
      </c>
      <c r="AN11" s="231">
        <f t="shared" si="28"/>
        <v>0</v>
      </c>
      <c r="AO11" s="234">
        <f t="shared" si="29"/>
        <v>0</v>
      </c>
      <c r="AP11" s="231">
        <f t="shared" si="30"/>
        <v>0</v>
      </c>
      <c r="AQ11" s="233">
        <f t="shared" si="31"/>
        <v>0</v>
      </c>
      <c r="AR11" s="231">
        <f t="shared" si="32"/>
        <v>0</v>
      </c>
      <c r="AS11" s="234">
        <f t="shared" si="33"/>
        <v>0</v>
      </c>
      <c r="AT11" s="231">
        <f t="shared" si="34"/>
        <v>0</v>
      </c>
      <c r="AU11" s="233">
        <f t="shared" si="35"/>
        <v>0</v>
      </c>
      <c r="AV11" s="231">
        <f t="shared" si="36"/>
        <v>0</v>
      </c>
      <c r="AW11" s="234">
        <f t="shared" si="37"/>
        <v>0</v>
      </c>
      <c r="AX11" s="231">
        <f t="shared" si="38"/>
        <v>0</v>
      </c>
      <c r="AY11" s="233">
        <f t="shared" si="39"/>
        <v>0</v>
      </c>
      <c r="AZ11" s="231">
        <f t="shared" si="49"/>
        <v>0</v>
      </c>
      <c r="BA11" s="234">
        <f t="shared" si="40"/>
        <v>0</v>
      </c>
      <c r="BB11" s="231">
        <f t="shared" si="41"/>
        <v>0</v>
      </c>
      <c r="BC11" s="233">
        <f t="shared" si="42"/>
        <v>0</v>
      </c>
      <c r="BD11" s="347">
        <f t="shared" si="43"/>
        <v>0</v>
      </c>
      <c r="BE11" s="231">
        <f t="shared" si="50"/>
        <v>0</v>
      </c>
      <c r="BF11" s="234">
        <f t="shared" si="51"/>
        <v>0</v>
      </c>
      <c r="BG11" s="231">
        <f t="shared" si="52"/>
        <v>0</v>
      </c>
      <c r="BH11" s="233">
        <f t="shared" si="44"/>
        <v>0</v>
      </c>
    </row>
    <row r="12" spans="1:60" s="349" customFormat="1">
      <c r="A12" s="226"/>
      <c r="B12" s="226"/>
      <c r="C12" s="271">
        <v>0</v>
      </c>
      <c r="D12" s="348">
        <v>0</v>
      </c>
      <c r="E12" s="348">
        <v>0</v>
      </c>
      <c r="F12" s="230">
        <f t="shared" si="0"/>
        <v>0</v>
      </c>
      <c r="G12" s="228">
        <f t="shared" si="55"/>
        <v>0</v>
      </c>
      <c r="H12" s="231">
        <f t="shared" si="45"/>
        <v>0</v>
      </c>
      <c r="I12" s="228">
        <f t="shared" si="2"/>
        <v>0</v>
      </c>
      <c r="J12" s="232">
        <f t="shared" si="56"/>
        <v>0</v>
      </c>
      <c r="K12" s="233">
        <f t="shared" si="3"/>
        <v>0</v>
      </c>
      <c r="L12" s="231">
        <f t="shared" si="4"/>
        <v>0</v>
      </c>
      <c r="M12" s="228">
        <f t="shared" si="5"/>
        <v>0</v>
      </c>
      <c r="N12" s="232">
        <f t="shared" si="57"/>
        <v>0</v>
      </c>
      <c r="O12" s="233">
        <f t="shared" si="6"/>
        <v>0</v>
      </c>
      <c r="P12" s="231">
        <f t="shared" si="7"/>
        <v>0</v>
      </c>
      <c r="Q12" s="228">
        <f t="shared" si="47"/>
        <v>0</v>
      </c>
      <c r="R12" s="232">
        <f t="shared" si="8"/>
        <v>0</v>
      </c>
      <c r="S12" s="233">
        <f t="shared" si="9"/>
        <v>0</v>
      </c>
      <c r="T12" s="231">
        <f t="shared" si="48"/>
        <v>0</v>
      </c>
      <c r="U12" s="228">
        <f t="shared" si="53"/>
        <v>0</v>
      </c>
      <c r="V12" s="232">
        <f t="shared" si="10"/>
        <v>0</v>
      </c>
      <c r="W12" s="233">
        <f t="shared" si="11"/>
        <v>0</v>
      </c>
      <c r="X12" s="231">
        <f t="shared" si="12"/>
        <v>0</v>
      </c>
      <c r="Y12" s="228">
        <f t="shared" si="13"/>
        <v>0</v>
      </c>
      <c r="Z12" s="232">
        <f t="shared" si="14"/>
        <v>0</v>
      </c>
      <c r="AA12" s="233">
        <f t="shared" si="15"/>
        <v>0</v>
      </c>
      <c r="AB12" s="231">
        <f t="shared" si="16"/>
        <v>0</v>
      </c>
      <c r="AC12" s="228">
        <f t="shared" si="17"/>
        <v>0</v>
      </c>
      <c r="AD12" s="232">
        <f t="shared" si="18"/>
        <v>0</v>
      </c>
      <c r="AE12" s="233">
        <f t="shared" si="19"/>
        <v>0</v>
      </c>
      <c r="AF12" s="231">
        <f t="shared" si="20"/>
        <v>0</v>
      </c>
      <c r="AG12" s="234">
        <f t="shared" si="21"/>
        <v>0</v>
      </c>
      <c r="AH12" s="231">
        <f t="shared" si="22"/>
        <v>0</v>
      </c>
      <c r="AI12" s="233">
        <f t="shared" si="23"/>
        <v>0</v>
      </c>
      <c r="AJ12" s="231">
        <f t="shared" si="24"/>
        <v>0</v>
      </c>
      <c r="AK12" s="234">
        <f t="shared" si="25"/>
        <v>0</v>
      </c>
      <c r="AL12" s="231">
        <f t="shared" si="26"/>
        <v>0</v>
      </c>
      <c r="AM12" s="233">
        <f t="shared" si="27"/>
        <v>0</v>
      </c>
      <c r="AN12" s="231">
        <f t="shared" si="28"/>
        <v>0</v>
      </c>
      <c r="AO12" s="234">
        <f t="shared" si="29"/>
        <v>0</v>
      </c>
      <c r="AP12" s="231">
        <f t="shared" si="30"/>
        <v>0</v>
      </c>
      <c r="AQ12" s="233">
        <f t="shared" si="31"/>
        <v>0</v>
      </c>
      <c r="AR12" s="231">
        <f t="shared" si="32"/>
        <v>0</v>
      </c>
      <c r="AS12" s="234">
        <f t="shared" si="33"/>
        <v>0</v>
      </c>
      <c r="AT12" s="231">
        <f t="shared" si="34"/>
        <v>0</v>
      </c>
      <c r="AU12" s="233">
        <f t="shared" si="35"/>
        <v>0</v>
      </c>
      <c r="AV12" s="231">
        <f t="shared" si="36"/>
        <v>0</v>
      </c>
      <c r="AW12" s="234">
        <f t="shared" si="37"/>
        <v>0</v>
      </c>
      <c r="AX12" s="231">
        <f t="shared" si="38"/>
        <v>0</v>
      </c>
      <c r="AY12" s="233">
        <f t="shared" si="39"/>
        <v>0</v>
      </c>
      <c r="AZ12" s="231">
        <f t="shared" si="49"/>
        <v>0</v>
      </c>
      <c r="BA12" s="234">
        <f t="shared" si="40"/>
        <v>0</v>
      </c>
      <c r="BB12" s="231">
        <f t="shared" si="41"/>
        <v>0</v>
      </c>
      <c r="BC12" s="233">
        <f t="shared" si="42"/>
        <v>0</v>
      </c>
      <c r="BD12" s="347">
        <f t="shared" si="43"/>
        <v>0</v>
      </c>
      <c r="BE12" s="231">
        <f t="shared" si="50"/>
        <v>0</v>
      </c>
      <c r="BF12" s="234">
        <f t="shared" si="51"/>
        <v>0</v>
      </c>
      <c r="BG12" s="231">
        <f t="shared" si="52"/>
        <v>0</v>
      </c>
      <c r="BH12" s="233">
        <f t="shared" si="44"/>
        <v>0</v>
      </c>
    </row>
    <row r="13" spans="1:60" s="349" customFormat="1">
      <c r="A13" s="226"/>
      <c r="B13" s="226"/>
      <c r="C13" s="271">
        <v>0</v>
      </c>
      <c r="D13" s="348">
        <v>0</v>
      </c>
      <c r="E13" s="348">
        <v>0</v>
      </c>
      <c r="F13" s="230">
        <f t="shared" si="0"/>
        <v>0</v>
      </c>
      <c r="G13" s="228">
        <f t="shared" si="55"/>
        <v>0</v>
      </c>
      <c r="H13" s="231">
        <f t="shared" si="45"/>
        <v>0</v>
      </c>
      <c r="I13" s="228">
        <f t="shared" si="2"/>
        <v>0</v>
      </c>
      <c r="J13" s="232">
        <f t="shared" si="56"/>
        <v>0</v>
      </c>
      <c r="K13" s="233">
        <f t="shared" si="3"/>
        <v>0</v>
      </c>
      <c r="L13" s="231">
        <f t="shared" si="4"/>
        <v>0</v>
      </c>
      <c r="M13" s="228">
        <f t="shared" si="5"/>
        <v>0</v>
      </c>
      <c r="N13" s="232">
        <f t="shared" si="57"/>
        <v>0</v>
      </c>
      <c r="O13" s="233">
        <f t="shared" si="6"/>
        <v>0</v>
      </c>
      <c r="P13" s="231">
        <f t="shared" si="7"/>
        <v>0</v>
      </c>
      <c r="Q13" s="228">
        <f t="shared" si="47"/>
        <v>0</v>
      </c>
      <c r="R13" s="232">
        <f t="shared" si="8"/>
        <v>0</v>
      </c>
      <c r="S13" s="233">
        <f t="shared" si="9"/>
        <v>0</v>
      </c>
      <c r="T13" s="231">
        <f t="shared" si="48"/>
        <v>0</v>
      </c>
      <c r="U13" s="228">
        <f t="shared" si="53"/>
        <v>0</v>
      </c>
      <c r="V13" s="232">
        <f t="shared" si="10"/>
        <v>0</v>
      </c>
      <c r="W13" s="233">
        <f t="shared" si="11"/>
        <v>0</v>
      </c>
      <c r="X13" s="231">
        <f t="shared" si="12"/>
        <v>0</v>
      </c>
      <c r="Y13" s="228">
        <f t="shared" si="13"/>
        <v>0</v>
      </c>
      <c r="Z13" s="232">
        <f t="shared" si="14"/>
        <v>0</v>
      </c>
      <c r="AA13" s="233">
        <f t="shared" si="15"/>
        <v>0</v>
      </c>
      <c r="AB13" s="231">
        <f t="shared" si="16"/>
        <v>0</v>
      </c>
      <c r="AC13" s="228">
        <f t="shared" si="17"/>
        <v>0</v>
      </c>
      <c r="AD13" s="232">
        <f t="shared" si="18"/>
        <v>0</v>
      </c>
      <c r="AE13" s="233">
        <f t="shared" si="19"/>
        <v>0</v>
      </c>
      <c r="AF13" s="231">
        <f t="shared" si="20"/>
        <v>0</v>
      </c>
      <c r="AG13" s="234">
        <f t="shared" si="21"/>
        <v>0</v>
      </c>
      <c r="AH13" s="231">
        <f t="shared" si="22"/>
        <v>0</v>
      </c>
      <c r="AI13" s="233">
        <f t="shared" si="23"/>
        <v>0</v>
      </c>
      <c r="AJ13" s="231">
        <f t="shared" si="24"/>
        <v>0</v>
      </c>
      <c r="AK13" s="234">
        <f t="shared" si="25"/>
        <v>0</v>
      </c>
      <c r="AL13" s="231">
        <f t="shared" si="26"/>
        <v>0</v>
      </c>
      <c r="AM13" s="233">
        <f t="shared" si="27"/>
        <v>0</v>
      </c>
      <c r="AN13" s="231">
        <f t="shared" si="28"/>
        <v>0</v>
      </c>
      <c r="AO13" s="234">
        <f t="shared" si="29"/>
        <v>0</v>
      </c>
      <c r="AP13" s="231">
        <f t="shared" si="30"/>
        <v>0</v>
      </c>
      <c r="AQ13" s="233">
        <f t="shared" si="31"/>
        <v>0</v>
      </c>
      <c r="AR13" s="231">
        <f t="shared" si="32"/>
        <v>0</v>
      </c>
      <c r="AS13" s="234">
        <f t="shared" si="33"/>
        <v>0</v>
      </c>
      <c r="AT13" s="231">
        <f t="shared" si="34"/>
        <v>0</v>
      </c>
      <c r="AU13" s="233">
        <f t="shared" si="35"/>
        <v>0</v>
      </c>
      <c r="AV13" s="231">
        <f t="shared" si="36"/>
        <v>0</v>
      </c>
      <c r="AW13" s="234">
        <f t="shared" si="37"/>
        <v>0</v>
      </c>
      <c r="AX13" s="231">
        <f t="shared" si="38"/>
        <v>0</v>
      </c>
      <c r="AY13" s="233">
        <f t="shared" si="39"/>
        <v>0</v>
      </c>
      <c r="AZ13" s="231">
        <f t="shared" si="49"/>
        <v>0</v>
      </c>
      <c r="BA13" s="234">
        <f t="shared" si="40"/>
        <v>0</v>
      </c>
      <c r="BB13" s="231">
        <f t="shared" si="41"/>
        <v>0</v>
      </c>
      <c r="BC13" s="233">
        <f t="shared" si="42"/>
        <v>0</v>
      </c>
      <c r="BD13" s="347">
        <f t="shared" si="43"/>
        <v>0</v>
      </c>
      <c r="BE13" s="231">
        <f t="shared" si="50"/>
        <v>0</v>
      </c>
      <c r="BF13" s="234">
        <f t="shared" si="51"/>
        <v>0</v>
      </c>
      <c r="BG13" s="231">
        <f t="shared" si="52"/>
        <v>0</v>
      </c>
      <c r="BH13" s="233">
        <f t="shared" si="44"/>
        <v>0</v>
      </c>
    </row>
    <row r="14" spans="1:60" s="349" customFormat="1">
      <c r="A14" s="226"/>
      <c r="B14" s="226"/>
      <c r="C14" s="271">
        <v>0</v>
      </c>
      <c r="D14" s="348">
        <v>0</v>
      </c>
      <c r="E14" s="348">
        <v>0</v>
      </c>
      <c r="F14" s="230">
        <f t="shared" si="0"/>
        <v>0</v>
      </c>
      <c r="G14" s="228">
        <f>F14</f>
        <v>0</v>
      </c>
      <c r="H14" s="231">
        <f t="shared" si="45"/>
        <v>0</v>
      </c>
      <c r="I14" s="228">
        <f t="shared" si="2"/>
        <v>0</v>
      </c>
      <c r="J14" s="232">
        <f t="shared" si="56"/>
        <v>0</v>
      </c>
      <c r="K14" s="233">
        <f t="shared" si="3"/>
        <v>0</v>
      </c>
      <c r="L14" s="231">
        <f t="shared" si="4"/>
        <v>0</v>
      </c>
      <c r="M14" s="228">
        <f t="shared" si="5"/>
        <v>0</v>
      </c>
      <c r="N14" s="232">
        <f t="shared" si="57"/>
        <v>0</v>
      </c>
      <c r="O14" s="233">
        <f t="shared" si="6"/>
        <v>0</v>
      </c>
      <c r="P14" s="231">
        <f t="shared" si="7"/>
        <v>0</v>
      </c>
      <c r="Q14" s="228">
        <f t="shared" si="47"/>
        <v>0</v>
      </c>
      <c r="R14" s="232">
        <f t="shared" si="8"/>
        <v>0</v>
      </c>
      <c r="S14" s="233">
        <f t="shared" si="9"/>
        <v>0</v>
      </c>
      <c r="T14" s="231">
        <f t="shared" si="48"/>
        <v>0</v>
      </c>
      <c r="U14" s="228">
        <f t="shared" si="53"/>
        <v>0</v>
      </c>
      <c r="V14" s="232">
        <f t="shared" si="10"/>
        <v>0</v>
      </c>
      <c r="W14" s="233">
        <f t="shared" si="11"/>
        <v>0</v>
      </c>
      <c r="X14" s="231">
        <f t="shared" si="12"/>
        <v>0</v>
      </c>
      <c r="Y14" s="228">
        <f t="shared" si="13"/>
        <v>0</v>
      </c>
      <c r="Z14" s="232">
        <f t="shared" si="14"/>
        <v>0</v>
      </c>
      <c r="AA14" s="233">
        <f t="shared" si="15"/>
        <v>0</v>
      </c>
      <c r="AB14" s="231">
        <f t="shared" si="16"/>
        <v>0</v>
      </c>
      <c r="AC14" s="228">
        <f t="shared" si="17"/>
        <v>0</v>
      </c>
      <c r="AD14" s="232">
        <f t="shared" si="18"/>
        <v>0</v>
      </c>
      <c r="AE14" s="233">
        <f t="shared" si="19"/>
        <v>0</v>
      </c>
      <c r="AF14" s="231">
        <f t="shared" si="20"/>
        <v>0</v>
      </c>
      <c r="AG14" s="234">
        <f t="shared" si="21"/>
        <v>0</v>
      </c>
      <c r="AH14" s="231">
        <f t="shared" si="22"/>
        <v>0</v>
      </c>
      <c r="AI14" s="233">
        <f t="shared" si="23"/>
        <v>0</v>
      </c>
      <c r="AJ14" s="231">
        <f t="shared" si="24"/>
        <v>0</v>
      </c>
      <c r="AK14" s="234">
        <f t="shared" si="25"/>
        <v>0</v>
      </c>
      <c r="AL14" s="231">
        <f t="shared" si="26"/>
        <v>0</v>
      </c>
      <c r="AM14" s="233">
        <f t="shared" si="27"/>
        <v>0</v>
      </c>
      <c r="AN14" s="231">
        <f t="shared" si="28"/>
        <v>0</v>
      </c>
      <c r="AO14" s="234">
        <f t="shared" si="29"/>
        <v>0</v>
      </c>
      <c r="AP14" s="231">
        <f t="shared" si="30"/>
        <v>0</v>
      </c>
      <c r="AQ14" s="233">
        <f t="shared" si="31"/>
        <v>0</v>
      </c>
      <c r="AR14" s="231">
        <f t="shared" si="32"/>
        <v>0</v>
      </c>
      <c r="AS14" s="234">
        <f t="shared" si="33"/>
        <v>0</v>
      </c>
      <c r="AT14" s="231">
        <f t="shared" si="34"/>
        <v>0</v>
      </c>
      <c r="AU14" s="233">
        <f t="shared" si="35"/>
        <v>0</v>
      </c>
      <c r="AV14" s="231">
        <f t="shared" si="36"/>
        <v>0</v>
      </c>
      <c r="AW14" s="234">
        <f t="shared" si="37"/>
        <v>0</v>
      </c>
      <c r="AX14" s="231">
        <f t="shared" si="38"/>
        <v>0</v>
      </c>
      <c r="AY14" s="233">
        <f t="shared" si="39"/>
        <v>0</v>
      </c>
      <c r="AZ14" s="231">
        <f t="shared" si="49"/>
        <v>0</v>
      </c>
      <c r="BA14" s="234">
        <f t="shared" si="40"/>
        <v>0</v>
      </c>
      <c r="BB14" s="231">
        <f t="shared" si="41"/>
        <v>0</v>
      </c>
      <c r="BC14" s="233">
        <f t="shared" si="42"/>
        <v>0</v>
      </c>
      <c r="BD14" s="347">
        <f t="shared" si="43"/>
        <v>0</v>
      </c>
      <c r="BE14" s="231">
        <f t="shared" si="50"/>
        <v>0</v>
      </c>
      <c r="BF14" s="234">
        <f t="shared" si="51"/>
        <v>0</v>
      </c>
      <c r="BG14" s="231">
        <f t="shared" si="52"/>
        <v>0</v>
      </c>
      <c r="BH14" s="233">
        <f t="shared" si="44"/>
        <v>0</v>
      </c>
    </row>
    <row r="15" spans="1:60" s="349" customFormat="1">
      <c r="A15" s="226"/>
      <c r="B15" s="226"/>
      <c r="C15" s="271">
        <v>0</v>
      </c>
      <c r="D15" s="348">
        <v>0</v>
      </c>
      <c r="E15" s="348">
        <v>0</v>
      </c>
      <c r="F15" s="230">
        <f t="shared" si="0"/>
        <v>0</v>
      </c>
      <c r="G15" s="228">
        <f>F15</f>
        <v>0</v>
      </c>
      <c r="H15" s="231">
        <f t="shared" si="45"/>
        <v>0</v>
      </c>
      <c r="I15" s="228">
        <f t="shared" si="2"/>
        <v>0</v>
      </c>
      <c r="J15" s="232">
        <f t="shared" si="56"/>
        <v>0</v>
      </c>
      <c r="K15" s="233">
        <f t="shared" si="3"/>
        <v>0</v>
      </c>
      <c r="L15" s="231">
        <f t="shared" si="4"/>
        <v>0</v>
      </c>
      <c r="M15" s="228">
        <f t="shared" si="5"/>
        <v>0</v>
      </c>
      <c r="N15" s="232">
        <f>M15*$D15</f>
        <v>0</v>
      </c>
      <c r="O15" s="233">
        <f t="shared" si="6"/>
        <v>0</v>
      </c>
      <c r="P15" s="231">
        <f t="shared" si="7"/>
        <v>0</v>
      </c>
      <c r="Q15" s="228">
        <f t="shared" si="47"/>
        <v>0</v>
      </c>
      <c r="R15" s="232">
        <f>Q15*$D15</f>
        <v>0</v>
      </c>
      <c r="S15" s="233">
        <f t="shared" si="9"/>
        <v>0</v>
      </c>
      <c r="T15" s="231">
        <f t="shared" si="48"/>
        <v>0</v>
      </c>
      <c r="U15" s="228">
        <f t="shared" si="53"/>
        <v>0</v>
      </c>
      <c r="V15" s="232">
        <f t="shared" si="10"/>
        <v>0</v>
      </c>
      <c r="W15" s="233">
        <f t="shared" si="11"/>
        <v>0</v>
      </c>
      <c r="X15" s="231">
        <f t="shared" si="12"/>
        <v>0</v>
      </c>
      <c r="Y15" s="228">
        <f t="shared" si="13"/>
        <v>0</v>
      </c>
      <c r="Z15" s="232">
        <f t="shared" si="14"/>
        <v>0</v>
      </c>
      <c r="AA15" s="233">
        <f t="shared" si="15"/>
        <v>0</v>
      </c>
      <c r="AB15" s="231">
        <f t="shared" si="16"/>
        <v>0</v>
      </c>
      <c r="AC15" s="228">
        <f t="shared" si="17"/>
        <v>0</v>
      </c>
      <c r="AD15" s="232">
        <f t="shared" si="18"/>
        <v>0</v>
      </c>
      <c r="AE15" s="233">
        <f t="shared" si="19"/>
        <v>0</v>
      </c>
      <c r="AF15" s="231">
        <f t="shared" si="20"/>
        <v>0</v>
      </c>
      <c r="AG15" s="234">
        <f t="shared" si="21"/>
        <v>0</v>
      </c>
      <c r="AH15" s="231">
        <f t="shared" si="22"/>
        <v>0</v>
      </c>
      <c r="AI15" s="233">
        <f t="shared" si="23"/>
        <v>0</v>
      </c>
      <c r="AJ15" s="231">
        <f t="shared" si="24"/>
        <v>0</v>
      </c>
      <c r="AK15" s="234">
        <f t="shared" si="25"/>
        <v>0</v>
      </c>
      <c r="AL15" s="231">
        <f t="shared" si="26"/>
        <v>0</v>
      </c>
      <c r="AM15" s="233">
        <f t="shared" si="27"/>
        <v>0</v>
      </c>
      <c r="AN15" s="231">
        <f t="shared" si="28"/>
        <v>0</v>
      </c>
      <c r="AO15" s="234">
        <f t="shared" si="29"/>
        <v>0</v>
      </c>
      <c r="AP15" s="231">
        <f t="shared" si="30"/>
        <v>0</v>
      </c>
      <c r="AQ15" s="233">
        <f t="shared" si="31"/>
        <v>0</v>
      </c>
      <c r="AR15" s="231">
        <f t="shared" si="32"/>
        <v>0</v>
      </c>
      <c r="AS15" s="234">
        <f t="shared" si="33"/>
        <v>0</v>
      </c>
      <c r="AT15" s="231">
        <f t="shared" si="34"/>
        <v>0</v>
      </c>
      <c r="AU15" s="233">
        <f t="shared" si="35"/>
        <v>0</v>
      </c>
      <c r="AV15" s="231">
        <f t="shared" si="36"/>
        <v>0</v>
      </c>
      <c r="AW15" s="234">
        <f t="shared" si="37"/>
        <v>0</v>
      </c>
      <c r="AX15" s="231">
        <f t="shared" si="38"/>
        <v>0</v>
      </c>
      <c r="AY15" s="233">
        <f t="shared" si="39"/>
        <v>0</v>
      </c>
      <c r="AZ15" s="231">
        <f t="shared" si="49"/>
        <v>0</v>
      </c>
      <c r="BA15" s="234">
        <f t="shared" si="40"/>
        <v>0</v>
      </c>
      <c r="BB15" s="231">
        <f t="shared" si="41"/>
        <v>0</v>
      </c>
      <c r="BC15" s="233">
        <f t="shared" si="42"/>
        <v>0</v>
      </c>
      <c r="BD15" s="347">
        <f t="shared" si="43"/>
        <v>0</v>
      </c>
      <c r="BE15" s="231">
        <f t="shared" si="50"/>
        <v>0</v>
      </c>
      <c r="BF15" s="234">
        <f t="shared" si="51"/>
        <v>0</v>
      </c>
      <c r="BG15" s="231">
        <f>BF15*$D15</f>
        <v>0</v>
      </c>
      <c r="BH15" s="233">
        <f t="shared" si="44"/>
        <v>0</v>
      </c>
    </row>
    <row r="16" spans="1:60" s="349" customFormat="1">
      <c r="A16" s="226"/>
      <c r="B16" s="226"/>
      <c r="C16" s="271">
        <v>0</v>
      </c>
      <c r="D16" s="348">
        <v>0</v>
      </c>
      <c r="E16" s="348">
        <v>0</v>
      </c>
      <c r="F16" s="230">
        <f t="shared" si="0"/>
        <v>0</v>
      </c>
      <c r="G16" s="228">
        <f>F16</f>
        <v>0</v>
      </c>
      <c r="H16" s="231">
        <f t="shared" si="45"/>
        <v>0</v>
      </c>
      <c r="I16" s="228">
        <f t="shared" si="2"/>
        <v>0</v>
      </c>
      <c r="J16" s="232">
        <f t="shared" si="54"/>
        <v>0</v>
      </c>
      <c r="K16" s="233">
        <f t="shared" si="3"/>
        <v>0</v>
      </c>
      <c r="L16" s="231">
        <f t="shared" si="4"/>
        <v>0</v>
      </c>
      <c r="M16" s="228">
        <f t="shared" si="5"/>
        <v>0</v>
      </c>
      <c r="N16" s="232">
        <f>M16*$D16</f>
        <v>0</v>
      </c>
      <c r="O16" s="233">
        <f t="shared" si="6"/>
        <v>0</v>
      </c>
      <c r="P16" s="231">
        <f t="shared" si="7"/>
        <v>0</v>
      </c>
      <c r="Q16" s="228">
        <f t="shared" si="47"/>
        <v>0</v>
      </c>
      <c r="R16" s="232">
        <f>Q16*$D16</f>
        <v>0</v>
      </c>
      <c r="S16" s="233">
        <f t="shared" si="9"/>
        <v>0</v>
      </c>
      <c r="T16" s="231">
        <f t="shared" si="48"/>
        <v>0</v>
      </c>
      <c r="U16" s="228">
        <f t="shared" si="53"/>
        <v>0</v>
      </c>
      <c r="V16" s="232">
        <f t="shared" si="10"/>
        <v>0</v>
      </c>
      <c r="W16" s="233">
        <f t="shared" si="11"/>
        <v>0</v>
      </c>
      <c r="X16" s="231">
        <f t="shared" si="12"/>
        <v>0</v>
      </c>
      <c r="Y16" s="228">
        <f t="shared" si="13"/>
        <v>0</v>
      </c>
      <c r="Z16" s="232">
        <f t="shared" si="14"/>
        <v>0</v>
      </c>
      <c r="AA16" s="233">
        <f t="shared" si="15"/>
        <v>0</v>
      </c>
      <c r="AB16" s="231">
        <f t="shared" si="16"/>
        <v>0</v>
      </c>
      <c r="AC16" s="228">
        <f t="shared" si="17"/>
        <v>0</v>
      </c>
      <c r="AD16" s="232">
        <f t="shared" si="18"/>
        <v>0</v>
      </c>
      <c r="AE16" s="233">
        <f t="shared" si="19"/>
        <v>0</v>
      </c>
      <c r="AF16" s="231">
        <f t="shared" si="20"/>
        <v>0</v>
      </c>
      <c r="AG16" s="234">
        <f t="shared" si="21"/>
        <v>0</v>
      </c>
      <c r="AH16" s="231">
        <f t="shared" si="22"/>
        <v>0</v>
      </c>
      <c r="AI16" s="233">
        <f t="shared" si="23"/>
        <v>0</v>
      </c>
      <c r="AJ16" s="231">
        <f t="shared" si="24"/>
        <v>0</v>
      </c>
      <c r="AK16" s="234">
        <f t="shared" si="25"/>
        <v>0</v>
      </c>
      <c r="AL16" s="231">
        <f t="shared" si="26"/>
        <v>0</v>
      </c>
      <c r="AM16" s="233">
        <f t="shared" si="27"/>
        <v>0</v>
      </c>
      <c r="AN16" s="231">
        <f t="shared" si="28"/>
        <v>0</v>
      </c>
      <c r="AO16" s="234">
        <f t="shared" si="29"/>
        <v>0</v>
      </c>
      <c r="AP16" s="231">
        <f t="shared" si="30"/>
        <v>0</v>
      </c>
      <c r="AQ16" s="233">
        <f t="shared" si="31"/>
        <v>0</v>
      </c>
      <c r="AR16" s="231">
        <f t="shared" si="32"/>
        <v>0</v>
      </c>
      <c r="AS16" s="234">
        <f t="shared" si="33"/>
        <v>0</v>
      </c>
      <c r="AT16" s="231">
        <f t="shared" si="34"/>
        <v>0</v>
      </c>
      <c r="AU16" s="233">
        <f t="shared" si="35"/>
        <v>0</v>
      </c>
      <c r="AV16" s="231">
        <f t="shared" si="36"/>
        <v>0</v>
      </c>
      <c r="AW16" s="234">
        <f t="shared" si="37"/>
        <v>0</v>
      </c>
      <c r="AX16" s="231">
        <f t="shared" si="38"/>
        <v>0</v>
      </c>
      <c r="AY16" s="233">
        <f t="shared" si="39"/>
        <v>0</v>
      </c>
      <c r="AZ16" s="231">
        <f t="shared" si="49"/>
        <v>0</v>
      </c>
      <c r="BA16" s="234">
        <f t="shared" si="40"/>
        <v>0</v>
      </c>
      <c r="BB16" s="231">
        <f t="shared" si="41"/>
        <v>0</v>
      </c>
      <c r="BC16" s="233">
        <f t="shared" si="42"/>
        <v>0</v>
      </c>
      <c r="BD16" s="347">
        <f t="shared" si="43"/>
        <v>0</v>
      </c>
      <c r="BE16" s="231">
        <f t="shared" si="50"/>
        <v>0</v>
      </c>
      <c r="BF16" s="234">
        <f t="shared" si="51"/>
        <v>0</v>
      </c>
      <c r="BG16" s="231">
        <f t="shared" si="52"/>
        <v>0</v>
      </c>
      <c r="BH16" s="233">
        <f t="shared" si="44"/>
        <v>0</v>
      </c>
    </row>
    <row r="17" spans="1:60" s="349" customFormat="1">
      <c r="A17" s="237"/>
      <c r="B17" s="237"/>
      <c r="C17" s="238"/>
      <c r="D17" s="239"/>
      <c r="E17" s="240">
        <f>SUM(E4:E16)</f>
        <v>5.3551262919131336E-2</v>
      </c>
      <c r="F17" s="241">
        <f>SUM(F4:F16)</f>
        <v>1</v>
      </c>
      <c r="G17" s="239">
        <f t="shared" si="1"/>
        <v>1</v>
      </c>
      <c r="H17" s="242">
        <f>SUM(H4:H16)</f>
        <v>1.0987879084005501</v>
      </c>
      <c r="I17" s="239">
        <f>SUM(I4:I16)</f>
        <v>1</v>
      </c>
      <c r="J17" s="243">
        <f t="shared" ref="J17:BC17" si="58">SUM(J4:J16)</f>
        <v>21.373841276631925</v>
      </c>
      <c r="K17" s="241">
        <f t="shared" si="58"/>
        <v>1</v>
      </c>
      <c r="L17" s="242">
        <f t="shared" si="58"/>
        <v>1.1871726341634283</v>
      </c>
      <c r="M17" s="239">
        <f t="shared" si="58"/>
        <v>1</v>
      </c>
      <c r="N17" s="243">
        <f>SUM(N4:N16)</f>
        <v>21.345010978059417</v>
      </c>
      <c r="O17" s="241">
        <f t="shared" si="58"/>
        <v>1</v>
      </c>
      <c r="P17" s="242">
        <f t="shared" si="58"/>
        <v>1.3376401121468702</v>
      </c>
      <c r="Q17" s="239">
        <f t="shared" si="58"/>
        <v>1</v>
      </c>
      <c r="R17" s="243">
        <f t="shared" si="58"/>
        <v>21.301071118727549</v>
      </c>
      <c r="S17" s="241">
        <f t="shared" si="58"/>
        <v>1</v>
      </c>
      <c r="T17" s="242">
        <f>SUM(T4:T16)</f>
        <v>1.5183724471828577</v>
      </c>
      <c r="U17" s="239">
        <f>SUM(U4:U16)</f>
        <v>1</v>
      </c>
      <c r="V17" s="243">
        <f t="shared" ref="V17:W17" si="59">SUM(V4:V16)</f>
        <v>21.255102921938985</v>
      </c>
      <c r="W17" s="241">
        <f t="shared" si="59"/>
        <v>1</v>
      </c>
      <c r="X17" s="242">
        <f t="shared" si="58"/>
        <v>1.8974525476984481</v>
      </c>
      <c r="Y17" s="239">
        <f t="shared" si="58"/>
        <v>1</v>
      </c>
      <c r="Z17" s="243">
        <f t="shared" si="58"/>
        <v>21.175980116146924</v>
      </c>
      <c r="AA17" s="241">
        <f t="shared" si="58"/>
        <v>0.99999999999999989</v>
      </c>
      <c r="AB17" s="242">
        <f t="shared" si="58"/>
        <v>2.2493081284170593</v>
      </c>
      <c r="AC17" s="239">
        <f t="shared" si="58"/>
        <v>1</v>
      </c>
      <c r="AD17" s="243">
        <f t="shared" si="58"/>
        <v>21.117041023918066</v>
      </c>
      <c r="AE17" s="241">
        <f t="shared" si="58"/>
        <v>1</v>
      </c>
      <c r="AF17" s="242">
        <f t="shared" si="58"/>
        <v>2.8475869839690473</v>
      </c>
      <c r="AG17" s="239">
        <f t="shared" si="58"/>
        <v>1</v>
      </c>
      <c r="AH17" s="243">
        <f t="shared" si="58"/>
        <v>21.037367186744142</v>
      </c>
      <c r="AI17" s="241">
        <f t="shared" si="58"/>
        <v>0.99999999999999989</v>
      </c>
      <c r="AJ17" s="242">
        <f t="shared" si="58"/>
        <v>2.79527816092993</v>
      </c>
      <c r="AK17" s="239">
        <f t="shared" si="58"/>
        <v>1</v>
      </c>
      <c r="AL17" s="243">
        <f t="shared" si="58"/>
        <v>21.043545482631753</v>
      </c>
      <c r="AM17" s="241">
        <f t="shared" si="58"/>
        <v>1</v>
      </c>
      <c r="AN17" s="242">
        <f t="shared" si="58"/>
        <v>2.3936911442254858</v>
      </c>
      <c r="AO17" s="239">
        <f t="shared" si="58"/>
        <v>1</v>
      </c>
      <c r="AP17" s="243">
        <f t="shared" si="58"/>
        <v>21.095795306636589</v>
      </c>
      <c r="AQ17" s="241">
        <f t="shared" si="58"/>
        <v>1</v>
      </c>
      <c r="AR17" s="242">
        <f t="shared" si="58"/>
        <v>1.7017293079593572</v>
      </c>
      <c r="AS17" s="239">
        <f t="shared" si="58"/>
        <v>1</v>
      </c>
      <c r="AT17" s="243">
        <f t="shared" si="58"/>
        <v>21.214357585102817</v>
      </c>
      <c r="AU17" s="241">
        <f t="shared" si="58"/>
        <v>1</v>
      </c>
      <c r="AV17" s="242">
        <f t="shared" si="58"/>
        <v>1.2817437844153947</v>
      </c>
      <c r="AW17" s="239">
        <f t="shared" si="58"/>
        <v>1</v>
      </c>
      <c r="AX17" s="243">
        <f t="shared" si="58"/>
        <v>21.316715118265076</v>
      </c>
      <c r="AY17" s="241">
        <f t="shared" si="58"/>
        <v>1</v>
      </c>
      <c r="AZ17" s="242">
        <f t="shared" si="58"/>
        <v>1.0760823140653248</v>
      </c>
      <c r="BA17" s="239">
        <f t="shared" si="58"/>
        <v>1</v>
      </c>
      <c r="BB17" s="243">
        <f t="shared" si="58"/>
        <v>21.381668813755304</v>
      </c>
      <c r="BC17" s="241">
        <f t="shared" si="58"/>
        <v>1</v>
      </c>
      <c r="BD17" s="238">
        <f>SUM(BD4:BD16)</f>
        <v>1.0315213906899205</v>
      </c>
      <c r="BE17" s="242">
        <f t="shared" ref="BE17:BH17" si="60">SUM(BE4:BE16)</f>
        <v>6.6441565308368258</v>
      </c>
      <c r="BF17" s="239">
        <f t="shared" si="60"/>
        <v>1</v>
      </c>
      <c r="BG17" s="243">
        <f t="shared" si="60"/>
        <v>20.769979479313715</v>
      </c>
      <c r="BH17" s="241">
        <f t="shared" si="60"/>
        <v>0.99999999999999989</v>
      </c>
    </row>
    <row r="18" spans="1:60" s="349" customFormat="1">
      <c r="A18" s="221"/>
      <c r="B18" s="244"/>
      <c r="C18" s="221"/>
      <c r="D18" s="221"/>
      <c r="E18" s="221"/>
      <c r="F18" s="221"/>
      <c r="G18" s="221"/>
      <c r="H18" s="350">
        <f>H17/101.325*14.696</f>
        <v>0.15936626796796924</v>
      </c>
      <c r="I18" s="246" t="s">
        <v>1634</v>
      </c>
      <c r="J18" s="247"/>
      <c r="K18" s="248"/>
      <c r="L18" s="350">
        <f>L17/101.325*14.696</f>
        <v>0.17218543332509983</v>
      </c>
      <c r="M18" s="246" t="s">
        <v>1634</v>
      </c>
      <c r="N18" s="247"/>
      <c r="O18" s="248"/>
      <c r="P18" s="350">
        <f>P17/101.325*14.696</f>
        <v>0.19400897200207651</v>
      </c>
      <c r="Q18" s="246" t="s">
        <v>1634</v>
      </c>
      <c r="R18" s="247"/>
      <c r="S18" s="248"/>
      <c r="T18" s="350">
        <f>T17/101.325*14.696</f>
        <v>0.22022207237897137</v>
      </c>
      <c r="U18" s="246" t="s">
        <v>1634</v>
      </c>
      <c r="V18" s="247"/>
      <c r="W18" s="248"/>
      <c r="X18" s="350">
        <f>X17/101.325*14.696</f>
        <v>0.27520318421886397</v>
      </c>
      <c r="Y18" s="246" t="s">
        <v>1634</v>
      </c>
      <c r="Z18" s="247"/>
      <c r="AA18" s="248"/>
      <c r="AB18" s="350">
        <f>AB17/101.325*14.696</f>
        <v>0.32623569953335407</v>
      </c>
      <c r="AC18" s="246" t="s">
        <v>1634</v>
      </c>
      <c r="AD18" s="247"/>
      <c r="AE18" s="248"/>
      <c r="AF18" s="350">
        <f>AF17/101.325*14.696</f>
        <v>0.41300901373214027</v>
      </c>
      <c r="AG18" s="246" t="s">
        <v>1634</v>
      </c>
      <c r="AH18" s="247"/>
      <c r="AI18" s="248"/>
      <c r="AJ18" s="350">
        <f>AJ17/101.325*14.696</f>
        <v>0.405422233930681</v>
      </c>
      <c r="AK18" s="246" t="s">
        <v>1634</v>
      </c>
      <c r="AL18" s="247"/>
      <c r="AM18" s="248"/>
      <c r="AN18" s="350">
        <f>AN17/101.325*14.696</f>
        <v>0.34717675850518365</v>
      </c>
      <c r="AO18" s="246" t="s">
        <v>1634</v>
      </c>
      <c r="AP18" s="247"/>
      <c r="AQ18" s="248"/>
      <c r="AR18" s="350">
        <f>AR17/101.325*14.696</f>
        <v>0.2468158293587043</v>
      </c>
      <c r="AS18" s="246" t="s">
        <v>1634</v>
      </c>
      <c r="AT18" s="247"/>
      <c r="AU18" s="248"/>
      <c r="AV18" s="350">
        <f>AV17/101.325*14.696</f>
        <v>0.18590186682229104</v>
      </c>
      <c r="AW18" s="246" t="s">
        <v>1634</v>
      </c>
      <c r="AX18" s="247"/>
      <c r="AY18" s="248"/>
      <c r="AZ18" s="350">
        <f>AZ17/101.325*14.696</f>
        <v>0.15607308845303738</v>
      </c>
      <c r="BA18" s="246" t="s">
        <v>1634</v>
      </c>
      <c r="BB18" s="247"/>
      <c r="BC18" s="248"/>
      <c r="BD18" s="247"/>
      <c r="BE18" s="350">
        <f>BE17/101.325*14.696</f>
        <v>0.96365679128722415</v>
      </c>
      <c r="BF18" s="246" t="s">
        <v>1634</v>
      </c>
      <c r="BG18" s="247"/>
      <c r="BH18" s="248"/>
    </row>
    <row r="19" spans="1:60" s="349" customFormat="1">
      <c r="A19" s="221"/>
      <c r="B19" s="221"/>
      <c r="C19" s="221"/>
      <c r="D19" s="221"/>
      <c r="E19" s="221"/>
      <c r="F19" s="221"/>
      <c r="G19" s="221"/>
      <c r="H19" s="221"/>
      <c r="I19" s="221"/>
      <c r="J19" s="221"/>
      <c r="K19" s="221"/>
      <c r="L19" s="221"/>
      <c r="M19" s="221"/>
      <c r="N19" s="221"/>
    </row>
    <row r="20" spans="1:60" s="349" customFormat="1">
      <c r="A20" s="221"/>
      <c r="B20" s="221"/>
      <c r="C20" s="221"/>
      <c r="D20" s="221"/>
      <c r="E20" s="221"/>
      <c r="F20" s="221"/>
      <c r="G20" s="221"/>
      <c r="H20" s="221"/>
      <c r="I20" s="221"/>
      <c r="J20" s="221"/>
      <c r="K20" s="221"/>
      <c r="L20" s="221"/>
      <c r="M20" s="221"/>
      <c r="N20" s="221"/>
    </row>
    <row r="21" spans="1:60" s="349" customFormat="1">
      <c r="A21" s="221"/>
      <c r="B21" s="221"/>
      <c r="C21" s="221"/>
      <c r="D21" s="221"/>
      <c r="E21" s="221"/>
      <c r="F21" s="221"/>
      <c r="G21" s="221"/>
      <c r="H21" s="221"/>
      <c r="I21" s="221"/>
      <c r="J21" s="221"/>
      <c r="K21" s="221"/>
      <c r="L21" s="221"/>
      <c r="M21" s="221"/>
      <c r="N21" s="221"/>
      <c r="T21" s="349" t="s">
        <v>1659</v>
      </c>
    </row>
    <row r="22" spans="1:60" s="349" customFormat="1" ht="18" customHeight="1">
      <c r="A22" s="221"/>
      <c r="B22" s="222" t="s">
        <v>1636</v>
      </c>
      <c r="C22" s="349">
        <f>CONVERT(C23,"C","Rank")</f>
        <v>536.66999999999996</v>
      </c>
      <c r="D22" s="221" t="s">
        <v>1637</v>
      </c>
      <c r="E22" s="221"/>
      <c r="F22" s="221"/>
      <c r="G22" s="221" t="s">
        <v>1637</v>
      </c>
      <c r="H22" s="351">
        <v>501.4</v>
      </c>
      <c r="I22" s="352">
        <v>503.45</v>
      </c>
      <c r="J22" s="352">
        <v>506.65</v>
      </c>
      <c r="K22" s="352">
        <v>510.09999999999997</v>
      </c>
      <c r="L22" s="352">
        <v>516.29999999999995</v>
      </c>
      <c r="M22" s="352">
        <v>521.15</v>
      </c>
      <c r="N22" s="352">
        <v>528.04999999999995</v>
      </c>
      <c r="O22" s="352">
        <v>527.5</v>
      </c>
      <c r="P22" s="352">
        <v>522.95000000000005</v>
      </c>
      <c r="Q22" s="352">
        <v>513.25</v>
      </c>
      <c r="R22" s="352">
        <v>505.5</v>
      </c>
      <c r="S22" s="352">
        <v>500.85</v>
      </c>
      <c r="T22" s="353">
        <f>459.67+95</f>
        <v>554.67000000000007</v>
      </c>
    </row>
    <row r="23" spans="1:60" s="349" customFormat="1">
      <c r="A23" s="221"/>
      <c r="B23" s="226" t="s">
        <v>1638</v>
      </c>
      <c r="C23" s="228">
        <v>25</v>
      </c>
      <c r="D23" s="354" t="s">
        <v>1639</v>
      </c>
      <c r="E23" s="221"/>
      <c r="F23" s="221"/>
      <c r="G23" s="221" t="s">
        <v>1640</v>
      </c>
      <c r="H23" s="355">
        <f>CONVERT(H22,"Rank", "C")</f>
        <v>5.4055555555555657</v>
      </c>
      <c r="I23" s="355">
        <f t="shared" ref="I23:P23" si="61">CONVERT(I22,"Rank", "C")</f>
        <v>6.5444444444444798</v>
      </c>
      <c r="J23" s="355">
        <f t="shared" si="61"/>
        <v>8.3222222222222513</v>
      </c>
      <c r="K23" s="355">
        <f t="shared" si="61"/>
        <v>10.23888888888888</v>
      </c>
      <c r="L23" s="355">
        <f t="shared" si="61"/>
        <v>13.683333333333337</v>
      </c>
      <c r="M23" s="355">
        <f t="shared" si="61"/>
        <v>16.377777777777794</v>
      </c>
      <c r="N23" s="355">
        <f t="shared" si="61"/>
        <v>20.211111111111109</v>
      </c>
      <c r="O23" s="355">
        <f t="shared" si="61"/>
        <v>19.905555555555566</v>
      </c>
      <c r="P23" s="355">
        <f t="shared" si="61"/>
        <v>17.377777777777794</v>
      </c>
      <c r="Q23" s="355">
        <f>CONVERT(Q22,"Rank", "C")</f>
        <v>11.98888888888888</v>
      </c>
      <c r="R23" s="355">
        <f>CONVERT(R22,"Rank", "C")</f>
        <v>7.6833333333333371</v>
      </c>
      <c r="S23" s="355">
        <f>CONVERT(S22,"Rank", "C")</f>
        <v>5.1000000000000227</v>
      </c>
      <c r="T23" s="355">
        <f>CONVERT(T22,"Rank", "C")</f>
        <v>35.000000000000057</v>
      </c>
    </row>
    <row r="24" spans="1:60" s="349" customFormat="1">
      <c r="A24" s="221"/>
      <c r="B24" s="226" t="s">
        <v>1641</v>
      </c>
      <c r="C24" s="354">
        <f>760*(1/760)*101.325</f>
        <v>101.325</v>
      </c>
      <c r="D24" s="354" t="s">
        <v>1642</v>
      </c>
      <c r="E24" s="221"/>
      <c r="F24" s="221"/>
      <c r="G24" s="221" t="s">
        <v>1634</v>
      </c>
      <c r="H24" s="356">
        <f>H18</f>
        <v>0.15936626796796924</v>
      </c>
      <c r="I24" s="356">
        <f>L18</f>
        <v>0.17218543332509983</v>
      </c>
      <c r="J24" s="356">
        <f>P18</f>
        <v>0.19400897200207651</v>
      </c>
      <c r="K24" s="356">
        <f>T18</f>
        <v>0.22022207237897137</v>
      </c>
      <c r="L24" s="356">
        <f>X18</f>
        <v>0.27520318421886397</v>
      </c>
      <c r="M24" s="356">
        <f>AB18</f>
        <v>0.32623569953335407</v>
      </c>
      <c r="N24" s="356">
        <f>AF18</f>
        <v>0.41300901373214027</v>
      </c>
      <c r="O24" s="356">
        <f>AJ18</f>
        <v>0.405422233930681</v>
      </c>
      <c r="P24" s="356">
        <f>AN18</f>
        <v>0.34717675850518365</v>
      </c>
      <c r="Q24" s="356">
        <f>AR18</f>
        <v>0.2468158293587043</v>
      </c>
      <c r="R24" s="356">
        <f>AV18</f>
        <v>0.18590186682229104</v>
      </c>
      <c r="S24" s="356">
        <f>AZ18</f>
        <v>0.15607308845303738</v>
      </c>
      <c r="T24" s="356">
        <f>BE18</f>
        <v>0.96365679128722415</v>
      </c>
    </row>
    <row r="25" spans="1:60" s="349" customFormat="1">
      <c r="A25" s="221"/>
      <c r="B25" s="221"/>
      <c r="C25" s="221"/>
      <c r="D25" s="221"/>
      <c r="E25" s="221"/>
      <c r="F25" s="221"/>
      <c r="G25" s="221" t="s">
        <v>1643</v>
      </c>
      <c r="H25" s="357">
        <f>J17</f>
        <v>21.373841276631925</v>
      </c>
      <c r="I25" s="357">
        <f>N17</f>
        <v>21.345010978059417</v>
      </c>
      <c r="J25" s="357">
        <f>R17</f>
        <v>21.301071118727549</v>
      </c>
      <c r="K25" s="357">
        <f>V17</f>
        <v>21.255102921938985</v>
      </c>
      <c r="L25" s="357">
        <f>Z17</f>
        <v>21.175980116146924</v>
      </c>
      <c r="M25" s="357">
        <f>AD17</f>
        <v>21.117041023918066</v>
      </c>
      <c r="N25" s="357">
        <f>AH17</f>
        <v>21.037367186744142</v>
      </c>
      <c r="O25" s="357">
        <f>AL17</f>
        <v>21.043545482631753</v>
      </c>
      <c r="P25" s="357">
        <f>AP17</f>
        <v>21.095795306636589</v>
      </c>
      <c r="Q25" s="357">
        <f>AT17</f>
        <v>21.214357585102817</v>
      </c>
      <c r="R25" s="357">
        <f>AX17</f>
        <v>21.316715118265076</v>
      </c>
      <c r="S25" s="358">
        <f>BB17</f>
        <v>21.381668813755304</v>
      </c>
      <c r="T25" s="358">
        <f>BC17</f>
        <v>1</v>
      </c>
    </row>
    <row r="26" spans="1:60" s="349" customFormat="1" ht="18" customHeight="1">
      <c r="A26" s="221"/>
      <c r="B26" s="222" t="s">
        <v>1644</v>
      </c>
      <c r="C26" s="221"/>
      <c r="D26" s="221"/>
      <c r="E26" s="221"/>
      <c r="F26" s="221"/>
      <c r="G26" s="221"/>
      <c r="H26" s="221"/>
      <c r="I26" s="221"/>
      <c r="J26" s="221"/>
      <c r="K26" s="221"/>
      <c r="L26" s="221"/>
      <c r="M26" s="221"/>
      <c r="N26" s="221"/>
    </row>
    <row r="27" spans="1:60" s="349" customFormat="1" ht="16.2">
      <c r="A27" s="393" t="s">
        <v>24</v>
      </c>
      <c r="B27" s="393" t="s">
        <v>1621</v>
      </c>
      <c r="C27" s="395" t="s">
        <v>1645</v>
      </c>
      <c r="D27" s="396"/>
      <c r="E27" s="397"/>
      <c r="F27" s="395" t="s">
        <v>1685</v>
      </c>
      <c r="G27" s="397"/>
      <c r="H27" s="221"/>
      <c r="I27" s="221"/>
      <c r="J27" s="221"/>
      <c r="K27" s="221"/>
      <c r="L27" s="221"/>
      <c r="M27" s="221"/>
      <c r="N27" s="221"/>
    </row>
    <row r="28" spans="1:60" s="349" customFormat="1">
      <c r="A28" s="394"/>
      <c r="B28" s="394"/>
      <c r="C28" s="224" t="s">
        <v>1646</v>
      </c>
      <c r="D28" s="224" t="s">
        <v>1647</v>
      </c>
      <c r="E28" s="224" t="s">
        <v>1640</v>
      </c>
      <c r="F28" s="224" t="s">
        <v>1642</v>
      </c>
      <c r="G28" s="224" t="s">
        <v>1686</v>
      </c>
      <c r="H28" s="249" t="s">
        <v>1642</v>
      </c>
      <c r="I28" s="249" t="s">
        <v>1642</v>
      </c>
      <c r="J28" s="249" t="s">
        <v>1642</v>
      </c>
      <c r="K28" s="249" t="s">
        <v>1642</v>
      </c>
      <c r="L28" s="249" t="s">
        <v>1642</v>
      </c>
      <c r="M28" s="249" t="s">
        <v>1642</v>
      </c>
      <c r="N28" s="249" t="s">
        <v>1642</v>
      </c>
      <c r="O28" s="249" t="s">
        <v>1642</v>
      </c>
      <c r="P28" s="249" t="s">
        <v>1642</v>
      </c>
      <c r="Q28" s="249" t="s">
        <v>1642</v>
      </c>
      <c r="R28" s="249" t="s">
        <v>1642</v>
      </c>
      <c r="S28" s="249" t="s">
        <v>1642</v>
      </c>
      <c r="T28" s="249" t="s">
        <v>1642</v>
      </c>
    </row>
    <row r="29" spans="1:60" s="349" customFormat="1">
      <c r="A29" s="226" t="s">
        <v>1683</v>
      </c>
      <c r="B29" s="226" t="s">
        <v>631</v>
      </c>
      <c r="C29" s="228">
        <v>8.0790000000000006</v>
      </c>
      <c r="D29" s="228">
        <v>1581.3</v>
      </c>
      <c r="E29" s="228">
        <v>239.65</v>
      </c>
      <c r="F29" s="251">
        <f t="shared" ref="F29" si="62">(10^($C29-($D29/($C$23+$E29))))*0.13332239</f>
        <v>16.937202836218802</v>
      </c>
      <c r="G29" s="251">
        <f t="shared" ref="G29" si="63">F29*(1/101.325)*760</f>
        <v>127.0394685963611</v>
      </c>
      <c r="H29" s="251">
        <f>(10^($C29-($D29/(H23+$E29))))*0.13332239</f>
        <v>5.6374227167096782</v>
      </c>
      <c r="I29" s="251">
        <f t="shared" ref="I29:T29" si="64">(10^($C29-($D29/(I23+$E29))))*0.13332239</f>
        <v>6.0385293950520502</v>
      </c>
      <c r="J29" s="251">
        <f t="shared" si="64"/>
        <v>6.7139662194186789</v>
      </c>
      <c r="K29" s="251">
        <f t="shared" si="64"/>
        <v>7.5143365192976601</v>
      </c>
      <c r="L29" s="251">
        <f t="shared" si="64"/>
        <v>9.1607157223745084</v>
      </c>
      <c r="M29" s="251">
        <f t="shared" si="64"/>
        <v>10.656636079390417</v>
      </c>
      <c r="N29" s="251">
        <f t="shared" si="64"/>
        <v>13.144055569926477</v>
      </c>
      <c r="O29" s="251">
        <f t="shared" si="64"/>
        <v>12.929024596224576</v>
      </c>
      <c r="P29" s="251">
        <f t="shared" si="64"/>
        <v>11.26288804512269</v>
      </c>
      <c r="Q29" s="251">
        <f t="shared" si="64"/>
        <v>8.3156888980312509</v>
      </c>
      <c r="R29" s="251">
        <f t="shared" si="64"/>
        <v>6.4640821038042304</v>
      </c>
      <c r="S29" s="251">
        <f t="shared" si="64"/>
        <v>5.5338150867186275</v>
      </c>
      <c r="T29" s="251">
        <f t="shared" si="64"/>
        <v>27.950754314812386</v>
      </c>
    </row>
    <row r="30" spans="1:60" s="349" customFormat="1">
      <c r="A30" s="226"/>
      <c r="B30" s="226" t="s">
        <v>1684</v>
      </c>
      <c r="C30" s="228">
        <v>16.288599999999999</v>
      </c>
      <c r="D30" s="228">
        <v>-3816.44</v>
      </c>
      <c r="E30" s="228">
        <v>-46.13</v>
      </c>
      <c r="F30" s="251">
        <f>EXP(C30+(D30/($C$23+273.15+E30)))</f>
        <v>3.1430657674250053</v>
      </c>
      <c r="G30" s="251">
        <f>F30*(1/101.325)*760</f>
        <v>23.574931983646721</v>
      </c>
      <c r="H30" s="251">
        <f>EXP($C30+($D30/(H$23+273.15+$E30)))</f>
        <v>0.87682026131340229</v>
      </c>
      <c r="I30" s="251">
        <f t="shared" ref="I30:T30" si="65">EXP($C30+($D30/(I$23+273.15+$E30)))</f>
        <v>0.94991092643066777</v>
      </c>
      <c r="J30" s="251">
        <f t="shared" si="65"/>
        <v>1.0747041178651626</v>
      </c>
      <c r="K30" s="251">
        <f t="shared" si="65"/>
        <v>1.2251322784277454</v>
      </c>
      <c r="L30" s="251">
        <f t="shared" si="65"/>
        <v>1.5422335214604233</v>
      </c>
      <c r="M30" s="251">
        <f t="shared" si="65"/>
        <v>1.8381371745101498</v>
      </c>
      <c r="N30" s="251">
        <f t="shared" si="65"/>
        <v>2.3440252298601809</v>
      </c>
      <c r="O30" s="251">
        <f t="shared" si="65"/>
        <v>2.2996745383820021</v>
      </c>
      <c r="P30" s="251">
        <f t="shared" si="65"/>
        <v>1.9599319080691389</v>
      </c>
      <c r="Q30" s="251">
        <f t="shared" si="65"/>
        <v>1.3782652906627835</v>
      </c>
      <c r="R30" s="251">
        <f t="shared" si="65"/>
        <v>1.0282950070300969</v>
      </c>
      <c r="S30" s="251">
        <f t="shared" si="65"/>
        <v>0.85807128284561973</v>
      </c>
      <c r="T30" s="251">
        <f t="shared" si="65"/>
        <v>5.6021305522577673</v>
      </c>
    </row>
    <row r="31" spans="1:60" s="349" customFormat="1">
      <c r="A31" s="226"/>
      <c r="B31" s="226"/>
      <c r="C31" s="228"/>
      <c r="D31" s="228"/>
      <c r="E31" s="228"/>
      <c r="F31" s="251"/>
      <c r="G31" s="251"/>
      <c r="H31" s="251"/>
      <c r="I31" s="251"/>
      <c r="J31" s="251"/>
      <c r="K31" s="251"/>
      <c r="L31" s="251"/>
      <c r="M31" s="251"/>
      <c r="N31" s="251"/>
      <c r="O31" s="251"/>
      <c r="P31" s="251"/>
      <c r="Q31" s="251"/>
      <c r="R31" s="251"/>
      <c r="S31" s="251"/>
      <c r="T31" s="251"/>
    </row>
    <row r="32" spans="1:60" s="349" customFormat="1">
      <c r="A32" s="226"/>
      <c r="B32" s="226"/>
      <c r="C32" s="228"/>
      <c r="D32" s="228"/>
      <c r="E32" s="228"/>
      <c r="F32" s="251"/>
      <c r="G32" s="251"/>
      <c r="H32" s="251"/>
      <c r="I32" s="251"/>
      <c r="J32" s="251"/>
      <c r="K32" s="251"/>
      <c r="L32" s="251"/>
      <c r="M32" s="251"/>
      <c r="N32" s="251"/>
      <c r="O32" s="251"/>
      <c r="P32" s="251"/>
      <c r="Q32" s="251"/>
      <c r="R32" s="251"/>
      <c r="S32" s="251"/>
      <c r="T32" s="251"/>
    </row>
    <row r="33" spans="1:55" s="349" customFormat="1">
      <c r="A33" s="226"/>
      <c r="B33" s="226"/>
      <c r="C33" s="228"/>
      <c r="D33" s="228"/>
      <c r="E33" s="228"/>
      <c r="F33" s="251"/>
      <c r="G33" s="251"/>
      <c r="H33" s="251"/>
      <c r="I33" s="251"/>
      <c r="J33" s="251"/>
      <c r="K33" s="251"/>
      <c r="L33" s="251"/>
      <c r="M33" s="251"/>
      <c r="N33" s="251"/>
      <c r="O33" s="251"/>
      <c r="P33" s="251"/>
      <c r="Q33" s="251"/>
      <c r="R33" s="251"/>
      <c r="S33" s="251"/>
      <c r="T33" s="251"/>
    </row>
    <row r="34" spans="1:55" s="349" customFormat="1">
      <c r="A34" s="226"/>
      <c r="B34" s="226"/>
      <c r="C34" s="228"/>
      <c r="D34" s="228"/>
      <c r="E34" s="228"/>
      <c r="F34" s="251"/>
      <c r="G34" s="251"/>
      <c r="H34" s="251"/>
      <c r="I34" s="251"/>
      <c r="J34" s="251"/>
      <c r="K34" s="251"/>
      <c r="L34" s="251"/>
      <c r="M34" s="251"/>
      <c r="N34" s="251"/>
      <c r="O34" s="251"/>
      <c r="P34" s="251"/>
      <c r="Q34" s="251"/>
      <c r="R34" s="251"/>
      <c r="S34" s="251"/>
      <c r="T34" s="251"/>
    </row>
    <row r="35" spans="1:55" s="349" customFormat="1">
      <c r="A35" s="226"/>
      <c r="B35" s="226"/>
      <c r="C35" s="228"/>
      <c r="D35" s="228"/>
      <c r="E35" s="228"/>
      <c r="F35" s="251"/>
      <c r="G35" s="251"/>
      <c r="H35" s="251"/>
      <c r="I35" s="251"/>
      <c r="J35" s="251"/>
      <c r="K35" s="251"/>
      <c r="L35" s="251"/>
      <c r="M35" s="251"/>
      <c r="N35" s="251"/>
      <c r="O35" s="251"/>
      <c r="P35" s="251"/>
      <c r="Q35" s="251"/>
      <c r="R35" s="251"/>
      <c r="S35" s="251"/>
      <c r="T35" s="251"/>
    </row>
    <row r="36" spans="1:55" s="349" customFormat="1">
      <c r="A36" s="226"/>
      <c r="B36" s="226"/>
      <c r="C36" s="228"/>
      <c r="D36" s="228"/>
      <c r="E36" s="228"/>
      <c r="F36" s="251"/>
      <c r="G36" s="251"/>
      <c r="H36" s="251"/>
      <c r="I36" s="251"/>
      <c r="J36" s="251"/>
      <c r="K36" s="251"/>
      <c r="L36" s="251"/>
      <c r="M36" s="251"/>
      <c r="N36" s="251"/>
      <c r="O36" s="251"/>
      <c r="P36" s="251"/>
      <c r="Q36" s="251"/>
      <c r="R36" s="251"/>
      <c r="S36" s="251"/>
      <c r="T36" s="251"/>
    </row>
    <row r="37" spans="1:55" s="349" customFormat="1">
      <c r="A37" s="226"/>
      <c r="B37" s="226"/>
      <c r="C37" s="228"/>
      <c r="D37" s="228"/>
      <c r="E37" s="228"/>
      <c r="F37" s="251"/>
      <c r="G37" s="251"/>
      <c r="H37" s="251"/>
      <c r="I37" s="251"/>
      <c r="J37" s="251"/>
      <c r="K37" s="251"/>
      <c r="L37" s="251"/>
      <c r="M37" s="251"/>
      <c r="N37" s="251"/>
      <c r="O37" s="251"/>
      <c r="P37" s="251"/>
      <c r="Q37" s="251"/>
      <c r="R37" s="251"/>
      <c r="S37" s="251"/>
      <c r="T37" s="251"/>
    </row>
    <row r="38" spans="1:55" s="349" customFormat="1">
      <c r="A38" s="226"/>
      <c r="B38" s="226"/>
      <c r="C38" s="228"/>
      <c r="D38" s="228"/>
      <c r="E38" s="228"/>
      <c r="F38" s="251"/>
      <c r="G38" s="251"/>
      <c r="H38" s="251"/>
      <c r="I38" s="251"/>
      <c r="J38" s="251"/>
      <c r="K38" s="251"/>
      <c r="L38" s="251"/>
      <c r="M38" s="251"/>
      <c r="N38" s="251"/>
      <c r="O38" s="251"/>
      <c r="P38" s="251"/>
      <c r="Q38" s="251"/>
      <c r="R38" s="251"/>
      <c r="S38" s="251"/>
      <c r="T38" s="251"/>
    </row>
    <row r="39" spans="1:55" s="349" customFormat="1">
      <c r="A39" s="226"/>
      <c r="B39" s="226"/>
      <c r="C39" s="228"/>
      <c r="D39" s="228"/>
      <c r="E39" s="228"/>
      <c r="F39" s="250"/>
      <c r="G39" s="251"/>
      <c r="H39" s="250"/>
      <c r="I39" s="250"/>
      <c r="J39" s="250"/>
      <c r="K39" s="250"/>
      <c r="L39" s="250"/>
      <c r="M39" s="250"/>
      <c r="N39" s="250"/>
      <c r="O39" s="250"/>
      <c r="P39" s="250"/>
      <c r="Q39" s="250"/>
      <c r="R39" s="250"/>
      <c r="S39" s="250"/>
      <c r="T39" s="250"/>
    </row>
    <row r="40" spans="1:55" s="349" customFormat="1">
      <c r="A40" s="226"/>
      <c r="B40" s="226"/>
      <c r="C40" s="228"/>
      <c r="D40" s="228"/>
      <c r="E40" s="228"/>
      <c r="F40" s="236"/>
      <c r="G40" s="359"/>
      <c r="H40" s="236"/>
      <c r="I40" s="236"/>
      <c r="J40" s="236"/>
      <c r="K40" s="236"/>
      <c r="L40" s="236"/>
      <c r="M40" s="236"/>
      <c r="N40" s="236"/>
      <c r="O40" s="236"/>
      <c r="P40" s="236"/>
      <c r="Q40" s="236"/>
      <c r="R40" s="236"/>
      <c r="S40" s="236"/>
      <c r="T40" s="236"/>
    </row>
    <row r="41" spans="1:55" s="349" customFormat="1">
      <c r="A41" s="226"/>
      <c r="B41" s="226"/>
      <c r="C41" s="251"/>
      <c r="D41" s="251"/>
      <c r="E41" s="251"/>
      <c r="F41" s="236"/>
      <c r="G41" s="359"/>
      <c r="H41" s="236"/>
      <c r="I41" s="236"/>
      <c r="J41" s="236"/>
      <c r="K41" s="236"/>
      <c r="L41" s="236"/>
      <c r="M41" s="236"/>
      <c r="N41" s="236"/>
      <c r="O41" s="236"/>
      <c r="P41" s="236"/>
      <c r="Q41" s="236"/>
      <c r="R41" s="236"/>
      <c r="S41" s="236"/>
      <c r="T41" s="236"/>
    </row>
    <row r="42" spans="1:55" s="349" customFormat="1">
      <c r="A42" s="221"/>
      <c r="B42" s="252"/>
      <c r="C42" s="253"/>
      <c r="D42" s="221"/>
      <c r="E42" s="221"/>
      <c r="F42" s="221"/>
      <c r="G42" s="221"/>
      <c r="H42" s="221"/>
      <c r="I42" s="221"/>
      <c r="J42" s="221"/>
      <c r="K42" s="221"/>
      <c r="L42" s="221"/>
      <c r="M42" s="221"/>
      <c r="N42" s="221"/>
    </row>
    <row r="43" spans="1:55" s="349" customFormat="1" ht="64.95" customHeight="1">
      <c r="A43" s="221"/>
      <c r="B43" s="384" t="s">
        <v>1648</v>
      </c>
      <c r="C43" s="385"/>
      <c r="D43" s="385"/>
      <c r="E43" s="385"/>
      <c r="F43" s="385"/>
      <c r="G43" s="385"/>
      <c r="H43" s="385"/>
      <c r="I43" s="386"/>
      <c r="J43" s="221"/>
      <c r="K43" s="221"/>
      <c r="L43" s="221"/>
      <c r="M43" s="221"/>
      <c r="N43" s="221"/>
    </row>
    <row r="44" spans="1:55" s="221" customFormat="1">
      <c r="B44" s="221" t="s">
        <v>1649</v>
      </c>
      <c r="D44" s="254" t="s">
        <v>1650</v>
      </c>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row>
    <row r="45" spans="1:55" s="221" customFormat="1">
      <c r="B45" s="221" t="s">
        <v>1651</v>
      </c>
      <c r="D45" s="255" t="s">
        <v>1652</v>
      </c>
      <c r="L45" s="256"/>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row>
    <row r="46" spans="1:55" s="221" customFormat="1">
      <c r="B46" s="221" t="s">
        <v>1653</v>
      </c>
      <c r="D46" s="254" t="s">
        <v>1654</v>
      </c>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row>
    <row r="47" spans="1:55" s="221" customFormat="1">
      <c r="B47" s="221" t="s">
        <v>1655</v>
      </c>
      <c r="D47" s="249" t="s">
        <v>1656</v>
      </c>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row>
    <row r="48" spans="1:55" s="221" customFormat="1">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row>
  </sheetData>
  <mergeCells count="18">
    <mergeCell ref="B43:I43"/>
    <mergeCell ref="AF1:AI1"/>
    <mergeCell ref="AJ1:AM1"/>
    <mergeCell ref="AN1:AQ1"/>
    <mergeCell ref="AR1:AU1"/>
    <mergeCell ref="H1:K1"/>
    <mergeCell ref="L1:O1"/>
    <mergeCell ref="P1:S1"/>
    <mergeCell ref="T1:W1"/>
    <mergeCell ref="X1:AA1"/>
    <mergeCell ref="AB1:AE1"/>
    <mergeCell ref="BE1:BH1"/>
    <mergeCell ref="A27:A28"/>
    <mergeCell ref="B27:B28"/>
    <mergeCell ref="C27:E27"/>
    <mergeCell ref="F27:G27"/>
    <mergeCell ref="AV1:AY1"/>
    <mergeCell ref="AZ1:BC1"/>
  </mergeCells>
  <pageMargins left="0.7" right="0.7" top="0.75" bottom="0.75" header="0.3" footer="0.3"/>
  <pageSetup scale="75" orientation="landscape" cellComments="asDisplayed" r:id="rId1"/>
  <headerFooter>
    <oddFooter xml:space="preserve">&amp;L&amp;"Tahoma,Regular"Hexion, Inc.
Diboll Plant&amp;C&amp;"Tahoma,Regular"Page &amp;P of &amp;N&amp;R&amp;"Tahoma,Regular"Trinity Consultants
204401.0138 </oddFooter>
    <evenFooter>&amp;L&amp;"+,Regular"Momentive Specialty Chemicals Inc.
Diboll Plant&amp;C&amp;"+,Regular"Page &amp;P of &amp;N&amp;R&amp;"+,Regular"Trinity Consultants
134401.0070</evenFooter>
    <firstFooter>&amp;L&amp;"+,Regular"Momentive Specialty Chemicals Inc.
Diboll Plant&amp;C&amp;"+,Regular"Page &amp;P of &amp;N&amp;R&amp;"+,Regular"Trinity Consultants
134401.0070</firstFooter>
  </headerFooter>
  <drawing r:id="rId2"/>
</worksheet>
</file>

<file path=docMetadata/LabelInfo.xml><?xml version="1.0" encoding="utf-8"?>
<clbl:labelList xmlns:clbl="http://schemas.microsoft.com/office/2020/mipLabelMetadata">
  <clbl:label id="{56f8a036-ae1b-4f85-92d3-f4203c03c43b}" enabled="1" method="Standard" siteId="{5f229ce1-773c-46ed-a6fa-974006fae09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Source_List</vt:lpstr>
      <vt:lpstr>errata</vt:lpstr>
      <vt:lpstr>Tabl_B1_RTO</vt:lpstr>
      <vt:lpstr>Tabl_B1a_SO3</vt:lpstr>
      <vt:lpstr>Tabl_B2_Fug</vt:lpstr>
      <vt:lpstr>Tabl_B3_Comp</vt:lpstr>
      <vt:lpstr>Vapor Calcs Distillate</vt:lpstr>
      <vt:lpstr>Vapor Calcs Non-Distillate</vt:lpstr>
      <vt:lpstr>Vapor Calcs Windshield Wash</vt:lpstr>
      <vt:lpstr>Vapor Calcs Antifreeze Conc</vt:lpstr>
      <vt:lpstr>Vapor Calcs Antifreeze 50</vt:lpstr>
      <vt:lpstr>Tabl_B4_Tanks</vt:lpstr>
      <vt:lpstr>Tabl_B5_TLoad</vt:lpstr>
      <vt:lpstr>Tabl_B6_Carbon_BU</vt:lpstr>
      <vt:lpstr>Site Summary</vt:lpstr>
      <vt:lpstr>CAO_Pollutant_List</vt:lpstr>
      <vt:lpstr>NG_Factor_Sort</vt:lpstr>
      <vt:lpstr>RBC</vt:lpstr>
      <vt:lpstr>RBC_old</vt:lpstr>
      <vt:lpstr>Sheet2</vt:lpstr>
      <vt:lpstr>Sheet2!Extract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Browning</dc:creator>
  <cp:lastModifiedBy>KUOPPAMAKI Heather * DEQ</cp:lastModifiedBy>
  <cp:lastPrinted>2022-11-20T23:00:55Z</cp:lastPrinted>
  <dcterms:created xsi:type="dcterms:W3CDTF">2020-05-07T22:34:50Z</dcterms:created>
  <dcterms:modified xsi:type="dcterms:W3CDTF">2024-02-15T20:21:21Z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2024-02-15T20:21:17Z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c1ca04e6-e343-4d1e-a450-f64a4a31db83</vt:lpwstr>
  </property>
  <property fmtid="{D5CDD505-2E9C-101B-9397-08002B2CF9AE}" pid="8" name="MSIP_Label_09b73270-2993-4076-be47-9c78f42a1e84_ContentBits">
    <vt:lpwstr>0</vt:lpwstr>
  </property>
</Properties>
</file>